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185" i="2" l="1"/>
  <c r="N238" i="2" l="1"/>
  <c r="M238" i="2"/>
  <c r="L238" i="2"/>
  <c r="K238" i="2"/>
  <c r="M228" i="2"/>
  <c r="K228" i="2"/>
  <c r="J185" i="2" l="1"/>
  <c r="I185" i="2"/>
  <c r="H185" i="2"/>
  <c r="G185" i="2"/>
  <c r="J200" i="2"/>
  <c r="I200" i="2"/>
  <c r="H200" i="2"/>
  <c r="G200" i="2"/>
  <c r="J238" i="2"/>
  <c r="I238" i="2"/>
  <c r="H238" i="2"/>
  <c r="G238" i="2"/>
  <c r="J228" i="2"/>
  <c r="I228" i="2"/>
  <c r="G228" i="2"/>
  <c r="N200" i="2"/>
  <c r="M200" i="2"/>
  <c r="L200" i="2"/>
  <c r="K200" i="2"/>
  <c r="N228" i="2"/>
  <c r="L228" i="2"/>
  <c r="K247" i="2"/>
  <c r="K246" i="2"/>
  <c r="K245" i="2"/>
  <c r="K244" i="2"/>
  <c r="L244" i="2"/>
  <c r="L245" i="2"/>
  <c r="L246" i="2"/>
  <c r="L247" i="2"/>
  <c r="L194" i="2"/>
  <c r="K194" i="2"/>
  <c r="L193" i="2"/>
  <c r="K193" i="2"/>
  <c r="L192" i="2"/>
  <c r="K192" i="2"/>
  <c r="L191" i="2"/>
  <c r="K191" i="2"/>
  <c r="H247" i="2"/>
  <c r="G247" i="2"/>
  <c r="H246" i="2"/>
  <c r="G246" i="2"/>
  <c r="H245" i="2"/>
  <c r="G245" i="2"/>
  <c r="H244" i="2"/>
  <c r="G244" i="2"/>
  <c r="H194" i="2"/>
  <c r="G194" i="2"/>
  <c r="H193" i="2"/>
  <c r="G193" i="2"/>
  <c r="H192" i="2"/>
  <c r="G192" i="2"/>
  <c r="H191" i="2"/>
  <c r="G191" i="2"/>
  <c r="J247" i="2" l="1"/>
  <c r="I247" i="2"/>
  <c r="J246" i="2"/>
  <c r="I246" i="2"/>
  <c r="J245" i="2"/>
  <c r="I245" i="2"/>
  <c r="J244" i="2"/>
  <c r="I244" i="2"/>
  <c r="E246" i="2"/>
  <c r="F246" i="2"/>
  <c r="E247" i="2"/>
  <c r="F247" i="2"/>
  <c r="E245" i="2"/>
  <c r="E244" i="2"/>
  <c r="C238" i="2"/>
  <c r="A246" i="2"/>
  <c r="A244" i="2"/>
  <c r="D247" i="2"/>
  <c r="D246" i="2"/>
  <c r="F245" i="2"/>
  <c r="D245" i="2"/>
  <c r="F244" i="2"/>
  <c r="D244" i="2"/>
  <c r="F238" i="2"/>
  <c r="E238" i="2"/>
  <c r="D238" i="2"/>
  <c r="F228" i="2"/>
  <c r="E228" i="2"/>
  <c r="D228" i="2"/>
  <c r="C228" i="2"/>
  <c r="U222" i="2" l="1"/>
  <c r="U221" i="2"/>
  <c r="U219" i="2"/>
  <c r="U218" i="2"/>
  <c r="U216" i="2"/>
  <c r="U215" i="2"/>
  <c r="H228" i="2" l="1"/>
  <c r="J194" i="2"/>
  <c r="I194" i="2"/>
  <c r="J193" i="2"/>
  <c r="I193" i="2"/>
  <c r="J192" i="2"/>
  <c r="I192" i="2"/>
  <c r="J191" i="2"/>
  <c r="I191" i="2"/>
  <c r="D185" i="2" l="1"/>
  <c r="E185" i="2"/>
  <c r="E193" i="2" l="1"/>
  <c r="F193" i="2"/>
  <c r="E194" i="2"/>
  <c r="F194" i="2"/>
  <c r="F192" i="2"/>
  <c r="E192" i="2"/>
  <c r="A191" i="2"/>
  <c r="D194" i="2"/>
  <c r="D193" i="2"/>
  <c r="D192" i="2"/>
  <c r="D191" i="2"/>
  <c r="F191" i="2"/>
  <c r="E191" i="2"/>
  <c r="C185" i="2"/>
  <c r="F200" i="2"/>
  <c r="F185" i="2"/>
  <c r="E200" i="2"/>
  <c r="D200" i="2"/>
  <c r="C200" i="2"/>
  <c r="M106" i="2" l="1"/>
  <c r="K106" i="2"/>
  <c r="J106" i="2"/>
  <c r="B85" i="2" l="1"/>
  <c r="H90" i="2" l="1"/>
  <c r="H89" i="2"/>
  <c r="J232" i="2"/>
  <c r="H216" i="2" l="1"/>
  <c r="D216" i="2"/>
  <c r="H215" i="2"/>
  <c r="D215" i="2"/>
  <c r="D222" i="2"/>
  <c r="D221" i="2"/>
  <c r="D219" i="2"/>
  <c r="D218" i="2"/>
  <c r="A211"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A209" i="2" l="1"/>
  <c r="A210" i="2"/>
  <c r="A208" i="2"/>
  <c r="F89" i="2"/>
  <c r="J20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<sst xmlns="http://schemas.openxmlformats.org/spreadsheetml/2006/main" count="1211" uniqueCount="542">
  <si>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</si>
  <si>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</si>
  <si>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</si>
  <si>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</si>
  <si>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</si>
  <si>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</si>
  <si>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</si>
  <si>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</si>
  <si>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</si>
  <si>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</si>
  <si>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</si>
  <si>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</si>
  <si>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</si>
  <si>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</si>
  <si>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</si>
  <si>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</si>
  <si>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</si>
  <si>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</si>
  <si>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</si>
  <si>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</si>
  <si>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</si>
  <si>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</si>
  <si>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</si>
  <si>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</si>
  <si>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</si>
  <si>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</si>
  <si>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</si>
  <si>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</si>
  <si>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</si>
  <si>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</si>
  <si>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</si>
  <si>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</si>
  <si>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</si>
  <si>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</si>
  <si>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</si>
  <si>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</si>
  <si>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</si>
  <si>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</si>
  <si>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</si>
  <si>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</si>
  <si>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</si>
  <si>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</si>
  <si>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</si>
  <si>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</si>
  <si>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</si>
  <si>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</si>
  <si>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</si>
  <si>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</si>
  <si>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</si>
  <si>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</si>
  <si>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</si>
  <si>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</si>
  <si>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</si>
  <si>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</si>
  <si>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</si>
  <si>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</si>
  <si>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</si>
  <si>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</si>
  <si>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</si>
  <si>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</si>
  <si>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</si>
  <si>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</si>
  <si>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</si>
  <si>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</si>
  <si>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</si>
  <si>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</si>
  <si>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</si>
  <si>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</si>
  <si>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</si>
  <si>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</si>
  <si>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</si>
  <si>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</si>
  <si>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</si>
  <si>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</si>
  <si>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</si>
  <si>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</si>
  <si>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</si>
  <si>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</si>
  <si>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</si>
  <si>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</si>
  <si>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</si>
  <si>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</si>
  <si>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</si>
  <si>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</si>
  <si>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</si>
  <si>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</si>
  <si>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</si>
  <si>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</si>
  <si>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</si>
  <si>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</si>
  <si>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</si>
  <si>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</si>
  <si>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</si>
  <si>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</si>
  <si>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</si>
  <si>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</si>
  <si>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</si>
  <si>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</si>
  <si>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</si>
  <si>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</si>
  <si>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</si>
  <si>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</si>
  <si>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</si>
  <si>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</si>
  <si>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</si>
  <si>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</si>
  <si>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</si>
  <si>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</si>
  <si>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</si>
  <si>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</si>
  <si>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</si>
  <si>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</si>
  <si>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</si>
  <si>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</si>
  <si>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</si>
  <si>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</si>
  <si>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</si>
  <si>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</si>
  <si>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</si>
  <si>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</si>
  <si>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</si>
  <si>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</si>
  <si>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</si>
  <si>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</si>
  <si>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</si>
  <si>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</si>
  <si>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</si>
  <si>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</si>
  <si>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</si>
  <si>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</si>
  <si>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</si>
  <si>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</si>
  <si>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</si>
  <si>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</si>
  <si>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</si>
  <si>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</si>
  <si>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</si>
  <si>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</si>
  <si>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</si>
  <si>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</si>
  <si>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</si>
  <si>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</si>
  <si>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</si>
  <si>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</si>
  <si>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</si>
  <si>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</si>
  <si>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</si>
  <si>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</si>
  <si>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</si>
  <si>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</si>
  <si>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</si>
  <si>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</si>
  <si>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</si>
  <si>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</si>
  <si>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</si>
  <si>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</si>
  <si>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</si>
  <si>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</si>
  <si>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</si>
  <si>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</si>
  <si>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</si>
  <si>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</si>
  <si>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</si>
  <si>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</si>
  <si>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</si>
  <si>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</si>
  <si>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</si>
  <si>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</si>
  <si>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</si>
  <si>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</si>
  <si>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</si>
  <si>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</si>
  <si>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</si>
  <si>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</si>
  <si>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</si>
  <si>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</si>
  <si>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</si>
  <si>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</si>
  <si>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</si>
  <si>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</si>
  <si>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</si>
  <si>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</si>
  <si>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</si>
  <si>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</si>
  <si>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</si>
  <si>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</si>
  <si>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</si>
  <si>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</si>
  <si>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</si>
  <si>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</si>
  <si>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</si>
  <si>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</si>
  <si>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</si>
  <si>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</si>
  <si>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</si>
  <si>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</si>
  <si>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</si>
  <si>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</si>
  <si>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</si>
  <si>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</si>
  <si>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</si>
  <si>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</si>
  <si>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</si>
  <si>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</si>
  <si>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</si>
  <si>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</si>
  <si>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</si>
  <si>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</si>
  <si>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</si>
  <si>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</si>
  <si>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</si>
  <si>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</si>
  <si>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</si>
  <si>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</si>
  <si>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</si>
  <si>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</si>
  <si>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</si>
  <si>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</si>
  <si>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</si>
  <si>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</si>
  <si>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</si>
  <si>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</si>
  <si>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</si>
  <si>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</si>
  <si>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</si>
  <si>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</si>
  <si>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</si>
  <si>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</si>
  <si>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</si>
  <si>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</si>
  <si>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</si>
  <si>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</si>
  <si>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</si>
  <si>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</si>
  <si>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</si>
  <si>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</si>
  <si>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</si>
  <si>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</si>
  <si>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</si>
  <si>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</si>
  <si>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</si>
  <si>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</si>
  <si>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</si>
  <si>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</si>
  <si>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</si>
  <si>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</si>
  <si>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</si>
  <si>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</si>
  <si>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</si>
  <si>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</si>
  <si>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</si>
  <si>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</si>
  <si>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</si>
  <si>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</si>
  <si>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</si>
  <si>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</si>
  <si>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</si>
  <si>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</si>
  <si>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</si>
  <si>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</si>
  <si>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</si>
  <si>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</si>
  <si>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</si>
  <si>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</si>
  <si>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</si>
  <si>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</si>
  <si>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</si>
  <si>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</si>
  <si>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</si>
  <si>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</si>
  <si>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</si>
  <si>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</si>
  <si>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</si>
  <si>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</si>
  <si>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</si>
  <si>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</si>
  <si>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</si>
  <si>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</si>
  <si>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</si>
  <si>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</si>
  <si>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</si>
  <si>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</si>
  <si>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</si>
  <si>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</si>
  <si>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</si>
  <si>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</si>
  <si>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</si>
  <si>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</si>
  <si>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</si>
  <si>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</si>
  <si>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</si>
  <si>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</si>
  <si>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</si>
  <si>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</si>
  <si>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</si>
  <si>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</si>
  <si>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</si>
  <si>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</si>
  <si>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</si>
  <si>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</si>
  <si>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</si>
  <si>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</si>
  <si>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</si>
  <si>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</si>
  <si>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</si>
  <si>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</si>
  <si>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</si>
  <si>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</si>
  <si>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</si>
  <si>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</si>
  <si>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</si>
  <si>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</si>
  <si>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</si>
  <si>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</si>
  <si>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</si>
  <si>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</si>
  <si>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</si>
  <si>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</si>
  <si>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</si>
  <si>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</si>
  <si>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</si>
  <si>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</si>
  <si>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</si>
  <si>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</si>
  <si>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</si>
  <si>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</si>
  <si>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</si>
  <si>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</si>
  <si>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</si>
  <si>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</si>
  <si>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</si>
  <si>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</si>
  <si>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</si>
  <si>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</si>
  <si>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</si>
  <si>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</si>
  <si>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</si>
  <si>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</si>
  <si>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</si>
  <si>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</si>
  <si>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</si>
  <si>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</si>
  <si>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</si>
  <si>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</si>
  <si>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</si>
  <si>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</si>
  <si>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</si>
  <si>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</si>
  <si>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</si>
  <si>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</si>
  <si>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</si>
  <si>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</si>
  <si>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</si>
  <si>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</si>
  <si>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</si>
  <si>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</si>
  <si>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</si>
  <si>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</si>
  <si>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</si>
  <si>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</si>
  <si>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</si>
  <si>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</si>
  <si>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</si>
  <si>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</si>
  <si>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</si>
  <si>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</si>
  <si>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</si>
  <si>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</si>
  <si>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</si>
  <si>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</si>
  <si>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</si>
  <si>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</si>
  <si>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</si>
  <si>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</si>
  <si>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</si>
  <si>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</si>
  <si>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</si>
  <si>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</si>
  <si>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</si>
  <si>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</si>
  <si>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</si>
  <si>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</si>
  <si>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</si>
  <si>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</si>
  <si>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</si>
  <si>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</si>
  <si>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</si>
  <si>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</si>
  <si>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</si>
  <si>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</si>
  <si>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</si>
  <si>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</si>
  <si>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</si>
  <si>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</si>
  <si>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</si>
  <si>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</si>
  <si>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</si>
  <si>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</si>
  <si>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</si>
  <si>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</si>
  <si>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</si>
  <si>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</si>
  <si>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</si>
  <si>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</si>
  <si>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</si>
  <si>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</si>
  <si>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</si>
  <si>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</si>
  <si>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</si>
  <si>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</si>
  <si>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</si>
  <si>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</si>
  <si>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</si>
  <si>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</si>
  <si>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</si>
  <si>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</si>
  <si>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</si>
  <si>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</si>
  <si>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</si>
  <si>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</si>
  <si>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</si>
  <si>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</si>
  <si>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</si>
  <si>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</si>
  <si>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</si>
  <si>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</si>
  <si>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</si>
  <si>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</si>
  <si>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</si>
  <si>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</si>
  <si>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</si>
  <si>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</si>
  <si>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</si>
  <si>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</si>
  <si>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</si>
  <si>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</si>
  <si>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</si>
  <si>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</si>
  <si>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</si>
  <si>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</si>
  <si>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</si>
  <si>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</si>
  <si>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</si>
  <si>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</si>
  <si>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</si>
  <si>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</si>
  <si>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</si>
  <si>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</si>
  <si>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</si>
  <si>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</si>
  <si>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</si>
  <si>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</si>
  <si>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</si>
  <si>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</si>
  <si>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</si>
  <si>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</si>
  <si>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</si>
  <si>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</si>
  <si>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BANK_82_Test_43810</t>
  </si>
  <si>
    <t>BANK_82_Test_43810 desc</t>
  </si>
  <si>
    <t>BANK_82_Test_43810 desc ver</t>
  </si>
  <si>
    <t>External Account Identifier - EAI_BANK_82_EPER_001</t>
  </si>
  <si>
    <t>9805419578,BANK_82_EPER_001,IND,12-20-2022,United States Dollars,Contracted Deal-No</t>
  </si>
  <si>
    <t>PRSP</t>
  </si>
  <si>
    <t>=C6</t>
  </si>
  <si>
    <t>RECOMMENDED SUMMARY</t>
  </si>
  <si>
    <t>Revenue Variation (Original)</t>
  </si>
  <si>
    <t>Revenue Variation (Standard)</t>
  </si>
  <si>
    <t>Profit Variation (Original)</t>
  </si>
  <si>
    <t>Profit Variation (Standard)</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</si>
  <si>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</si>
  <si>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9280014851","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</si>
  <si>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9288601571","valueAmt":"12","priceCompDesc":"FLAT","rcMapId":"1705351562","displaySw":"true","tieredFlag":"FLAT","priceCompSequenceNo":"10"},"paTypeFlag":"RGLR","priceItemDescription":"V1-Account Opening Fee","aggregateSw":"N","priceItemCode":"PI_021","priceCurrencyCode":"USD","priceAsgnId":"9280014851","pricingStatus":"PRPD","printIfZero":"Y","ignoreSw":"N","actionFlag":"OVRD","isEligible":"false","scheduleCode":"MONTHLY","rateSchedule":"DM-RT01","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</si>
  <si>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9280014852","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9288601571","priceCompDesc":"FLAT","valueAmt":"12","displaySw":"true","rcMapId":"1705351562","tieredFlag":"FLAT","priceCompSequenceNo":"10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</si>
  <si>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</si>
  <si>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9280014853","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</si>
  <si>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9288601573","valueAmt":"17","priceCompDesc":"Price Per Transaction Step Tier 1","rcMapId":"2567418376","displaySw":"true","tieredFlag":"STEP","priceCompTier":{"tierSeqNum":"10","upperLimit":"1000.00","lowerLimit":"0.00","priceCriteria":"NBRTRAN"},"priceCompSequenceNo":"100"},{"priceCompId":"9288601574","valueAmt":"17","priceCompDesc":"Price Per Transaction Step Tier 2","rcMapId":"7769990702","displaySw":"true","tieredFlag":"STEP","priceCompTier":{"tierSeqNum":"10","upperLimit":"5000.00","lowerLimit":"1000.00","priceCriteria":"NBRTRAN"},"priceCompSequenceNo":"110"},{"priceCompId":"9288601575","valueAmt":"17","priceCompDesc":"Price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9280014853","pricingStatus":"PRPD","printIfZero":"Y","ignoreSw":"N","actionFlag":"OVRD","isEligible":"false","scheduleCode":"MONTHLY","rateSchedule":"DM-NBRST","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</si>
  <si>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9280014854","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9288601573","priceCompDesc":"Price Per Transaction Step Tier 1","valueAmt":"17","displaySw":"true","rcMapId":"2567418376","tieredFlag":"STEP","priceCompSequenceNo":"100"},{"priceCompTier":{"upperLimit":"5000.00","lowerLimit":"1000.00","priceCriteria":"NBRTRAN","tierSeqNum":"10"},"priceCompId":"9288601574","priceCompDesc":"Price Per Transaction Step Tier 2","valueAmt":"17","displaySw":"true","rcMapId":"7769990702","tieredFlag":"STEP","priceCompSequenceNo":"110"},{"priceCompTier":{"upperLimit":"99999999.99","lowerLimit":"5000.00","priceCriteria":"NBRTRAN","tierSeqNum":"10"},"priceCompId":"9288601575","priceCompDesc":"Price Per Transaction Step Tier 3","valueAmt":"17","displaySw":"true","rcMapId":"4322456059","tieredFlag":"STEP","priceCompSequenceNo":"120"}]}}}}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</si>
  <si>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</si>
  <si>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9280014855","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</si>
  <si>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5757027927","dealId":"5075583746","entityType":"PERS","entityId":"2049157035","pricingAndCommitmentsDetails":{"entityDivision":"IND","entityIdentifierType":"COREG","entityType":"PERS","entityId":"2049157035","entityIdentifierValue":"Reg_BANK_82_PRSPCH1_001","pricingDetails":[{"txnDailyRatingCrt":"DNRT","priceCompDetails":[{"priceCompId":"9288601579","valueAmt":"17","priceCompDesc":"Threshold price per transaction1","rcMapId":"1109655113","displaySw":"true","tieredFlag":"THRS","priceCompTier":{"tierSeqNum":"10","upperLimit":"1000.00","lowerLimit":"0.00","priceCriteria":"NBRTRAN"},"priceCompSequenceNo":"100"},{"priceCompId":"9288601580","valueAmt":"17","priceCompDesc":"Threshold price per transaction 2","rcMapId":"1109655113","displaySw":"true","tieredFlag":"THRS","priceCompTier":{"tierSeqNum":"10","upperLimit":"5000.00","lowerLimit":"1000.00","priceCriteria":"NBRTRAN"},"priceCompSequenceNo":"110"},{"priceCompId":"9288601581","valueAmt":"17","priceCompDesc":"Threshold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9280014855","pricingStatus":"PRPD","printIfZero":"Y","ignoreSw":"N","actionFlag":"OVRD","isEligible":"false","scheduleCode":"MONTHLY","rateSchedule":"DM-NBRTH","startDate":"2023-09-08","assignmentLevel":"Customer Agreed"}]}}}</t>
  </si>
  <si>
    <t>{"C1-DealPriceAsgnCommitmentsREST":{"dealId":"5075583746","modelId":"5757027927","entityId":"2049157035","entityType":"PERS","pricingAndCommitmentsDetails":{"entityId":"2049157035","entityType":"PERS","entityIdentifierValue":"Reg_BANK_82_PRSPCH1_001","entityIdentifierType":"COREG","entityDivision":"IND","pricingDetails":{"priceAsgnId":"9280014856","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9288601579","priceCompDesc":"Threshold price per transaction1","valueAmt":"17","displaySw":"true","rcMapId":"1109655113","tieredFlag":"THRS","priceCompSequenceNo":"100"},{"priceCompTier":{"upperLimit":"5000.00","lowerLimit":"1000.00","priceCriteria":"NBRTRAN","tierSeqNum":"10"},"priceCompId":"9288601580","priceCompDesc":"Threshold price per transaction 2","valueAmt":"17","displaySw":"true","rcMapId":"1109655113","tieredFlag":"THRS","priceCompSequenceNo":"110"},{"priceCompTier":{"upperLimit":"99999999.99","lowerLimit":"5000.00","priceCriteria":"NBRTRAN","tierSeqNum":"10"},"priceCompId":"9288601581","priceCompDesc":"Threshold price per transaction 3","valueAmt":"17","displaySw":"true","rcMapId":"1109655113","tieredFlag":"THRS","priceCompSequenceNo":"120"}]}}}}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</si>
  <si>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</si>
  <si>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9900014899","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</si>
  <si>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9908601655","valueAmt":"12","priceCompDesc":"FLAT","rcMapId":"1705351562","displaySw":"true","tieredFlag":"FLAT","priceCompSequenceNo":"10"},"paTypeFlag":"RGLR","priceItemDescription":"V1-Account Opening Fee","aggregateSw":"N","priceItemCode":"PI_021","priceCurrencyCode":"USD","priceAsgnId":"9900014899","pricingStatus":"PRPD","printIfZero":"Y","ignoreSw":"N","actionFlag":"OVRD","isEligible":"false","scheduleCode":"MONTHLY","rateSchedule":"DM-RT01","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</si>
  <si>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9900014900","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9908601655","priceCompDesc":"FLAT","valueAmt":"12","displaySw":"true","rcMapId":"1705351562","tieredFlag":"FLAT","priceCompSequenceNo":"10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</si>
  <si>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</si>
  <si>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9900014901","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</si>
  <si>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9908601657","valueAmt":"17","priceCompDesc":"Price Per Transaction Step Tier 1","rcMapId":"2567418376","displaySw":"true","tieredFlag":"STEP","priceCompTier":{"tierSeqNum":"10","upperLimit":"1000.00","lowerLimit":"0.00","priceCriteria":"NBRTRAN"},"priceCompSequenceNo":"100"},{"priceCompId":"9908601658","valueAmt":"17","priceCompDesc":"Price Per Transaction Step Tier 2","rcMapId":"7769990702","displaySw":"true","tieredFlag":"STEP","priceCompTier":{"tierSeqNum":"10","upperLimit":"5000.00","lowerLimit":"1000.00","priceCriteria":"NBRTRAN"},"priceCompSequenceNo":"110"},{"priceCompId":"9908601659","valueAmt":"17","priceCompDesc":"Price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9900014901","pricingStatus":"PRPD","printIfZero":"Y","ignoreSw":"N","actionFlag":"OVRD","isEligible":"false","scheduleCode":"MONTHLY","rateSchedule":"DM-NBRST","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</si>
  <si>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9900014902","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9908601657","priceCompDesc":"Price Per Transaction Step Tier 1","valueAmt":"17","displaySw":"true","rcMapId":"2567418376","tieredFlag":"STEP","priceCompSequenceNo":"100"},{"priceCompTier":{"upperLimit":"5000.00","lowerLimit":"1000.00","priceCriteria":"NBRTRAN","tierSeqNum":"10"},"priceCompId":"9908601658","priceCompDesc":"Price Per Transaction Step Tier 2","valueAmt":"17","displaySw":"true","rcMapId":"7769990702","tieredFlag":"STEP","priceCompSequenceNo":"110"},{"priceCompTier":{"upperLimit":"99999999.99","lowerLimit":"5000.00","priceCriteria":"NBRTRAN","tierSeqNum":"10"},"priceCompId":"9908601659","priceCompDesc":"Price Per Transaction Step Tier 3","valueAmt":"17","displaySw":"true","rcMapId":"4322456059","tieredFlag":"STEP","priceCompSequenceNo":"120"}]}}}}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</si>
  <si>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</si>
  <si>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9900014903","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</si>
  <si>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5967839045","dealId":"1147005909","entityType":"PERS","entityId":"2049157035","pricingAndCommitmentsDetails":{"entityDivision":"IND","entityIdentifierType":"COREG","entityType":"PERS","entityId":"2049157035","entityIdentifierValue":"Reg_BANK_82_PRSPCH1_001","pricingDetails":[{"txnDailyRatingCrt":"DNRT","priceCompDetails":[{"priceCompId":"9908601663","valueAmt":"17","priceCompDesc":"Threshold price per transaction1","rcMapId":"1109655113","displaySw":"true","tieredFlag":"THRS","priceCompTier":{"tierSeqNum":"10","upperLimit":"1000.00","lowerLimit":"0.00","priceCriteria":"NBRTRAN"},"priceCompSequenceNo":"100"},{"priceCompId":"9908601664","valueAmt":"17","priceCompDesc":"Threshold price per transaction 2","rcMapId":"1109655113","displaySw":"true","tieredFlag":"THRS","priceCompTier":{"tierSeqNum":"10","upperLimit":"5000.00","lowerLimit":"1000.00","priceCriteria":"NBRTRAN"},"priceCompSequenceNo":"110"},{"priceCompId":"9908601665","valueAmt":"17","priceCompDesc":"Threshold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9900014903","pricingStatus":"PRPD","printIfZero":"Y","ignoreSw":"N","actionFlag":"OVRD","isEligible":"false","scheduleCode":"MONTHLY","rateSchedule":"DM-NBRTH","startDate":"2023-09-08","assignmentLevel":"Customer Agreed"}]}}}</t>
  </si>
  <si>
    <t>{"C1-DealPriceAsgnCommitmentsREST":{"dealId":"1147005909","modelId":"5967839045","entityId":"2049157035","entityType":"PERS","pricingAndCommitmentsDetails":{"entityId":"2049157035","entityType":"PERS","entityIdentifierValue":"Reg_BANK_82_PRSPCH1_001","entityIdentifierType":"COREG","entityDivision":"IND","pricingDetails":{"priceAsgnId":"9900014904","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9908601663","priceCompDesc":"Threshold price per transaction1","valueAmt":"17","displaySw":"true","rcMapId":"1109655113","tieredFlag":"THRS","priceCompSequenceNo":"100"},{"priceCompTier":{"upperLimit":"5000.00","lowerLimit":"1000.00","priceCriteria":"NBRTRAN","tierSeqNum":"10"},"priceCompId":"9908601664","priceCompDesc":"Threshold price per transaction 2","valueAmt":"17","displaySw":"true","rcMapId":"1109655113","tieredFlag":"THRS","priceCompSequenceNo":"110"},{"priceCompTier":{"upperLimit":"99999999.99","lowerLimit":"5000.00","priceCriteria":"NBRTRAN","tierSeqNum":"10"},"priceCompId":"9908601665","priceCompDesc":"Threshold price per transaction 3","valueAmt":"17","displaySw":"true","rcMapId":"1109655113","tieredFlag":"THRS","priceCompSequenceNo":"120"}]}}}}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</si>
  <si>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</si>
  <si>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1670015100","actionFlag":"OVRD","priceItemCode":"PI_021","priceItemDescription":"V1-Account Opening Fee","pricingStatus":"PRPD","priceCurrencyCode":"USD","rateSchedule":"DM-RT01","startDate":"2023-08-09","isEligible":"false","assignmentLevel":"Customer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</si>
  <si>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1678602030","valueAmt":"12","priceCompDesc":"FLAT","rcMapId":"1705351562","displaySw":"true","tieredFlag":"FLAT","priceCompSequenceNo":"10"},"paTypeFlag":"RGLR","priceItemDescription":"V1-Account Opening Fee","aggregateSw":"N","priceItemCode":"PI_021","priceCurrencyCode":"USD","priceAsgnId":"1670015100","pricingStatus":"PRPD","printIfZero":"Y","ignoreSw":"N","actionFlag":"OVRD","isEligible":"false","scheduleCode":"MONTHLY","rateSchedule":"DM-RT01","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</si>
  <si>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1670015101","actionFlag":"OVRD","priceItemCode":"PI_021","priceItemDescription":"V1-Account Opening Fee","pricingStatus":"PRPD","priceCurrencyCode":"USD","rateSchedule":"DM-RT01","startDate":"2023-09-08","isEligible":"false","assignmentLevel":"Customer Agreed","paTypeFlag":"RGLR","printIfZero":"Y","txnDailyRatingCrt":"DNRT","ignoreSw":"N","aggregateSw":"N","scheduleCode":"MONTHLY","priceCompDetails":{"priceCompId":"1678602030","priceCompDesc":"FLAT","valueAmt":"12","displaySw":"true","rcMapId":"1705351562","tieredFlag":"FLAT","priceCompSequenceNo":"10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</si>
  <si>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</si>
  <si>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1670015102","actionFlag":"OVRD","priceItemCode":"NPI_036","priceItemDescription":"Price Item NPI_036","pricingStatus":"PRPD","priceCurrencyCode":"USD","rateSchedule":"DM-NBRST","startDate":"2023-08-09","isEligible":"false","assignmentLevel":"Customer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</si>
  <si>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1678602032","valueAmt":"17","priceCompDesc":"Price Per Transaction Step Tier 1","rcMapId":"2567418376","displaySw":"true","tieredFlag":"STEP","priceCompTier":{"tierSeqNum":"10","upperLimit":"1000.00","lowerLimit":"0.00","priceCriteria":"NBRTRAN"},"priceCompSequenceNo":"100"},{"priceCompId":"1678602033","valueAmt":"17","priceCompDesc":"Price Per Transaction Step Tier 2","rcMapId":"7769990702","displaySw":"true","tieredFlag":"STEP","priceCompTier":{"tierSeqNum":"10","upperLimit":"5000.00","lowerLimit":"1000.00","priceCriteria":"NBRTRAN"},"priceCompSequenceNo":"110"},{"priceCompId":"1678602034","valueAmt":"17","priceCompDesc":"Price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1670015102","pricingStatus":"PRPD","printIfZero":"Y","ignoreSw":"N","actionFlag":"OVRD","isEligible":"false","scheduleCode":"MONTHLY","rateSchedule":"DM-NBRST","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</si>
  <si>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1670015103","actionFlag":"OVRD","priceItemCode":"NPI_036","priceItemDescription":"Price Item NPI_036","pricingStatus":"PRPD","priceCurrencyCode":"USD","rateSchedule":"DM-NBRST","startDate":"2023-09-08","isEligible":"false","assignmentLevel":"Customer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1678602032","priceCompDesc":"Price Per Transaction Step Tier 1","valueAmt":"17","displaySw":"true","rcMapId":"2567418376","tieredFlag":"STEP","priceCompSequenceNo":"100"},{"priceCompTier":{"upperLimit":"5000.00","lowerLimit":"1000.00","priceCriteria":"NBRTRAN","tierSeqNum":"10"},"priceCompId":"1678602033","priceCompDesc":"Price Per Transaction Step Tier 2","valueAmt":"17","displaySw":"true","rcMapId":"7769990702","tieredFlag":"STEP","priceCompSequenceNo":"110"},{"priceCompTier":{"upperLimit":"99999999.99","lowerLimit":"5000.00","priceCriteria":"NBRTRAN","tierSeqNum":"10"},"priceCompId":"1678602034","priceCompDesc":"Price Per Transaction Step Tier 3","valueAmt":"17","displaySw":"true","rcMapId":"4322456059","tieredFlag":"STEP","priceCompSequenceNo":"120"}]}}}}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</si>
  <si>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-09","assignmentLevel":"Customer Price List"}]}}}</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</si>
  <si>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1670015104","actionFlag":"OVRD","priceItemCode":"NPI_036","priceItemDescription":"Price Item NPI_036","pricingStatus":"PRPD","priceCurrencyCode":"USD","rateSchedule":"DM-NBRTH","startDate":"2023-08-09","isEligible":"false","assignmentLevel":"Customer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</si>
  <si>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4436354524","dealId":"4134443158","entityType":"PERS","entityId":"2049157035","pricingAndCommitmentsDetails":{"entityDivision":"IND","entityIdentifierType":"COREG","entityType":"PERS","entityId":"2049157035","entityIdentifierValue":"Reg_BANK_82_PRSPCH1_001","pricingDetails":[{"txnDailyRatingCrt":"DNRT","priceCompDetails":[{"priceCompId":"1678602038","valueAmt":"17","priceCompDesc":"Threshold price per transaction1","rcMapId":"1109655113","displaySw":"true","tieredFlag":"THRS","priceCompTier":{"tierSeqNum":"10","upperLimit":"1000.00","lowerLimit":"0.00","priceCriteria":"NBRTRAN"},"priceCompSequenceNo":"100"},{"priceCompId":"1678602039","valueAmt":"17","priceCompDesc":"Threshold price per transaction 2","rcMapId":"1109655113","displaySw":"true","tieredFlag":"THRS","priceCompTier":{"tierSeqNum":"10","upperLimit":"5000.00","lowerLimit":"1000.00","priceCriteria":"NBRTRAN"},"priceCompSequenceNo":"110"},{"priceCompId":"1678602040","valueAmt":"17","priceCompDesc":"Threshold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1670015104","pricingStatus":"PRPD","printIfZero":"Y","ignoreSw":"N","actionFlag":"OVRD","isEligible":"false","scheduleCode":"MONTHLY","rateSchedule":"DM-NBRTH","startDate":"2023-09-08","assignmentLevel":"Customer Agreed"}]}}}</t>
  </si>
  <si>
    <t>{"C1-DealPriceAsgnCommitmentsREST":{"dealId":"4134443158","modelId":"4436354524","entityId":"2049157035","entityType":"PERS","pricingAndCommitmentsDetails":{"entityId":"2049157035","entityType":"PERS","entityIdentifierValue":"Reg_BANK_82_PRSPCH1_001","entityIdentifierType":"COREG","entityDivision":"IND","pricingDetails":{"priceAsgnId":"1670015105","actionFlag":"OVRD","priceItemCode":"NPI_036","priceItemDescription":"Price Item NPI_036","pricingStatus":"PRPD","priceCurrencyCode":"USD","rateSchedule":"DM-NBRTH","startDate":"2023-09-08","isEligible":"false","assignmentLevel":"Customer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1678602038","priceCompDesc":"Threshold price per transaction1","valueAmt":"17","displaySw":"true","rcMapId":"1109655113","tieredFlag":"THRS","priceCompSequenceNo":"100"},{"priceCompTier":{"upperLimit":"5000.00","lowerLimit":"1000.00","priceCriteria":"NBRTRAN","tierSeqNum":"10"},"priceCompId":"1678602039","priceCompDesc":"Threshold price per transaction 2","valueAmt":"17","displaySw":"true","rcMapId":"1109655113","tieredFlag":"THRS","priceCompSequenceNo":"110"},{"priceCompTier":{"upperLimit":"99999999.99","lowerLimit":"5000.00","priceCriteria":"NBRTRAN","tierSeqNum":"10"},"priceCompId":"1678602040","priceCompDesc":"Threshold price per transaction 3","valueAmt":"17","displaySw":"true","rcMapId":"1109655113","tieredFlag":"THRS","priceCompSequenceNo":"120"}]}}}}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</si>
  <si>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-10","assignmentLevel":"Customer Price List"}]}}}</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</si>
  <si>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0860014207","actionFlag":"OVRD","priceItemCode":"PI_021","priceItemDescription":"V1-Account Opening Fee","pricingStatus":"PRPD","priceCurrencyCode":"USD","rateSchedule":"DM-RT01","startDate":"2023-08-10","isEligible":"false","assignmentLevel":"Customer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</si>
  <si>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0868600309","valueAmt":"12","priceCompDesc":"FLAT","rcMapId":"1705351562","displaySw":"true","tieredFlag":"FLAT","priceCompSequenceNo":"10"},"paTypeFlag":"RGLR","priceItemDescription":"V1-Account Opening Fee","aggregateSw":"N","priceItemCode":"PI_021","priceCurrencyCode":"USD","priceAsgnId":"0860014207","pricingStatus":"PRPD","printIfZero":"Y","ignoreSw":"N","actionFlag":"OVRD","isEligible":"false","scheduleCode":"MONTHLY","rateSchedule":"DM-RT01","startDate":"2023-09-09","assignmentLevel":"Customer Agreed"}]}}}</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</si>
  <si>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0860014208","actionFlag":"OVRD","priceItemCode":"PI_021","priceItemDescription":"V1-Account Opening Fee","pricingStatus":"PRPD","priceCurrencyCode":"USD","rateSchedule":"DM-RT01","startDate":"2023-09-09","isEligible":"false","assignmentLevel":"Customer Agreed","paTypeFlag":"RGLR","printIfZero":"Y","txnDailyRatingCrt":"DNRT","ignoreSw":"N","aggregateSw":"N","scheduleCode":"MONTHLY","priceCompDetails":{"priceCompId":"0868600309","priceCompDesc":"FLAT","valueAmt":"12","displaySw":"true","rcMapId":"1705351562","tieredFlag":"FLAT","priceCompSequenceNo":"10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</si>
  <si>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-10","assignmentLevel":"Customer Price List"}]}}}</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</si>
  <si>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0860014209","actionFlag":"OVRD","priceItemCode":"NPI_036","priceItemDescription":"Price Item NPI_036","pricingStatus":"PRPD","priceCurrencyCode":"USD","rateSchedule":"DM-NBRST","startDate":"2023-08-10","isEligible":"false","assignmentLevel":"Customer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</si>
  <si>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0868600311","valueAmt":"17","priceCompDesc":"Price Per Transaction Step Tier 1","rcMapId":"2567418376","displaySw":"true","tieredFlag":"STEP","priceCompTier":{"tierSeqNum":"10","upperLimit":"1000.00","lowerLimit":"0.00","priceCriteria":"NBRTRAN"},"priceCompSequenceNo":"100"},{"priceCompId":"0868600312","valueAmt":"17","priceCompDesc":"Price Per Transaction Step Tier 2","rcMapId":"7769990702","displaySw":"true","tieredFlag":"STEP","priceCompTier":{"tierSeqNum":"10","upperLimit":"5000.00","lowerLimit":"1000.00","priceCriteria":"NBRTRAN"},"priceCompSequenceNo":"110"},{"priceCompId":"0868600313","valueAmt":"17","priceCompDesc":"Price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0860014209","pricingStatus":"PRPD","printIfZero":"Y","ignoreSw":"N","actionFlag":"OVRD","isEligible":"false","scheduleCode":"MONTHLY","rateSchedule":"DM-NBRST","startDate":"2023-09-09","assignmentLevel":"Customer Agreed"}]}}}</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</si>
  <si>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0860014210","actionFlag":"OVRD","priceItemCode":"NPI_036","priceItemDescription":"Price Item NPI_036","pricingStatus":"PRPD","priceCurrencyCode":"USD","rateSchedule":"DM-NBRST","startDate":"2023-09-09","isEligible":"false","assignmentLevel":"Customer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0868600311","priceCompDesc":"Price Per Transaction Step Tier 1","valueAmt":"17","displaySw":"true","rcMapId":"2567418376","tieredFlag":"STEP","priceCompSequenceNo":"100"},{"priceCompTier":{"upperLimit":"5000.00","lowerLimit":"1000.00","priceCriteria":"NBRTRAN","tierSeqNum":"10"},"priceCompId":"0868600312","priceCompDesc":"Price Per Transaction Step Tier 2","valueAmt":"17","displaySw":"true","rcMapId":"7769990702","tieredFlag":"STEP","priceCompSequenceNo":"110"},{"priceCompTier":{"upperLimit":"99999999.99","lowerLimit":"5000.00","priceCriteria":"NBRTRAN","tierSeqNum":"10"},"priceCompId":"0868600313","priceCompDesc":"Price Per Transaction Step Tier 3","valueAmt":"17","displaySw":"true","rcMapId":"4322456059","tieredFlag":"STEP","priceCompSequenceNo":"120"}]}}}}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</si>
  <si>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-10","assignmentLevel":"Customer Price List"}]}}}</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</si>
  <si>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0860014211","actionFlag":"OVRD","priceItemCode":"NPI_036","priceItemDescription":"Price Item NPI_036","pricingStatus":"PRPD","priceCurrencyCode":"USD","rateSchedule":"DM-NBRTH","startDate":"2023-08-10","isEligible":"false","assignmentLevel":"Customer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</si>
  <si>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2168358820","dealId":"8773424485","entityType":"PERS","entityId":"2049157035","pricingAndCommitmentsDetails":{"entityDivision":"IND","entityIdentifierType":"COREG","entityType":"PERS","entityId":"2049157035","entityIdentifierValue":"Reg_BANK_82_PRSPCH1_001","pricingDetails":[{"txnDailyRatingCrt":"DNRT","priceCompDetails":[{"priceCompId":"0868600317","valueAmt":"17","priceCompDesc":"Threshold price per transaction1","rcMapId":"1109655113","displaySw":"true","tieredFlag":"THRS","priceCompTier":{"tierSeqNum":"10","upperLimit":"1000.00","lowerLimit":"0.00","priceCriteria":"NBRTRAN"},"priceCompSequenceNo":"100"},{"priceCompId":"0868600318","valueAmt":"17","priceCompDesc":"Threshold price per transaction 2","rcMapId":"1109655113","displaySw":"true","tieredFlag":"THRS","priceCompTier":{"tierSeqNum":"10","upperLimit":"5000.00","lowerLimit":"1000.00","priceCriteria":"NBRTRAN"},"priceCompSequenceNo":"110"},{"priceCompId":"0868600319","valueAmt":"17","priceCompDesc":"Threshold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0860014211","pricingStatus":"PRPD","printIfZero":"Y","ignoreSw":"N","actionFlag":"OVRD","isEligible":"false","scheduleCode":"MONTHLY","rateSchedule":"DM-NBRTH","startDate":"2023-09-09","assignmentLevel":"Customer Agreed"}]}}}</t>
  </si>
  <si>
    <t>{"C1-DealPriceAsgnCommitmentsREST":{"dealId":"8773424485","modelId":"2168358820","entityId":"2049157035","entityType":"PERS","pricingAndCommitmentsDetails":{"entityId":"2049157035","entityType":"PERS","entityIdentifierValue":"Reg_BANK_82_PRSPCH1_001","entityIdentifierType":"COREG","entityDivision":"IND","pricingDetails":{"priceAsgnId":"0860014212","actionFlag":"OVRD","priceItemCode":"NPI_036","priceItemDescription":"Price Item NPI_036","pricingStatus":"PRPD","priceCurrencyCode":"USD","rateSchedule":"DM-NBRTH","startDate":"2023-09-09","isEligible":"false","assignmentLevel":"Customer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0868600317","priceCompDesc":"Threshold price per transaction1","valueAmt":"17","displaySw":"true","rcMapId":"1109655113","tieredFlag":"THRS","priceCompSequenceNo":"100"},{"priceCompTier":{"upperLimit":"5000.00","lowerLimit":"1000.00","priceCriteria":"NBRTRAN","tierSeqNum":"10"},"priceCompId":"0868600318","priceCompDesc":"Threshold price per transaction 2","valueAmt":"17","displaySw":"true","rcMapId":"1109655113","tieredFlag":"THRS","priceCompSequenceNo":"110"},{"priceCompTier":{"upperLimit":"99999999.99","lowerLimit":"5000.00","priceCriteria":"NBRTRAN","tierSeqNum":"10"},"priceCompId":"0868600319","priceCompDesc":"Threshold price per transaction 3","valueAmt":"17","displaySw":"true","rcMapId":"1109655113","tieredFlag":"THRS","priceCompSequenceNo":"120"}]}}}}</t>
  </si>
  <si>
    <t>{"C1-DealPriceAsgnCommitmentsREST":{"modelId":"8827223346","dealId":"4145664094","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-11","assignmentLevel":"Customer Price List"}]}}}</t>
  </si>
  <si>
    <t>{"C1-DealPriceAsgnCommitmentsREST":{"dealId":"4145664094","modelId":"8827223346","entityId":"2049157035","entityType":"PERS","pricingAndCommitmentsDetails":{"entityId":"2049157035","entityType":"PERS","entityIdentifierValue":"Reg_BANK_82_PRSPCH1_001","entityIdentifierType":"COREG","entityDivision":"IND","pricingDetails":{"priceAsgnId":"7080014398","actionFlag":"OVRD","priceItemCode":"PI_021","priceItemDescription":"V1-Account Opening Fee","pricingStatus":"PRPD","priceCurrencyCode":"USD","rateSchedule":"DM-RT01","startDate":"2023-08-11","isEligible":"false","assignmentLevel":"Customer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</si>
  <si>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8827223346","dealId":"4145664094","entityType":"PERS","entityId":"2049157035","pricingAndCommitmentsDetails":{"entityDivision":"IND","entityIdentifierType":"COREG","entityType":"PERS","entityId":"2049157035","entityIdentifierValue":"Reg_BANK_82_PRSPCH1_001","pricingDetails":[{"txnDailyRatingCrt":"DNRT","priceCompDetails":{"priceCompId":"7088600737","valueAmt":"12","priceCompDesc":"FLAT","rcMapId":"1705351562","displaySw":"true","tieredFlag":"FLAT","priceCompSequenceNo":"10"},"paTypeFlag":"RGLR","priceItemDescription":"V1-Account Opening Fee","aggregateSw":"N","priceItemCode":"PI_021","priceCurrencyCode":"USD","priceAsgnId":"7080014398","pricingStatus":"PRPD","printIfZero":"Y","ignoreSw":"N","actionFlag":"OVRD","isEligible":"false","scheduleCode":"MONTHLY","rateSchedule":"DM-RT01","startDate":"2023-09-10","assignmentLevel":"Customer Agreed"}]}}}</t>
  </si>
  <si>
    <t>{"C1-DealPriceAsgnCommitmentsREST":{"dealId":"4145664094","modelId":"8827223346","entityId":"2049157035","entityType":"PERS","pricingAndCommitmentsDetails":{"entityId":"2049157035","entityType":"PERS","entityIdentifierValue":"Reg_BANK_82_PRSPCH1_001","entityIdentifierType":"COREG","entityDivision":"IND","pricingDetails":{"priceAsgnId":"7080014399","actionFlag":"OVRD","priceItemCode":"PI_021","priceItemDescription":"V1-Account Opening Fee","pricingStatus":"PRPD","priceCurrencyCode":"USD","rateSchedule":"DM-RT01","startDate":"2023-09-10","isEligible":"false","assignmentLevel":"Customer Agreed","paTypeFlag":"RGLR","printIfZero":"Y","txnDailyRatingCrt":"DNRT","ignoreSw":"N","aggregateSw":"N","scheduleCode":"MONTHLY","priceCompDetails":{"priceCompId":"7088600737","priceCompDesc":"FLAT","valueAmt":"12","displaySw":"true","rcMapId":"1705351562","tieredFlag":"FLAT","priceCompSequenceNo":"10"}}}}}</t>
  </si>
  <si>
    <t>{"C1-DealPriceAsgnCommitmentsREST":{"modelId":"8827223346","dealId":"4145664094","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-11","assignmentLevel":"Customer Price List"}]}}}</t>
  </si>
  <si>
    <t>{"C1-DealPriceAsgnCommitmentsREST":{"dealId":"4145664094","modelId":"8827223346","entityId":"2049157035","entityType":"PERS","pricingAndCommitmentsDetails":{"entityId":"2049157035","entityType":"PERS","entityIdentifierValue":"Reg_BANK_82_PRSPCH1_001","entityIdentifierType":"COREG","entityDivision":"IND","pricingDetails":{"priceAsgnId":"7080014400","actionFlag":"OVRD","priceItemCode":"NPI_036","priceItemDescription":"Price Item NPI_036","pricingStatus":"PRPD","priceCurrencyCode":"USD","rateSchedule":"DM-NBRST","startDate":"2023-08-11","isEligible":"false","assignmentLevel":"Customer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</si>
  <si>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8827223346","dealId":"4145664094","entityType":"PERS","entityId":"2049157035","pricingAndCommitmentsDetails":{"entityDivision":"IND","entityIdentifierType":"COREG","entityType":"PERS","entityId":"2049157035","entityIdentifierValue":"Reg_BANK_82_PRSPCH1_001","pricingDetails":[{"txnDailyRatingCrt":"DNRT","priceCompDetails":[{"priceCompId":"7088600739","valueAmt":"17","priceCompDesc":"Price Per Transaction Step Tier 1","rcMapId":"2567418376","displaySw":"true","tieredFlag":"STEP","priceCompTier":{"tierSeqNum":"10","upperLimit":"1000.00","lowerLimit":"0.00","priceCriteria":"NBRTRAN"},"priceCompSequenceNo":"100"},{"priceCompId":"7088600740","valueAmt":"17","priceCompDesc":"Price Per Transaction Step Tier 2","rcMapId":"7769990702","displaySw":"true","tieredFlag":"STEP","priceCompTier":{"tierSeqNum":"10","upperLimit":"5000.00","lowerLimit":"1000.00","priceCriteria":"NBRTRAN"},"priceCompSequenceNo":"110"},{"priceCompId":"7088600741","valueAmt":"17","priceCompDesc":"Price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7080014400","pricingStatus":"PRPD","printIfZero":"Y","ignoreSw":"N","actionFlag":"OVRD","isEligible":"false","scheduleCode":"MONTHLY","rateSchedule":"DM-NBRST","startDate":"2023-09-10","assignmentLevel":"Customer Agreed"}]}}}</t>
  </si>
  <si>
    <t>{"C1-DealPriceAsgnCommitmentsREST":{"dealId":"4145664094","modelId":"8827223346","entityId":"2049157035","entityType":"PERS","pricingAndCommitmentsDetails":{"entityId":"2049157035","entityType":"PERS","entityIdentifierValue":"Reg_BANK_82_PRSPCH1_001","entityIdentifierType":"COREG","entityDivision":"IND","pricingDetails":{"priceAsgnId":"7080014401","actionFlag":"OVRD","priceItemCode":"NPI_036","priceItemDescription":"Price Item NPI_036","pricingStatus":"PRPD","priceCurrencyCode":"USD","rateSchedule":"DM-NBRST","startDate":"2023-09-10","isEligible":"false","assignmentLevel":"Customer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7088600739","priceCompDesc":"Price Per Transaction Step Tier 1","valueAmt":"17","displaySw":"true","rcMapId":"2567418376","tieredFlag":"STEP","priceCompSequenceNo":"100"},{"priceCompTier":{"upperLimit":"5000.00","lowerLimit":"1000.00","priceCriteria":"NBRTRAN","tierSeqNum":"10"},"priceCompId":"7088600740","priceCompDesc":"Price Per Transaction Step Tier 2","valueAmt":"17","displaySw":"true","rcMapId":"7769990702","tieredFlag":"STEP","priceCompSequenceNo":"110"},{"priceCompTier":{"upperLimit":"99999999.99","lowerLimit":"5000.00","priceCriteria":"NBRTRAN","tierSeqNum":"10"},"priceCompId":"7088600741","priceCompDesc":"Price Per Transaction Step Tier 3","valueAmt":"17","displaySw":"true","rcMapId":"4322456059","tieredFlag":"STEP","priceCompSequenceNo":"120"}]}}}}</t>
  </si>
  <si>
    <t>{"C1-DealPriceAsgnCommitmentsREST":{"modelId":"8827223346","dealId":"4145664094","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-11","assignmentLevel":"Customer Price List"}]}}}</t>
  </si>
  <si>
    <t>{"C1-DealPriceAsgnCommitmentsREST":{"dealId":"4145664094","modelId":"8827223346","entityId":"2049157035","entityType":"PERS","pricingAndCommitmentsDetails":{"entityId":"2049157035","entityType":"PERS","entityIdentifierValue":"Reg_BANK_82_PRSPCH1_001","entityIdentifierType":"COREG","entityDivision":"IND","pricingDetails":{"priceAsgnId":"7080014402","actionFlag":"OVRD","priceItemCode":"NPI_036","priceItemDescription":"Price Item NPI_036","pricingStatus":"PRPD","priceCurrencyCode":"USD","rateSchedule":"DM-NBRTH","startDate":"2023-08-11","isEligible":"false","assignmentLevel":"Customer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</si>
  <si>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8827223346","dealId":"4145664094","entityType":"PERS","entityId":"2049157035","pricingAndCommitmentsDetails":{"entityDivision":"IND","entityIdentifierType":"COREG","entityType":"PERS","entityId":"2049157035","entityIdentifierValue":"Reg_BANK_82_PRSPCH1_001","pricingDetails":[{"txnDailyRatingCrt":"DNRT","priceCompDetails":[{"priceCompId":"7088600745","valueAmt":"17","priceCompDesc":"Threshold price per transaction1","rcMapId":"1109655113","displaySw":"true","tieredFlag":"THRS","priceCompTier":{"tierSeqNum":"10","upperLimit":"1000.00","lowerLimit":"0.00","priceCriteria":"NBRTRAN"},"priceCompSequenceNo":"100"},{"priceCompId":"7088600746","valueAmt":"17","priceCompDesc":"Threshold price per transaction 2","rcMapId":"1109655113","displaySw":"true","tieredFlag":"THRS","priceCompTier":{"tierSeqNum":"10","upperLimit":"5000.00","lowerLimit":"1000.00","priceCriteria":"NBRTRAN"},"priceCompSequenceNo":"110"},{"priceCompId":"7088600747","valueAmt":"17","priceCompDesc":"Threshold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7080014402","pricingStatus":"PRPD","printIfZero":"Y","ignoreSw":"N","actionFlag":"OVRD","isEligible":"false","scheduleCode":"MONTHLY","rateSchedule":"DM-NBRTH","startDate":"2023-09-10","assignmentLevel":"Customer Agreed"}]}}}</t>
  </si>
  <si>
    <t>{"C1-DealPriceAsgnCommitmentsREST":{"dealId":"4145664094","modelId":"8827223346","entityId":"2049157035","entityType":"PERS","pricingAndCommitmentsDetails":{"entityId":"2049157035","entityType":"PERS","entityIdentifierValue":"Reg_BANK_82_PRSPCH1_001","entityIdentifierType":"COREG","entityDivision":"IND","pricingDetails":{"priceAsgnId":"7080014403","actionFlag":"OVRD","priceItemCode":"NPI_036","priceItemDescription":"Price Item NPI_036","pricingStatus":"PRPD","priceCurrencyCode":"USD","rateSchedule":"DM-NBRTH","startDate":"2023-09-10","isEligible":"false","assignmentLevel":"Customer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7088600745","priceCompDesc":"Threshold price per transaction1","valueAmt":"17","displaySw":"true","rcMapId":"1109655113","tieredFlag":"THRS","priceCompSequenceNo":"100"},{"priceCompTier":{"upperLimit":"5000.00","lowerLimit":"1000.00","priceCriteria":"NBRTRAN","tierSeqNum":"10"},"priceCompId":"7088600746","priceCompDesc":"Threshold price per transaction 2","valueAmt":"17","displaySw":"true","rcMapId":"1109655113","tieredFlag":"THRS","priceCompSequenceNo":"110"},{"priceCompTier":{"upperLimit":"99999999.99","lowerLimit":"5000.00","priceCriteria":"NBRTRAN","tierSeqNum":"10"},"priceCompId":"7088600747","priceCompDesc":"Threshold price per transaction 3","valueAmt":"17","displaySw":"true","rcMapId":"1109655113","tieredFlag":"THRS","priceCompSequenceNo":"120"}]}}}}</t>
  </si>
  <si>
    <t>{"C1-DealPriceAsgnCommitmentsREST":{"modelId":"2840612261","dealId":"4804060489","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-12","assignmentLevel":"Customer Price List"}]}}}</t>
  </si>
  <si>
    <t>{"C1-DealPriceAsgnCommitmentsREST":{"dealId":"4804060489","modelId":"2840612261","entityId":"2049157035","entityType":"PERS","pricingAndCommitmentsDetails":{"entityId":"2049157035","entityType":"PERS","entityIdentifierValue":"Reg_BANK_82_PRSPCH1_001","entityIdentifierType":"COREG","entityDivision":"IND","pricingDetails":{"priceAsgnId":"1690014690","actionFlag":"OVRD","priceItemCode":"PI_021","priceItemDescription":"V1-Account Opening Fee","pricingStatus":"PRPD","priceCurrencyCode":"USD","rateSchedule":"DM-RT01","startDate":"2023-08-12","isEligible":"false","assignmentLevel":"Customer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</si>
  <si>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2840612261","dealId":"4804060489","entityType":"PERS","entityId":"2049157035","pricingAndCommitmentsDetails":{"entityDivision":"IND","entityIdentifierType":"COREG","entityType":"PERS","entityId":"2049157035","entityIdentifierValue":"Reg_BANK_82_PRSPCH1_001","pricingDetails":[{"txnDailyRatingCrt":"DNRT","priceCompDetails":{"priceCompId":"1698601268","valueAmt":"12","priceCompDesc":"FLAT","rcMapId":"1705351562","displaySw":"true","tieredFlag":"FLAT","priceCompSequenceNo":"10"},"paTypeFlag":"RGLR","priceItemDescription":"V1-Account Opening Fee","aggregateSw":"N","priceItemCode":"PI_021","priceCurrencyCode":"USD","priceAsgnId":"1690014690","pricingStatus":"PRPD","printIfZero":"Y","ignoreSw":"N","actionFlag":"OVRD","isEligible":"false","scheduleCode":"MONTHLY","rateSchedule":"DM-RT01","startDate":"2023-09-11","assignmentLevel":"Customer Agreed"}]}}}</t>
  </si>
  <si>
    <t>{"C1-DealPriceAsgnCommitmentsREST":{"dealId":"4804060489","modelId":"2840612261","entityId":"2049157035","entityType":"PERS","pricingAndCommitmentsDetails":{"entityId":"2049157035","entityType":"PERS","entityIdentifierValue":"Reg_BANK_82_PRSPCH1_001","entityIdentifierType":"COREG","entityDivision":"IND","pricingDetails":{"priceAsgnId":"1690014691","actionFlag":"OVRD","priceItemCode":"PI_021","priceItemDescription":"V1-Account Opening Fee","pricingStatus":"PRPD","priceCurrencyCode":"USD","rateSchedule":"DM-RT01","startDate":"2023-09-11","isEligible":"false","assignmentLevel":"Customer Agreed","paTypeFlag":"RGLR","printIfZero":"Y","txnDailyRatingCrt":"DNRT","ignoreSw":"N","aggregateSw":"N","scheduleCode":"MONTHLY","priceCompDetails":{"priceCompId":"1698601268","priceCompDesc":"FLAT","valueAmt":"12","displaySw":"true","rcMapId":"1705351562","tieredFlag":"FLAT","priceCompSequenceNo":"10"}}}}}</t>
  </si>
  <si>
    <t>{"C1-DealPriceAsgnCommitmentsREST":{"modelId":"2840612261","dealId":"4804060489","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-08-12","assignmentLevel":"Customer Price List"}]}}}</t>
  </si>
  <si>
    <t>{"C1-DealPriceAsgnCommitmentsREST":{"dealId":"4804060489","modelId":"2840612261","entityId":"2049157035","entityType":"PERS","pricingAndCommitmentsDetails":{"entityId":"2049157035","entityType":"PERS","entityIdentifierValue":"Reg_BANK_82_PRSPCH1_001","entityIdentifierType":"COREG","entityDivision":"IND","pricingDetails":{"priceAsgnId":"1690014692","actionFlag":"OVRD","priceItemCode":"NPI_036","priceItemDescription":"Price Item NPI_036","pricingStatus":"PRPD","priceCurrencyCode":"USD","rateSchedule":"DM-NBRST","startDate":"2023-08-12","isEligible":"false","assignmentLevel":"Customer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</si>
  <si>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2840612261","dealId":"4804060489","entityType":"PERS","entityId":"2049157035","pricingAndCommitmentsDetails":{"entityDivision":"IND","entityIdentifierType":"COREG","entityType":"PERS","entityId":"2049157035","entityIdentifierValue":"Reg_BANK_82_PRSPCH1_001","pricingDetails":[{"txnDailyRatingCrt":"DNRT","priceCompDetails":[{"priceCompId":"1698601270","valueAmt":"17","priceCompDesc":"Price Per Transaction Step Tier 1","rcMapId":"2567418376","displaySw":"true","tieredFlag":"STEP","priceCompTier":{"tierSeqNum":"10","upperLimit":"1000.00","lowerLimit":"0.00","priceCriteria":"NBRTRAN"},"priceCompSequenceNo":"100"},{"priceCompId":"1698601271","valueAmt":"17","priceCompDesc":"Price Per Transaction Step Tier 2","rcMapId":"7769990702","displaySw":"true","tieredFlag":"STEP","priceCompTier":{"tierSeqNum":"10","upperLimit":"5000.00","lowerLimit":"1000.00","priceCriteria":"NBRTRAN"},"priceCompSequenceNo":"110"},{"priceCompId":"1698601272","valueAmt":"17","priceCompDesc":"Price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1690014692","pricingStatus":"PRPD","printIfZero":"Y","ignoreSw":"N","actionFlag":"OVRD","isEligible":"false","scheduleCode":"MONTHLY","rateSchedule":"DM-NBRST","startDate":"2023-09-11","assignmentLevel":"Customer Agreed"}]}}}</t>
  </si>
  <si>
    <t>{"C1-DealPriceAsgnCommitmentsREST":{"dealId":"4804060489","modelId":"2840612261","entityId":"2049157035","entityType":"PERS","pricingAndCommitmentsDetails":{"entityId":"2049157035","entityType":"PERS","entityIdentifierValue":"Reg_BANK_82_PRSPCH1_001","entityIdentifierType":"COREG","entityDivision":"IND","pricingDetails":{"priceAsgnId":"1690014693","actionFlag":"OVRD","priceItemCode":"NPI_036","priceItemDescription":"Price Item NPI_036","pricingStatus":"PRPD","priceCurrencyCode":"USD","rateSchedule":"DM-NBRST","startDate":"2023-09-11","isEligible":"false","assignmentLevel":"Customer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1698601270","priceCompDesc":"Price Per Transaction Step Tier 1","valueAmt":"17","displaySw":"true","rcMapId":"2567418376","tieredFlag":"STEP","priceCompSequenceNo":"100"},{"priceCompTier":{"upperLimit":"5000.00","lowerLimit":"1000.00","priceCriteria":"NBRTRAN","tierSeqNum":"10"},"priceCompId":"1698601271","priceCompDesc":"Price Per Transaction Step Tier 2","valueAmt":"17","displaySw":"true","rcMapId":"7769990702","tieredFlag":"STEP","priceCompSequenceNo":"110"},{"priceCompTier":{"upperLimit":"99999999.99","lowerLimit":"5000.00","priceCriteria":"NBRTRAN","tierSeqNum":"10"},"priceCompId":"1698601272","priceCompDesc":"Price Per Transaction Step Tier 3","valueAmt":"17","displaySw":"true","rcMapId":"4322456059","tieredFlag":"STEP","priceCompSequenceNo":"120"}]}}}}</t>
  </si>
  <si>
    <t>{"C1-DealPriceAsgnCommitmentsREST":{"modelId":"2840612261","dealId":"4804060489","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-08-12","assignmentLevel":"Customer Price List"}]}}}</t>
  </si>
  <si>
    <t>{"C1-DealPriceAsgnCommitmentsREST":{"dealId":"4804060489","modelId":"2840612261","entityId":"2049157035","entityType":"PERS","pricingAndCommitmentsDetails":{"entityId":"2049157035","entityType":"PERS","entityIdentifierValue":"Reg_BANK_82_PRSPCH1_001","entityIdentifierType":"COREG","entityDivision":"IND","pricingDetails":{"priceAsgnId":"1690014694","actionFlag":"OVRD","priceItemCode":"NPI_036","priceItemDescription":"Price Item NPI_036","pricingStatus":"PRPD","priceCurrencyCode":"USD","rateSchedule":"DM-NBRTH","startDate":"2023-08-12","isEligible":"false","assignmentLevel":"Customer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</si>
  <si>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2840612261","dealId":"4804060489","entityType":"PERS","entityId":"2049157035","pricingAndCommitmentsDetails":{"entityDivision":"IND","entityIdentifierType":"COREG","entityType":"PERS","entityId":"2049157035","entityIdentifierValue":"Reg_BANK_82_PRSPCH1_001","pricingDetails":[{"txnDailyRatingCrt":"DNRT","priceCompDetails":[{"priceCompId":"1698601276","valueAmt":"17","priceCompDesc":"Threshold price per transaction1","rcMapId":"1109655113","displaySw":"true","tieredFlag":"THRS","priceCompTier":{"tierSeqNum":"10","upperLimit":"1000.00","lowerLimit":"0.00","priceCriteria":"NBRTRAN"},"priceCompSequenceNo":"100"},{"priceCompId":"1698601277","valueAmt":"17","priceCompDesc":"Threshold price per transaction 2","rcMapId":"1109655113","displaySw":"true","tieredFlag":"THRS","priceCompTier":{"tierSeqNum":"10","upperLimit":"5000.00","lowerLimit":"1000.00","priceCriteria":"NBRTRAN"},"priceCompSequenceNo":"110"},{"priceCompId":"1698601278","valueAmt":"17","priceCompDesc":"Threshold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1690014694","pricingStatus":"PRPD","printIfZero":"Y","ignoreSw":"N","actionFlag":"OVRD","isEligible":"false","scheduleCode":"MONTHLY","rateSchedule":"DM-NBRTH","startDate":"2023-09-11","assignmentLevel":"Customer Agreed"}]}}}</t>
  </si>
  <si>
    <t>{"C1-DealPriceAsgnCommitmentsREST":{"dealId":"4804060489","modelId":"2840612261","entityId":"2049157035","entityType":"PERS","pricingAndCommitmentsDetails":{"entityId":"2049157035","entityType":"PERS","entityIdentifierValue":"Reg_BANK_82_PRSPCH1_001","entityIdentifierType":"COREG","entityDivision":"IND","pricingDetails":{"priceAsgnId":"1690014695","actionFlag":"OVRD","priceItemCode":"NPI_036","priceItemDescription":"Price Item NPI_036","pricingStatus":"PRPD","priceCurrencyCode":"USD","rateSchedule":"DM-NBRTH","startDate":"2023-09-11","isEligible":"false","assignmentLevel":"Customer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1698601276","priceCompDesc":"Threshold price per transaction1","valueAmt":"17","displaySw":"true","rcMapId":"1109655113","tieredFlag":"THRS","priceCompSequenceNo":"100"},{"priceCompTier":{"upperLimit":"5000.00","lowerLimit":"1000.00","priceCriteria":"NBRTRAN","tierSeqNum":"10"},"priceCompId":"1698601277","priceCompDesc":"Threshold price per transaction 2","valueAmt":"17","displaySw":"true","rcMapId":"1109655113","tieredFlag":"THRS","priceCompSequenceNo":"110"},{"priceCompTier":{"upperLimit":"99999999.99","lowerLimit":"5000.00","priceCriteria":"NBRTRAN","tierSeqNum":"10"},"priceCompId":"1698601278","priceCompDesc":"Threshold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</si>
</sst>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5">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0" fontId="12" fillId="0" borderId="0"/>
    <xf numFmtId="44" fontId="14" fillId="0" borderId="0" applyFont="0" applyFill="0" applyBorder="0" applyAlignment="0" applyProtection="0"/>
  </cellStyleXfs>
  <cellXfs count="184">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0" borderId="0" xfId="0" applyNumberFormat="1"/>
    <xf numFmtId="49" fontId="0" fillId="17"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4" xfId="0" applyFont="1" applyFill="1" applyBorder="1" applyAlignment="1">
      <alignment vertical="top" wrapText="1"/>
    </xf>
    <xf numFmtId="0" fontId="11" fillId="15" borderId="14" xfId="0" applyFont="1" applyFill="1" applyBorder="1" applyAlignment="1">
      <alignment vertical="top"/>
    </xf>
    <xf numFmtId="0" fontId="11" fillId="24" borderId="5" xfId="0" applyFont="1" applyFill="1" applyBorder="1" applyAlignment="1"/>
    <xf numFmtId="0" fontId="11" fillId="24" borderId="6" xfId="0" applyFont="1" applyFill="1" applyBorder="1" applyAlignment="1"/>
    <xf numFmtId="0" fontId="11" fillId="10" borderId="2" xfId="0" applyFont="1" applyFill="1" applyBorder="1" applyAlignment="1">
      <alignment vertical="top"/>
    </xf>
    <xf numFmtId="0" fontId="11" fillId="24" borderId="7" xfId="0" applyFont="1" applyFill="1" applyBorder="1" applyAlignment="1"/>
    <xf numFmtId="0" fontId="11" fillId="10" borderId="3" xfId="0" applyFont="1" applyFill="1" applyBorder="1" applyAlignment="1">
      <alignment vertical="top"/>
    </xf>
    <xf numFmtId="0" fontId="11" fillId="24" borderId="1" xfId="0" applyFont="1" applyFill="1" applyBorder="1" applyAlignment="1">
      <alignment horizontal="left"/>
    </xf>
    <xf numFmtId="49" fontId="11" fillId="24" borderId="1" xfId="0" applyNumberFormat="1" applyFont="1" applyFill="1" applyBorder="1" applyAlignment="1">
      <alignment horizontal="left"/>
    </xf>
    <xf numFmtId="0" fontId="11" fillId="13" borderId="9" xfId="0" applyFont="1" applyFill="1" applyBorder="1" applyAlignment="1">
      <alignment vertical="top"/>
    </xf>
    <xf numFmtId="0" fontId="11" fillId="13" borderId="1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8" borderId="0" xfId="0" applyFont="1" applyFill="1" applyAlignment="1">
      <alignment horizontal="left"/>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7"/>
  <sheetViews>
    <sheetView tabSelected="1" topLeftCell="E177" zoomScale="77" zoomScaleNormal="77" workbookViewId="0">
      <selection activeCell="J185" sqref="J185"/>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19.906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449</v>
      </c>
      <c r="D4" s="28" t="s">
        <v>139</v>
      </c>
      <c r="E4" s="28" t="s">
        <v>140</v>
      </c>
      <c r="F4" s="28"/>
      <c r="G4" s="28"/>
      <c r="H4" s="28"/>
      <c r="I4" s="28" t="s">
        <v>141</v>
      </c>
      <c r="J4" s="28" t="s">
        <v>450</v>
      </c>
    </row>
    <row r="5" spans="1:118" x14ac:dyDescent="0.35">
      <c r="A5" s="28">
        <v>2049157035</v>
      </c>
      <c r="B5" s="28"/>
      <c r="C5" s="28" t="s">
        <v>451</v>
      </c>
      <c r="D5" s="28" t="s">
        <v>139</v>
      </c>
      <c r="E5" s="28" t="s">
        <v>140</v>
      </c>
      <c r="F5" s="28"/>
      <c r="G5" s="28"/>
      <c r="H5" s="28"/>
      <c r="I5" s="28" t="s">
        <v>141</v>
      </c>
      <c r="J5" s="28" t="s">
        <v>452</v>
      </c>
    </row>
    <row r="6" spans="1:118" x14ac:dyDescent="0.35">
      <c r="A6" s="28"/>
      <c r="B6" s="28"/>
      <c r="C6" s="28" t="s">
        <v>453</v>
      </c>
      <c r="D6" s="28" t="s">
        <v>139</v>
      </c>
      <c r="E6" s="28" t="s">
        <v>140</v>
      </c>
      <c r="F6" s="28"/>
      <c r="G6" s="28"/>
      <c r="H6" s="28"/>
      <c r="I6" s="28" t="s">
        <v>141</v>
      </c>
      <c r="J6" s="28" t="s">
        <v>454</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455</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456</v>
      </c>
      <c r="K11" s="28"/>
    </row>
    <row r="12" spans="1:118" x14ac:dyDescent="0.35">
      <c r="A12" s="28"/>
      <c r="B12" s="28" t="str">
        <f>C6</f>
        <v>BANK_82_PRSPCH1CH1_001</v>
      </c>
      <c r="C12" s="28"/>
      <c r="D12" s="28" t="s">
        <v>152</v>
      </c>
      <c r="E12" s="28" t="s">
        <v>153</v>
      </c>
      <c r="F12" s="28" t="s">
        <v>154</v>
      </c>
      <c r="G12" s="28" t="s">
        <v>155</v>
      </c>
      <c r="H12" s="28" t="s">
        <v>156</v>
      </c>
      <c r="I12" s="28" t="s">
        <v>157</v>
      </c>
      <c r="J12" s="28" t="s">
        <v>457</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63" t="s">
        <v>172</v>
      </c>
      <c r="B18" s="163"/>
      <c r="C18" s="163"/>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64" t="s">
        <v>180</v>
      </c>
      <c r="B23" s="165"/>
      <c r="C23" s="165"/>
      <c r="D23" s="165"/>
      <c r="E23" s="165"/>
      <c r="F23" s="165"/>
      <c r="G23" s="165"/>
      <c r="H23" s="165"/>
      <c r="I23" s="165"/>
      <c r="J23" s="165"/>
      <c r="K23" s="165"/>
      <c r="L23" s="165"/>
      <c r="M23" s="165"/>
      <c r="N23" s="165"/>
      <c r="O23" s="165"/>
      <c r="P23" s="165"/>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66" t="s">
        <v>259</v>
      </c>
      <c r="B58" s="167"/>
      <c r="C58" s="167"/>
      <c r="D58" s="168"/>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66" t="s">
        <v>252</v>
      </c>
      <c r="B62" s="167"/>
      <c r="C62" s="167"/>
      <c r="D62" s="168"/>
    </row>
    <row r="63" spans="1:117" ht="15.5" x14ac:dyDescent="0.35">
      <c r="A63" s="26" t="s">
        <v>253</v>
      </c>
      <c r="B63" s="27" t="s">
        <v>254</v>
      </c>
      <c r="C63" s="27" t="s">
        <v>240</v>
      </c>
      <c r="D63" s="26" t="s">
        <v>255</v>
      </c>
      <c r="E63" s="26" t="s">
        <v>187</v>
      </c>
      <c r="F63" s="25" t="s">
        <v>166</v>
      </c>
      <c r="G63" s="25"/>
    </row>
    <row r="64" spans="1:117" x14ac:dyDescent="0.35">
      <c r="A64" s="31" t="s">
        <v>256</v>
      </c>
      <c r="B64" s="28" t="s">
        <v>449</v>
      </c>
      <c r="C64" s="31" t="s">
        <v>171</v>
      </c>
      <c r="D64" s="31" t="s">
        <v>195</v>
      </c>
      <c r="E64" s="31" t="s">
        <v>257</v>
      </c>
      <c r="F64" s="31" t="s">
        <v>168</v>
      </c>
      <c r="G64" s="31"/>
    </row>
    <row r="65" spans="1:14" x14ac:dyDescent="0.35">
      <c r="A65" s="31" t="s">
        <v>256</v>
      </c>
      <c r="B65" s="28" t="s">
        <v>449</v>
      </c>
      <c r="C65" s="31" t="s">
        <v>248</v>
      </c>
      <c r="D65" s="31" t="s">
        <v>195</v>
      </c>
      <c r="E65" s="31" t="s">
        <v>258</v>
      </c>
      <c r="F65" s="31" t="s">
        <v>168</v>
      </c>
      <c r="G65" s="31"/>
    </row>
    <row r="66" spans="1:14" x14ac:dyDescent="0.35">
      <c r="A66" s="31" t="s">
        <v>256</v>
      </c>
      <c r="B66" s="28" t="s">
        <v>449</v>
      </c>
      <c r="C66" s="31" t="s">
        <v>247</v>
      </c>
      <c r="D66" s="31" t="s">
        <v>195</v>
      </c>
      <c r="E66" s="31" t="s">
        <v>258</v>
      </c>
      <c r="F66" s="31" t="s">
        <v>168</v>
      </c>
      <c r="G66" s="31"/>
    </row>
    <row r="68" spans="1:14" ht="18.5" x14ac:dyDescent="0.35">
      <c r="A68" s="166" t="s">
        <v>237</v>
      </c>
      <c r="B68" s="167"/>
      <c r="C68" s="167"/>
      <c r="D68" s="167"/>
      <c r="E68" s="167"/>
      <c r="F68" s="167"/>
      <c r="G68" s="167"/>
      <c r="H68" s="167"/>
      <c r="I68" s="168"/>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449</v>
      </c>
      <c r="B70" s="28">
        <f>C10</f>
        <v>2131846854</v>
      </c>
      <c r="C70" s="28" t="s">
        <v>455</v>
      </c>
      <c r="D70" s="30">
        <f>C16</f>
        <v>9287891848</v>
      </c>
      <c r="E70" s="31" t="s">
        <v>171</v>
      </c>
      <c r="F70" s="31"/>
      <c r="G70" s="31"/>
      <c r="H70" s="31"/>
      <c r="I70" s="31"/>
      <c r="J70" s="42" t="str">
        <f ca="1">TEXT(TODAY()-60,"MM-DD-YYYY")</f>
        <v>06-10-2023</v>
      </c>
      <c r="K70" s="42" t="str">
        <f ca="1">TEXT(TODAY()-30,"MM-DD-YYYY")</f>
        <v>07-10-2023</v>
      </c>
      <c r="L70" s="32" t="s">
        <v>168</v>
      </c>
      <c r="M70" s="32">
        <v>12</v>
      </c>
      <c r="N70" s="40" t="s">
        <v>268</v>
      </c>
    </row>
    <row r="71" spans="1:14" x14ac:dyDescent="0.35">
      <c r="A71" s="28" t="s">
        <v>449</v>
      </c>
      <c r="B71" s="28">
        <f>C10</f>
        <v>2131846854</v>
      </c>
      <c r="C71" s="28" t="s">
        <v>455</v>
      </c>
      <c r="D71" s="30">
        <f>C16</f>
        <v>9287891848</v>
      </c>
      <c r="E71" s="31" t="s">
        <v>171</v>
      </c>
      <c r="F71" s="31"/>
      <c r="G71" s="31"/>
      <c r="H71" s="31"/>
      <c r="I71" s="31"/>
      <c r="J71" s="42" t="str">
        <f ca="1">TEXT(TODAY()-90,"MM-DD-YYYY")</f>
        <v>05-11-2023</v>
      </c>
      <c r="K71" s="42" t="str">
        <f ca="1">TEXT(TODAY()-61,"MM-DD-YYYY")</f>
        <v>06-09-2023</v>
      </c>
      <c r="L71" s="32" t="s">
        <v>168</v>
      </c>
      <c r="M71" s="32">
        <v>13</v>
      </c>
      <c r="N71" s="40" t="s">
        <v>268</v>
      </c>
    </row>
    <row r="72" spans="1:14" x14ac:dyDescent="0.35">
      <c r="A72" s="28" t="s">
        <v>449</v>
      </c>
      <c r="B72" s="28">
        <f>C10</f>
        <v>2131846854</v>
      </c>
      <c r="C72" s="28" t="s">
        <v>455</v>
      </c>
      <c r="D72" s="30">
        <f>C16</f>
        <v>9287891848</v>
      </c>
      <c r="E72" s="31" t="s">
        <v>248</v>
      </c>
      <c r="F72" s="31"/>
      <c r="G72" s="31"/>
      <c r="H72" s="31"/>
      <c r="I72" s="31"/>
      <c r="J72" s="42" t="str">
        <f ca="1">TEXT(TODAY()-120,"MM-DD-YYYY")</f>
        <v>04-11-2023</v>
      </c>
      <c r="K72" s="42" t="str">
        <f ca="1">TEXT(TODAY()-91,"MM-DD-YYYY")</f>
        <v>05-10-2023</v>
      </c>
      <c r="L72" s="32" t="s">
        <v>168</v>
      </c>
      <c r="M72" s="32">
        <v>6</v>
      </c>
      <c r="N72" s="40" t="s">
        <v>268</v>
      </c>
    </row>
    <row r="73" spans="1:14" x14ac:dyDescent="0.35">
      <c r="A73" s="28" t="s">
        <v>449</v>
      </c>
      <c r="B73" s="28">
        <f>C10</f>
        <v>2131846854</v>
      </c>
      <c r="C73" s="28" t="s">
        <v>455</v>
      </c>
      <c r="D73" s="30">
        <f>C16</f>
        <v>9287891848</v>
      </c>
      <c r="E73" s="31" t="s">
        <v>247</v>
      </c>
      <c r="F73" s="31" t="s">
        <v>260</v>
      </c>
      <c r="G73" s="31" t="s">
        <v>153</v>
      </c>
      <c r="H73" s="31" t="s">
        <v>261</v>
      </c>
      <c r="I73" s="31" t="s">
        <v>262</v>
      </c>
      <c r="J73" s="42" t="str">
        <f ca="1">TEXT(TODAY()-150,"MM-DD-YYYY")</f>
        <v>03-12-2023</v>
      </c>
      <c r="K73" s="42" t="str">
        <f ca="1">TEXT(TODAY()-121,"MM-DD-YYYY")</f>
        <v>04-10-2023</v>
      </c>
      <c r="L73" s="32" t="s">
        <v>168</v>
      </c>
      <c r="M73" s="32">
        <v>7</v>
      </c>
      <c r="N73" s="40" t="s">
        <v>268</v>
      </c>
    </row>
    <row r="74" spans="1:14" x14ac:dyDescent="0.35">
      <c r="A74" s="28" t="s">
        <v>449</v>
      </c>
      <c r="B74" s="41">
        <f>C10</f>
        <v>2131846854</v>
      </c>
      <c r="C74" s="28" t="s">
        <v>455</v>
      </c>
      <c r="D74" s="30">
        <f>C16</f>
        <v>9287891848</v>
      </c>
      <c r="E74" s="31" t="s">
        <v>247</v>
      </c>
      <c r="F74" s="31" t="s">
        <v>260</v>
      </c>
      <c r="G74" s="31" t="s">
        <v>153</v>
      </c>
      <c r="H74" s="31" t="s">
        <v>261</v>
      </c>
      <c r="I74" s="31" t="s">
        <v>267</v>
      </c>
      <c r="J74" s="42" t="str">
        <f ca="1">TEXT(TODAY()-180,"MM-DD-YYYY")</f>
        <v>02-10-2023</v>
      </c>
      <c r="K74" s="42" t="str">
        <f ca="1">TEXT(TODAY()-151,"MM-DD-YYYY")</f>
        <v>03-11-2023</v>
      </c>
      <c r="L74" s="32" t="s">
        <v>168</v>
      </c>
      <c r="M74" s="32">
        <v>10</v>
      </c>
      <c r="N74" s="40" t="s">
        <v>268</v>
      </c>
    </row>
    <row r="76" spans="1:14" ht="50.4" customHeight="1" x14ac:dyDescent="0.35">
      <c r="A76" s="161" t="s">
        <v>269</v>
      </c>
      <c r="B76" s="161"/>
      <c r="C76" s="161"/>
      <c r="D76" s="161"/>
      <c r="E76" s="161"/>
      <c r="F76" s="161"/>
      <c r="G76" s="161"/>
      <c r="H76" s="161"/>
      <c r="I76" s="161"/>
      <c r="J76" s="161"/>
      <c r="K76" s="161"/>
    </row>
    <row r="78" spans="1:14" ht="16.75" customHeight="1" x14ac:dyDescent="0.35">
      <c r="A78" s="162" t="s">
        <v>270</v>
      </c>
      <c r="B78" s="162"/>
      <c r="C78" s="162"/>
      <c r="D78" s="162"/>
    </row>
    <row r="79" spans="1:14" x14ac:dyDescent="0.35">
      <c r="A79" s="43" t="s">
        <v>271</v>
      </c>
      <c r="B79" s="43" t="s">
        <v>272</v>
      </c>
      <c r="C79" s="43" t="s">
        <v>130</v>
      </c>
      <c r="D79" s="43" t="s">
        <v>273</v>
      </c>
    </row>
    <row r="80" spans="1:14" x14ac:dyDescent="0.35">
      <c r="A80" s="32" t="s">
        <v>274</v>
      </c>
      <c r="B80" s="28">
        <v>2049157035</v>
      </c>
      <c r="C80" s="44" t="s">
        <v>275</v>
      </c>
      <c r="D80" s="28" t="s">
        <v>451</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48" t="s">
        <v>296</v>
      </c>
      <c r="U83" s="149"/>
      <c r="V83" s="150"/>
      <c r="W83" s="148" t="s">
        <v>297</v>
      </c>
      <c r="X83" s="150"/>
      <c r="Y83" s="49"/>
      <c r="Z83" s="145" t="s">
        <v>298</v>
      </c>
      <c r="AA83" s="146"/>
      <c r="AB83" s="146"/>
      <c r="AC83" s="146"/>
      <c r="AD83" s="146"/>
      <c r="AE83" s="146"/>
      <c r="AF83" s="147"/>
      <c r="AG83" s="145" t="s">
        <v>299</v>
      </c>
      <c r="AH83" s="146"/>
      <c r="AI83" s="146"/>
      <c r="AJ83" s="146"/>
      <c r="AK83" s="146"/>
      <c r="AL83" s="147"/>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463</v>
      </c>
      <c r="B85" s="28">
        <f>B80</f>
        <v>2049157035</v>
      </c>
      <c r="C85" s="56" t="s">
        <v>458</v>
      </c>
      <c r="D85" s="57" t="s">
        <v>343</v>
      </c>
      <c r="E85" s="41" t="s">
        <v>155</v>
      </c>
      <c r="F85" s="56" t="s">
        <v>323</v>
      </c>
      <c r="G85" s="58" t="str">
        <f ca="1">TEXT(TODAY(),"YYYY-MM-DD")</f>
        <v>2023-08-09</v>
      </c>
      <c r="H85" s="58" t="str">
        <f ca="1">TEXT(TODAY(),"YYYY-MM-DD")</f>
        <v>2023-08-09</v>
      </c>
      <c r="I85" s="56">
        <v>12</v>
      </c>
      <c r="J85" s="56">
        <v>12</v>
      </c>
      <c r="K85" s="56">
        <v>12</v>
      </c>
      <c r="L85" s="56" t="s">
        <v>459</v>
      </c>
      <c r="M85" s="56" t="s">
        <v>460</v>
      </c>
      <c r="N85" s="30" t="s">
        <v>325</v>
      </c>
      <c r="O85" s="30" t="s">
        <v>324</v>
      </c>
      <c r="P85" s="30" t="s">
        <v>325</v>
      </c>
      <c r="Q85" s="30" t="s">
        <v>325</v>
      </c>
      <c r="R85" s="30" t="s">
        <v>324</v>
      </c>
      <c r="S85" s="41"/>
      <c r="T85" s="41" t="s">
        <v>326</v>
      </c>
      <c r="U85" s="41" t="s">
        <v>327</v>
      </c>
      <c r="V85" s="41"/>
      <c r="W85" s="41" t="s">
        <v>328</v>
      </c>
      <c r="X85" s="41" t="s">
        <v>329</v>
      </c>
      <c r="Y85" s="41"/>
      <c r="Z85" s="41" t="s">
        <v>428</v>
      </c>
      <c r="AA85" s="41" t="s">
        <v>429</v>
      </c>
      <c r="AB85" s="41"/>
      <c r="AC85" s="41"/>
      <c r="AD85" s="41" t="s">
        <v>324</v>
      </c>
      <c r="AE85" s="41" t="s">
        <v>324</v>
      </c>
      <c r="AF85" s="41" t="s">
        <v>325</v>
      </c>
      <c r="AG85" s="41"/>
      <c r="AH85" s="41"/>
      <c r="AI85" s="41"/>
      <c r="AJ85" s="41" t="s">
        <v>325</v>
      </c>
      <c r="AK85" s="41" t="s">
        <v>325</v>
      </c>
      <c r="AL85" s="41" t="s">
        <v>325</v>
      </c>
      <c r="AM85" s="56"/>
      <c r="AN85" s="56">
        <v>22</v>
      </c>
      <c r="AO85" s="56">
        <v>22</v>
      </c>
      <c r="AP85" s="56">
        <v>17</v>
      </c>
      <c r="AS85" s="52"/>
      <c r="AT85" s="52"/>
      <c r="AU85" s="52"/>
      <c r="AV85" s="85"/>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330</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331</v>
      </c>
      <c r="G88" s="24" t="s">
        <v>332</v>
      </c>
      <c r="H88" s="24" t="s">
        <v>333</v>
      </c>
      <c r="I88" s="24" t="s">
        <v>334</v>
      </c>
      <c r="J88" s="24" t="s">
        <v>335</v>
      </c>
      <c r="K88" s="24" t="s">
        <v>336</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2023-08-09</v>
      </c>
      <c r="D89" s="34" t="s">
        <v>153</v>
      </c>
      <c r="E89" s="34" t="s">
        <v>341</v>
      </c>
      <c r="F89" s="62" t="str">
        <f ca="1">TEXT(TODAY(),"YYYY-MM-DD")</f>
        <v>2023-08-09</v>
      </c>
      <c r="G89" s="58" t="s">
        <v>325</v>
      </c>
      <c r="H89" s="28">
        <f>B85</f>
        <v>2049157035</v>
      </c>
      <c r="I89" s="34" t="s">
        <v>337</v>
      </c>
      <c r="J89" s="34" t="s">
        <v>342</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339</v>
      </c>
      <c r="B90" s="34" t="s">
        <v>340</v>
      </c>
      <c r="C90" s="34" t="str">
        <f ca="1">TEXT(TODAY(),"YYYY-MM-DD")</f>
        <v>2023-08-09</v>
      </c>
      <c r="D90" s="34" t="s">
        <v>153</v>
      </c>
      <c r="E90" s="34" t="s">
        <v>177</v>
      </c>
      <c r="F90" s="62" t="str">
        <f ca="1">TEXT(TODAY(),"YYYY-MM-DD")</f>
        <v>2023-08-09</v>
      </c>
      <c r="G90" s="58" t="s">
        <v>325</v>
      </c>
      <c r="H90" s="28">
        <f>B85</f>
        <v>2049157035</v>
      </c>
      <c r="I90" s="34" t="s">
        <v>337</v>
      </c>
      <c r="J90" s="34" t="s">
        <v>338</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53" t="s">
        <v>430</v>
      </c>
      <c r="B92" s="154"/>
      <c r="C92" s="154"/>
      <c r="D92" s="154"/>
      <c r="E92" s="154"/>
      <c r="F92" s="154"/>
      <c r="G92" s="154"/>
      <c r="H92" s="154"/>
      <c r="I92" s="154"/>
      <c r="J92" s="154"/>
      <c r="K92" s="154"/>
      <c r="L92" s="154"/>
      <c r="M92" s="154"/>
      <c r="N92" s="154"/>
      <c r="O92" s="154"/>
      <c r="P92" s="154"/>
      <c r="Q92" s="154"/>
      <c r="R92" s="154"/>
      <c r="S92" s="82"/>
      <c r="AE92" s="52"/>
      <c r="AF92" s="52"/>
      <c r="AG92" s="52"/>
    </row>
    <row r="93" spans="1:78" x14ac:dyDescent="0.35">
      <c r="A93" s="83" t="s">
        <v>391</v>
      </c>
      <c r="B93" s="83" t="s">
        <v>392</v>
      </c>
      <c r="C93" s="83" t="s">
        <v>393</v>
      </c>
      <c r="D93" s="86" t="s">
        <v>283</v>
      </c>
      <c r="E93" s="86" t="s">
        <v>295</v>
      </c>
      <c r="F93" s="86" t="s">
        <v>187</v>
      </c>
      <c r="G93" s="83" t="s">
        <v>394</v>
      </c>
      <c r="H93" s="87" t="s">
        <v>395</v>
      </c>
      <c r="I93" s="86" t="s">
        <v>166</v>
      </c>
      <c r="J93" s="86" t="s">
        <v>396</v>
      </c>
      <c r="K93" s="88" t="s">
        <v>351</v>
      </c>
      <c r="L93" s="86" t="s">
        <v>397</v>
      </c>
      <c r="M93" s="88" t="s">
        <v>352</v>
      </c>
      <c r="N93" s="86" t="s">
        <v>398</v>
      </c>
      <c r="O93" s="86" t="s">
        <v>399</v>
      </c>
      <c r="P93" s="86" t="s">
        <v>359</v>
      </c>
      <c r="Q93" s="86" t="s">
        <v>400</v>
      </c>
      <c r="R93" s="86" t="s">
        <v>401</v>
      </c>
      <c r="S93" s="84"/>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89" t="s">
        <v>167</v>
      </c>
      <c r="B94" s="77"/>
      <c r="C94" s="90" t="s">
        <v>416</v>
      </c>
      <c r="D94" s="90"/>
      <c r="E94" s="90"/>
      <c r="F94" s="91">
        <v>21</v>
      </c>
      <c r="G94" s="90" t="str">
        <f>CONCATENATE("USD,FLAT ",TEXT(F94,"0.00"))</f>
        <v>USD,FLAT 21.00</v>
      </c>
      <c r="H94" s="92" t="str">
        <f>TEXT(21,"0")</f>
        <v>21</v>
      </c>
      <c r="I94" s="90" t="s">
        <v>168</v>
      </c>
      <c r="J94" s="91">
        <v>1</v>
      </c>
      <c r="K94" s="92" t="str">
        <f>TEXT(21,"0")</f>
        <v>21</v>
      </c>
      <c r="L94" s="90"/>
      <c r="M94" s="92" t="str">
        <f>TEXT(23,"0")</f>
        <v>23</v>
      </c>
      <c r="N94" s="90"/>
      <c r="O94" s="90" t="s">
        <v>414</v>
      </c>
      <c r="P94" s="90" t="s">
        <v>413</v>
      </c>
      <c r="Q94" s="90"/>
      <c r="R94" s="90"/>
      <c r="S94" s="93"/>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7"/>
      <c r="B95" s="77"/>
      <c r="C95" s="94" t="s">
        <v>431</v>
      </c>
      <c r="D95" s="94"/>
      <c r="E95" s="94"/>
      <c r="F95" s="95"/>
      <c r="G95" s="94"/>
      <c r="H95" s="95"/>
      <c r="I95" s="94"/>
      <c r="J95" s="95"/>
      <c r="K95" s="95"/>
      <c r="L95" s="94"/>
      <c r="M95" s="96"/>
      <c r="N95" s="94"/>
      <c r="O95" s="94"/>
      <c r="P95" s="94"/>
      <c r="Q95" s="94"/>
      <c r="R95" s="94"/>
      <c r="S95" s="97"/>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7"/>
      <c r="B96" s="77"/>
      <c r="C96" s="80" t="s">
        <v>415</v>
      </c>
      <c r="D96" s="80"/>
      <c r="E96" s="80"/>
      <c r="F96" s="98"/>
      <c r="G96" s="80"/>
      <c r="H96" s="98"/>
      <c r="I96" s="80"/>
      <c r="J96" s="98"/>
      <c r="K96" s="98"/>
      <c r="L96" s="80"/>
      <c r="M96" s="99"/>
      <c r="N96" s="80"/>
      <c r="O96" s="80"/>
      <c r="P96" s="80"/>
      <c r="Q96" s="80"/>
      <c r="R96" s="80"/>
      <c r="S96" s="100"/>
    </row>
    <row r="97" spans="1:19" x14ac:dyDescent="0.35">
      <c r="A97" s="77"/>
      <c r="B97" s="77"/>
      <c r="C97" s="101" t="s">
        <v>432</v>
      </c>
      <c r="D97" s="101"/>
      <c r="E97" s="101"/>
      <c r="F97" s="102"/>
      <c r="G97" s="101"/>
      <c r="H97" s="102"/>
      <c r="I97" s="101"/>
      <c r="J97" s="102"/>
      <c r="K97" s="102"/>
      <c r="L97" s="101"/>
      <c r="M97" s="103"/>
      <c r="N97" s="101"/>
      <c r="O97" s="101"/>
      <c r="P97" s="101"/>
      <c r="Q97" s="101"/>
      <c r="R97" s="101"/>
      <c r="S97" s="104"/>
    </row>
    <row r="98" spans="1:19" x14ac:dyDescent="0.35">
      <c r="A98" s="89" t="s">
        <v>169</v>
      </c>
      <c r="B98" s="77"/>
      <c r="C98" s="90" t="s">
        <v>416</v>
      </c>
      <c r="D98" s="90"/>
      <c r="E98" s="90"/>
      <c r="F98" s="91">
        <v>25</v>
      </c>
      <c r="G98" s="90" t="str">
        <f>CONCATENATE("USD,FLAT ",TEXT(F98,"0.00"))</f>
        <v>USD,FLAT 25.00</v>
      </c>
      <c r="H98" s="92" t="str">
        <f>TEXT(25,"0")</f>
        <v>25</v>
      </c>
      <c r="I98" s="90" t="s">
        <v>168</v>
      </c>
      <c r="J98" s="91">
        <v>1</v>
      </c>
      <c r="K98" s="92" t="str">
        <f>TEXT(25,"0")</f>
        <v>25</v>
      </c>
      <c r="L98" s="90"/>
      <c r="M98" s="92" t="str">
        <f>TEXT(23,"0")</f>
        <v>23</v>
      </c>
      <c r="N98" s="90" t="s">
        <v>340</v>
      </c>
      <c r="O98" s="90" t="s">
        <v>418</v>
      </c>
      <c r="P98" s="90" t="s">
        <v>413</v>
      </c>
      <c r="Q98" s="90"/>
      <c r="R98" s="90"/>
      <c r="S98" s="93"/>
    </row>
    <row r="99" spans="1:19" x14ac:dyDescent="0.35">
      <c r="A99" s="77"/>
      <c r="B99" s="77"/>
      <c r="C99" s="94" t="s">
        <v>431</v>
      </c>
      <c r="D99" s="94"/>
      <c r="E99" s="94"/>
      <c r="F99" s="95"/>
      <c r="G99" s="94"/>
      <c r="H99" s="95"/>
      <c r="I99" s="94"/>
      <c r="J99" s="95"/>
      <c r="K99" s="95"/>
      <c r="L99" s="94"/>
      <c r="M99" s="96"/>
      <c r="N99" s="94"/>
      <c r="O99" s="94"/>
      <c r="P99" s="94"/>
      <c r="Q99" s="94"/>
      <c r="R99" s="94"/>
      <c r="S99" s="97"/>
    </row>
    <row r="100" spans="1:19" x14ac:dyDescent="0.35">
      <c r="A100" s="77"/>
      <c r="B100" s="77"/>
      <c r="C100" s="80" t="s">
        <v>415</v>
      </c>
      <c r="D100" s="80"/>
      <c r="E100" s="80"/>
      <c r="F100" s="98"/>
      <c r="G100" s="80"/>
      <c r="H100" s="98"/>
      <c r="I100" s="80"/>
      <c r="J100" s="98"/>
      <c r="K100" s="98"/>
      <c r="L100" s="80"/>
      <c r="M100" s="99"/>
      <c r="N100" s="80"/>
      <c r="O100" s="80"/>
      <c r="P100" s="80"/>
      <c r="Q100" s="80"/>
      <c r="R100" s="80"/>
      <c r="S100" s="100"/>
    </row>
    <row r="101" spans="1:19" x14ac:dyDescent="0.35">
      <c r="A101" s="77"/>
      <c r="B101" s="77"/>
      <c r="C101" s="101" t="s">
        <v>432</v>
      </c>
      <c r="D101" s="101"/>
      <c r="E101" s="101"/>
      <c r="F101" s="102"/>
      <c r="G101" s="101"/>
      <c r="H101" s="102"/>
      <c r="I101" s="101"/>
      <c r="J101" s="102"/>
      <c r="K101" s="102"/>
      <c r="L101" s="101"/>
      <c r="M101" s="103"/>
      <c r="N101" s="101"/>
      <c r="O101" s="101"/>
      <c r="P101" s="101"/>
      <c r="Q101" s="101"/>
      <c r="R101" s="101"/>
      <c r="S101" s="104"/>
    </row>
    <row r="102" spans="1:19" x14ac:dyDescent="0.35">
      <c r="A102" s="89" t="s">
        <v>170</v>
      </c>
      <c r="B102" s="77"/>
      <c r="C102" s="90" t="s">
        <v>416</v>
      </c>
      <c r="D102" s="90"/>
      <c r="E102" s="90"/>
      <c r="F102" s="91">
        <v>17.25</v>
      </c>
      <c r="G102" s="90" t="str">
        <f>CONCATENATE("USD,FLAT ",TEXT(F102,"0.00"))</f>
        <v>USD,FLAT 17.25</v>
      </c>
      <c r="H102" s="92" t="str">
        <f>TEXT(17.25,"0.00")</f>
        <v>17.25</v>
      </c>
      <c r="I102" s="90" t="s">
        <v>168</v>
      </c>
      <c r="J102" s="92" t="str">
        <f>TEXT(26.85,"0.00")</f>
        <v>26.85</v>
      </c>
      <c r="K102" s="91" t="str">
        <f>TEXT(463.16,"0.00")</f>
        <v>463.16</v>
      </c>
      <c r="L102" s="90"/>
      <c r="M102" s="92" t="str">
        <f>TEXT(100.56,"0.00")</f>
        <v>100.56</v>
      </c>
      <c r="N102" s="90"/>
      <c r="O102" s="90" t="s">
        <v>414</v>
      </c>
      <c r="P102" s="90" t="s">
        <v>413</v>
      </c>
      <c r="Q102" s="90"/>
      <c r="R102" s="90"/>
      <c r="S102" s="93"/>
    </row>
    <row r="103" spans="1:19" x14ac:dyDescent="0.35">
      <c r="A103" s="77"/>
      <c r="B103" s="77"/>
      <c r="C103" s="94" t="s">
        <v>431</v>
      </c>
      <c r="D103" s="94"/>
      <c r="E103" s="94"/>
      <c r="F103" s="95"/>
      <c r="G103" s="94"/>
      <c r="H103" s="95"/>
      <c r="I103" s="94"/>
      <c r="J103" s="96"/>
      <c r="K103" s="95"/>
      <c r="L103" s="94"/>
      <c r="M103" s="96"/>
      <c r="N103" s="94"/>
      <c r="O103" s="94"/>
      <c r="P103" s="94"/>
      <c r="Q103" s="94"/>
      <c r="R103" s="94"/>
      <c r="S103" s="97"/>
    </row>
    <row r="104" spans="1:19" x14ac:dyDescent="0.35">
      <c r="A104" s="77"/>
      <c r="B104" s="77"/>
      <c r="C104" s="80" t="s">
        <v>415</v>
      </c>
      <c r="D104" s="80"/>
      <c r="E104" s="80"/>
      <c r="F104" s="98"/>
      <c r="G104" s="80"/>
      <c r="H104" s="98"/>
      <c r="I104" s="80"/>
      <c r="J104" s="99"/>
      <c r="K104" s="98"/>
      <c r="L104" s="80"/>
      <c r="M104" s="99"/>
      <c r="N104" s="80"/>
      <c r="O104" s="80"/>
      <c r="P104" s="80"/>
      <c r="Q104" s="80"/>
      <c r="R104" s="80"/>
      <c r="S104" s="100"/>
    </row>
    <row r="105" spans="1:19" x14ac:dyDescent="0.35">
      <c r="A105" s="77"/>
      <c r="B105" s="77"/>
      <c r="C105" s="101" t="s">
        <v>432</v>
      </c>
      <c r="D105" s="101"/>
      <c r="E105" s="101"/>
      <c r="F105" s="102"/>
      <c r="G105" s="101"/>
      <c r="H105" s="102"/>
      <c r="I105" s="101"/>
      <c r="J105" s="103"/>
      <c r="K105" s="102"/>
      <c r="L105" s="101"/>
      <c r="M105" s="103"/>
      <c r="N105" s="101"/>
      <c r="O105" s="101"/>
      <c r="P105" s="101"/>
      <c r="Q105" s="101"/>
      <c r="R105" s="101"/>
      <c r="S105" s="104"/>
    </row>
    <row r="106" spans="1:19" x14ac:dyDescent="0.35">
      <c r="A106" s="89" t="s">
        <v>171</v>
      </c>
      <c r="B106" s="77"/>
      <c r="C106" s="90" t="s">
        <v>416</v>
      </c>
      <c r="D106" s="90"/>
      <c r="E106" s="90"/>
      <c r="F106" s="91">
        <v>13.25</v>
      </c>
      <c r="G106" s="90" t="str">
        <f>CONCATENATE("USD,FLAT ",TEXT(F106,"0.00"))</f>
        <v>USD,FLAT 13.25</v>
      </c>
      <c r="H106" s="92" t="str">
        <f>TEXT(13.25,"0.00")</f>
        <v>13.25</v>
      </c>
      <c r="I106" s="90" t="s">
        <v>168</v>
      </c>
      <c r="J106" s="92" t="str">
        <f>TEXT(176.85,"0.00")</f>
        <v>176.85</v>
      </c>
      <c r="K106" s="92" t="str">
        <f>TEXT(2343.26,"0.00")</f>
        <v>2343.26</v>
      </c>
      <c r="L106" s="90"/>
      <c r="M106" s="92" t="str">
        <f>TEXT(550.54,"0.00")</f>
        <v>550.54</v>
      </c>
      <c r="N106" s="90"/>
      <c r="O106" s="90" t="s">
        <v>414</v>
      </c>
      <c r="P106" s="90" t="s">
        <v>413</v>
      </c>
      <c r="Q106" s="90"/>
      <c r="R106" s="90"/>
      <c r="S106" s="93"/>
    </row>
    <row r="107" spans="1:19" x14ac:dyDescent="0.35">
      <c r="A107" s="77"/>
      <c r="B107" s="77"/>
      <c r="C107" s="94" t="s">
        <v>431</v>
      </c>
      <c r="D107" s="94"/>
      <c r="E107" s="94"/>
      <c r="F107" s="95"/>
      <c r="G107" s="94"/>
      <c r="H107" s="95"/>
      <c r="I107" s="94"/>
      <c r="J107" s="95"/>
      <c r="K107" s="95"/>
      <c r="L107" s="94"/>
      <c r="M107" s="95"/>
      <c r="N107" s="94"/>
      <c r="O107" s="94"/>
      <c r="P107" s="94"/>
      <c r="Q107" s="94"/>
      <c r="R107" s="94"/>
      <c r="S107" s="97"/>
    </row>
    <row r="108" spans="1:19" x14ac:dyDescent="0.35">
      <c r="A108" s="77"/>
      <c r="B108" s="77"/>
      <c r="C108" s="80" t="s">
        <v>415</v>
      </c>
      <c r="D108" s="80"/>
      <c r="E108" s="80"/>
      <c r="F108" s="98"/>
      <c r="G108" s="80"/>
      <c r="H108" s="98"/>
      <c r="I108" s="80"/>
      <c r="J108" s="98"/>
      <c r="K108" s="98"/>
      <c r="L108" s="80"/>
      <c r="M108" s="98"/>
      <c r="N108" s="80"/>
      <c r="O108" s="80"/>
      <c r="P108" s="80"/>
      <c r="Q108" s="80"/>
      <c r="R108" s="80"/>
      <c r="S108" s="100"/>
    </row>
    <row r="109" spans="1:19" x14ac:dyDescent="0.35">
      <c r="A109" s="77"/>
      <c r="B109" s="77"/>
      <c r="C109" s="101" t="s">
        <v>432</v>
      </c>
      <c r="D109" s="101"/>
      <c r="E109" s="101"/>
      <c r="F109" s="102"/>
      <c r="G109" s="101"/>
      <c r="H109" s="102"/>
      <c r="I109" s="101"/>
      <c r="J109" s="102"/>
      <c r="K109" s="102"/>
      <c r="L109" s="101"/>
      <c r="M109" s="102"/>
      <c r="N109" s="101"/>
      <c r="O109" s="101"/>
      <c r="P109" s="101"/>
      <c r="Q109" s="101"/>
      <c r="R109" s="101"/>
      <c r="S109" s="104"/>
    </row>
    <row r="110" spans="1:19" x14ac:dyDescent="0.35">
      <c r="A110" s="105" t="s">
        <v>433</v>
      </c>
      <c r="B110" s="105"/>
      <c r="C110" s="105" t="s">
        <v>416</v>
      </c>
      <c r="D110" s="105"/>
      <c r="E110" s="105"/>
      <c r="F110" s="106"/>
      <c r="G110" s="105"/>
      <c r="H110" s="106"/>
      <c r="I110" s="105"/>
      <c r="J110" s="106"/>
      <c r="K110" s="106"/>
      <c r="L110" s="105"/>
      <c r="M110" s="106"/>
      <c r="N110" s="105"/>
      <c r="O110" s="105"/>
      <c r="P110" s="105"/>
      <c r="Q110" s="105"/>
      <c r="R110" s="105"/>
      <c r="S110" s="107"/>
    </row>
    <row r="111" spans="1:19" x14ac:dyDescent="0.35">
      <c r="A111" s="105" t="s">
        <v>433</v>
      </c>
      <c r="B111" s="105"/>
      <c r="C111" s="105" t="s">
        <v>431</v>
      </c>
      <c r="D111" s="105"/>
      <c r="E111" s="105"/>
      <c r="F111" s="106"/>
      <c r="G111" s="105"/>
      <c r="H111" s="106"/>
      <c r="I111" s="105"/>
      <c r="J111" s="106"/>
      <c r="K111" s="106"/>
      <c r="L111" s="105"/>
      <c r="M111" s="106"/>
      <c r="N111" s="105"/>
      <c r="O111" s="105"/>
      <c r="P111" s="105"/>
      <c r="Q111" s="105"/>
      <c r="R111" s="105"/>
      <c r="S111" s="107"/>
    </row>
    <row r="112" spans="1:19" x14ac:dyDescent="0.35">
      <c r="A112" s="108" t="s">
        <v>434</v>
      </c>
      <c r="B112" s="108"/>
      <c r="C112" s="108" t="s">
        <v>416</v>
      </c>
      <c r="D112" s="108"/>
      <c r="E112" s="108"/>
      <c r="F112" s="109"/>
      <c r="G112" s="108"/>
      <c r="H112" s="109"/>
      <c r="I112" s="108"/>
      <c r="J112" s="109"/>
      <c r="K112" s="109"/>
      <c r="L112" s="108"/>
      <c r="M112" s="109"/>
      <c r="N112" s="108"/>
      <c r="O112" s="108"/>
      <c r="P112" s="108"/>
      <c r="Q112" s="108"/>
      <c r="R112" s="108"/>
      <c r="S112" s="110"/>
    </row>
    <row r="113" spans="1:19" x14ac:dyDescent="0.35">
      <c r="A113" s="108" t="s">
        <v>434</v>
      </c>
      <c r="B113" s="108"/>
      <c r="C113" s="108" t="s">
        <v>431</v>
      </c>
      <c r="D113" s="108"/>
      <c r="E113" s="108"/>
      <c r="F113" s="109"/>
      <c r="G113" s="108"/>
      <c r="H113" s="109"/>
      <c r="I113" s="108"/>
      <c r="J113" s="109"/>
      <c r="K113" s="109"/>
      <c r="L113" s="108"/>
      <c r="M113" s="109"/>
      <c r="N113" s="108"/>
      <c r="O113" s="108"/>
      <c r="P113" s="108"/>
      <c r="Q113" s="108"/>
      <c r="R113" s="108"/>
      <c r="S113" s="110"/>
    </row>
    <row r="114" spans="1:19" x14ac:dyDescent="0.35">
      <c r="A114" s="89" t="s">
        <v>194</v>
      </c>
      <c r="B114" s="77"/>
      <c r="C114" s="90" t="s">
        <v>416</v>
      </c>
      <c r="D114" s="90"/>
      <c r="E114" s="90"/>
      <c r="F114" s="91">
        <v>0.25</v>
      </c>
      <c r="G114" s="90" t="str">
        <f>CONCATENATE("USD,FLAT ",TEXT(F114,"0.00"))</f>
        <v>USD,FLAT 0.25</v>
      </c>
      <c r="H114" s="91" t="str">
        <f>TEXT(0.26,"0.00")</f>
        <v>0.26</v>
      </c>
      <c r="I114" s="90" t="s">
        <v>168</v>
      </c>
      <c r="J114" s="91">
        <v>1</v>
      </c>
      <c r="K114" s="91" t="str">
        <f>TEXT(0.26,"0.00")</f>
        <v>0.26</v>
      </c>
      <c r="L114" s="90"/>
      <c r="M114" s="91">
        <v>23</v>
      </c>
      <c r="N114" s="90" t="s">
        <v>179</v>
      </c>
      <c r="O114" s="90" t="s">
        <v>418</v>
      </c>
      <c r="P114" s="90" t="s">
        <v>435</v>
      </c>
      <c r="Q114" s="90"/>
      <c r="R114" s="90"/>
      <c r="S114" s="93"/>
    </row>
    <row r="115" spans="1:19" x14ac:dyDescent="0.35">
      <c r="A115" s="111"/>
      <c r="B115" s="111"/>
      <c r="C115" s="94" t="s">
        <v>431</v>
      </c>
      <c r="D115" s="94"/>
      <c r="E115" s="94"/>
      <c r="F115" s="95"/>
      <c r="G115" s="94"/>
      <c r="H115" s="95"/>
      <c r="I115" s="112"/>
      <c r="J115" s="95"/>
      <c r="K115" s="95"/>
      <c r="L115" s="94"/>
      <c r="M115" s="95"/>
      <c r="N115" s="94"/>
      <c r="O115" s="94"/>
      <c r="P115" s="94"/>
      <c r="Q115" s="94"/>
      <c r="R115" s="94"/>
      <c r="S115" s="97"/>
    </row>
    <row r="116" spans="1:19" x14ac:dyDescent="0.35">
      <c r="A116" s="111"/>
      <c r="B116" s="111"/>
      <c r="C116" s="80" t="s">
        <v>415</v>
      </c>
      <c r="D116" s="80"/>
      <c r="E116" s="80"/>
      <c r="F116" s="98"/>
      <c r="G116" s="80"/>
      <c r="H116" s="98"/>
      <c r="I116" s="80"/>
      <c r="J116" s="98"/>
      <c r="K116" s="98"/>
      <c r="L116" s="80"/>
      <c r="M116" s="98"/>
      <c r="N116" s="80"/>
      <c r="O116" s="80"/>
      <c r="P116" s="80"/>
      <c r="Q116" s="80"/>
      <c r="R116" s="80"/>
      <c r="S116" s="100"/>
    </row>
    <row r="117" spans="1:19" x14ac:dyDescent="0.35">
      <c r="A117" s="111"/>
      <c r="B117" s="111"/>
      <c r="C117" s="101" t="s">
        <v>432</v>
      </c>
      <c r="D117" s="101"/>
      <c r="E117" s="101"/>
      <c r="F117" s="102"/>
      <c r="G117" s="101"/>
      <c r="H117" s="102"/>
      <c r="I117" s="101"/>
      <c r="J117" s="102"/>
      <c r="K117" s="102"/>
      <c r="L117" s="101"/>
      <c r="M117" s="102"/>
      <c r="N117" s="101"/>
      <c r="O117" s="101"/>
      <c r="P117" s="101"/>
      <c r="Q117" s="101"/>
      <c r="R117" s="101"/>
      <c r="S117" s="104"/>
    </row>
    <row r="118" spans="1:19" x14ac:dyDescent="0.35">
      <c r="A118" s="89" t="s">
        <v>200</v>
      </c>
      <c r="B118" s="77"/>
      <c r="C118" s="90" t="s">
        <v>416</v>
      </c>
      <c r="D118" s="90"/>
      <c r="E118" s="90"/>
      <c r="F118" s="91">
        <v>11.85</v>
      </c>
      <c r="G118" s="90" t="str">
        <f>CONCATENATE("USD,FLAT ",TEXT(F118,"0.00"))</f>
        <v>USD,FLAT 11.85</v>
      </c>
      <c r="H118" s="91" t="str">
        <f>TEXT(11.86,"0.00")</f>
        <v>11.86</v>
      </c>
      <c r="I118" s="90" t="s">
        <v>168</v>
      </c>
      <c r="J118" s="91">
        <v>1</v>
      </c>
      <c r="K118" s="91" t="str">
        <f>TEXT(11.86,"0.00")</f>
        <v>11.86</v>
      </c>
      <c r="L118" s="90"/>
      <c r="M118" s="91">
        <v>23</v>
      </c>
      <c r="N118" s="90"/>
      <c r="O118" s="90" t="s">
        <v>414</v>
      </c>
      <c r="P118" s="90" t="s">
        <v>413</v>
      </c>
      <c r="Q118" s="90"/>
      <c r="R118" s="90"/>
      <c r="S118" s="93"/>
    </row>
    <row r="119" spans="1:19" x14ac:dyDescent="0.35">
      <c r="A119" s="77"/>
      <c r="B119" s="77"/>
      <c r="C119" s="94" t="s">
        <v>431</v>
      </c>
      <c r="D119" s="94"/>
      <c r="E119" s="94"/>
      <c r="F119" s="95"/>
      <c r="G119" s="94"/>
      <c r="H119" s="95"/>
      <c r="I119" s="112"/>
      <c r="J119" s="95"/>
      <c r="K119" s="95"/>
      <c r="L119" s="94"/>
      <c r="M119" s="95"/>
      <c r="N119" s="94"/>
      <c r="O119" s="94"/>
      <c r="P119" s="94"/>
      <c r="Q119" s="94"/>
      <c r="R119" s="94"/>
      <c r="S119" s="97"/>
    </row>
    <row r="120" spans="1:19" x14ac:dyDescent="0.35">
      <c r="A120" s="77"/>
      <c r="B120" s="77"/>
      <c r="C120" s="80" t="s">
        <v>415</v>
      </c>
      <c r="D120" s="80"/>
      <c r="E120" s="80"/>
      <c r="F120" s="98"/>
      <c r="G120" s="80"/>
      <c r="H120" s="98"/>
      <c r="I120" s="80"/>
      <c r="J120" s="98"/>
      <c r="K120" s="98"/>
      <c r="L120" s="80"/>
      <c r="M120" s="98"/>
      <c r="N120" s="80"/>
      <c r="O120" s="80"/>
      <c r="P120" s="80"/>
      <c r="Q120" s="80"/>
      <c r="R120" s="80"/>
      <c r="S120" s="100"/>
    </row>
    <row r="121" spans="1:19" x14ac:dyDescent="0.35">
      <c r="A121" s="77"/>
      <c r="B121" s="77"/>
      <c r="C121" s="101" t="s">
        <v>432</v>
      </c>
      <c r="D121" s="101"/>
      <c r="E121" s="101"/>
      <c r="F121" s="102"/>
      <c r="G121" s="101"/>
      <c r="H121" s="102"/>
      <c r="I121" s="101"/>
      <c r="J121" s="102"/>
      <c r="K121" s="102"/>
      <c r="L121" s="101"/>
      <c r="M121" s="102"/>
      <c r="N121" s="101"/>
      <c r="O121" s="101"/>
      <c r="P121" s="101"/>
      <c r="Q121" s="101"/>
      <c r="R121" s="101"/>
      <c r="S121" s="104"/>
    </row>
    <row r="122" spans="1:19" x14ac:dyDescent="0.35">
      <c r="A122" s="89" t="s">
        <v>203</v>
      </c>
      <c r="B122" s="77"/>
      <c r="C122" s="90" t="s">
        <v>416</v>
      </c>
      <c r="D122" s="90"/>
      <c r="E122" s="90"/>
      <c r="F122" s="91">
        <v>277.85000000000002</v>
      </c>
      <c r="G122" s="90" t="str">
        <f>CONCATENATE("USD,FLAT ",TEXT(F122,"0.00"))</f>
        <v>USD,FLAT 277.85</v>
      </c>
      <c r="H122" s="92" t="str">
        <f>TEXT(277.85,"0.00")</f>
        <v>277.85</v>
      </c>
      <c r="I122" s="90" t="s">
        <v>168</v>
      </c>
      <c r="J122" s="91"/>
      <c r="K122" s="92" t="str">
        <f>TEXT(13892.5,"0.0")</f>
        <v>13892.5</v>
      </c>
      <c r="L122" s="90"/>
      <c r="M122" s="91">
        <v>0</v>
      </c>
      <c r="N122" s="90"/>
      <c r="O122" s="90" t="s">
        <v>414</v>
      </c>
      <c r="P122" s="90" t="s">
        <v>413</v>
      </c>
      <c r="Q122" s="90"/>
      <c r="R122" s="90"/>
      <c r="S122" s="93"/>
    </row>
    <row r="123" spans="1:19" x14ac:dyDescent="0.35">
      <c r="A123" s="77"/>
      <c r="B123" s="77"/>
      <c r="C123" s="94" t="s">
        <v>431</v>
      </c>
      <c r="D123" s="94"/>
      <c r="E123" s="94"/>
      <c r="F123" s="95"/>
      <c r="G123" s="94"/>
      <c r="H123" s="95"/>
      <c r="I123" s="112"/>
      <c r="J123" s="95"/>
      <c r="K123" s="95"/>
      <c r="L123" s="112"/>
      <c r="M123" s="95"/>
      <c r="N123" s="94"/>
      <c r="O123" s="94"/>
      <c r="P123" s="94"/>
      <c r="Q123" s="94"/>
      <c r="R123" s="94"/>
      <c r="S123" s="97"/>
    </row>
    <row r="124" spans="1:19" x14ac:dyDescent="0.35">
      <c r="A124" s="77"/>
      <c r="B124" s="77"/>
      <c r="C124" s="80" t="s">
        <v>415</v>
      </c>
      <c r="D124" s="80"/>
      <c r="E124" s="80"/>
      <c r="F124" s="98"/>
      <c r="G124" s="80"/>
      <c r="H124" s="91"/>
      <c r="I124" s="80"/>
      <c r="J124" s="98"/>
      <c r="K124" s="91"/>
      <c r="L124" s="80"/>
      <c r="M124" s="98"/>
      <c r="N124" s="80"/>
      <c r="O124" s="80"/>
      <c r="P124" s="80"/>
      <c r="Q124" s="90"/>
      <c r="R124" s="80"/>
      <c r="S124" s="100"/>
    </row>
    <row r="125" spans="1:19" x14ac:dyDescent="0.35">
      <c r="A125" s="77"/>
      <c r="B125" s="77"/>
      <c r="C125" s="101" t="s">
        <v>432</v>
      </c>
      <c r="D125" s="101"/>
      <c r="E125" s="101"/>
      <c r="F125" s="102"/>
      <c r="G125" s="101"/>
      <c r="H125" s="102"/>
      <c r="I125" s="101"/>
      <c r="J125" s="102"/>
      <c r="K125" s="102"/>
      <c r="L125" s="101"/>
      <c r="M125" s="102"/>
      <c r="N125" s="101"/>
      <c r="O125" s="101"/>
      <c r="P125" s="101"/>
      <c r="Q125" s="101"/>
      <c r="R125" s="101"/>
      <c r="S125" s="104"/>
    </row>
    <row r="126" spans="1:19" x14ac:dyDescent="0.35">
      <c r="A126" s="89" t="s">
        <v>206</v>
      </c>
      <c r="B126" s="77"/>
      <c r="C126" s="90" t="s">
        <v>416</v>
      </c>
      <c r="D126" s="90"/>
      <c r="E126" s="90"/>
      <c r="F126" s="91">
        <v>112.85</v>
      </c>
      <c r="G126" s="90" t="str">
        <f>CONCATENATE("USD,FLAT ",TEXT(F126,"0.00"))</f>
        <v>USD,FLAT 112.85</v>
      </c>
      <c r="H126" s="92" t="str">
        <f>TEXT(112.85,"0.00")</f>
        <v>112.85</v>
      </c>
      <c r="I126" s="90" t="s">
        <v>168</v>
      </c>
      <c r="J126" s="91"/>
      <c r="K126" s="92" t="str">
        <f>TEXT(5642.5,"0.0")</f>
        <v>5642.5</v>
      </c>
      <c r="L126" s="90"/>
      <c r="M126" s="91">
        <v>0</v>
      </c>
      <c r="N126" s="90"/>
      <c r="O126" s="90" t="s">
        <v>414</v>
      </c>
      <c r="P126" s="90" t="s">
        <v>413</v>
      </c>
      <c r="Q126" s="90"/>
      <c r="R126" s="90"/>
      <c r="S126" s="93"/>
    </row>
    <row r="127" spans="1:19" x14ac:dyDescent="0.35">
      <c r="A127" s="77"/>
      <c r="B127" s="77"/>
      <c r="C127" s="94" t="s">
        <v>431</v>
      </c>
      <c r="D127" s="94"/>
      <c r="E127" s="94"/>
      <c r="F127" s="95"/>
      <c r="G127" s="94"/>
      <c r="H127" s="95"/>
      <c r="I127" s="112"/>
      <c r="J127" s="95"/>
      <c r="K127" s="95"/>
      <c r="L127" s="112"/>
      <c r="M127" s="95"/>
      <c r="N127" s="94"/>
      <c r="O127" s="94"/>
      <c r="P127" s="94"/>
      <c r="Q127" s="94"/>
      <c r="R127" s="94"/>
      <c r="S127" s="97"/>
    </row>
    <row r="128" spans="1:19" x14ac:dyDescent="0.35">
      <c r="A128" s="77"/>
      <c r="B128" s="77"/>
      <c r="C128" s="80" t="s">
        <v>415</v>
      </c>
      <c r="D128" s="80"/>
      <c r="E128" s="80"/>
      <c r="F128" s="98"/>
      <c r="G128" s="80"/>
      <c r="H128" s="98"/>
      <c r="I128" s="80"/>
      <c r="J128" s="98"/>
      <c r="K128" s="98"/>
      <c r="L128" s="80"/>
      <c r="M128" s="98"/>
      <c r="N128" s="80"/>
      <c r="O128" s="80"/>
      <c r="P128" s="80"/>
      <c r="Q128" s="80"/>
      <c r="R128" s="80"/>
      <c r="S128" s="100"/>
    </row>
    <row r="129" spans="1:19" x14ac:dyDescent="0.35">
      <c r="A129" s="77"/>
      <c r="B129" s="77"/>
      <c r="C129" s="101" t="s">
        <v>432</v>
      </c>
      <c r="D129" s="101"/>
      <c r="E129" s="101"/>
      <c r="F129" s="102"/>
      <c r="G129" s="101"/>
      <c r="H129" s="102"/>
      <c r="I129" s="101"/>
      <c r="J129" s="102"/>
      <c r="K129" s="102"/>
      <c r="L129" s="101"/>
      <c r="M129" s="102"/>
      <c r="N129" s="101"/>
      <c r="O129" s="101"/>
      <c r="P129" s="101"/>
      <c r="Q129" s="101"/>
      <c r="R129" s="101"/>
      <c r="S129" s="104"/>
    </row>
    <row r="130" spans="1:19" x14ac:dyDescent="0.35">
      <c r="A130" s="108" t="s">
        <v>436</v>
      </c>
      <c r="B130" s="108"/>
      <c r="C130" s="108" t="s">
        <v>416</v>
      </c>
      <c r="D130" s="108"/>
      <c r="E130" s="108"/>
      <c r="F130" s="109"/>
      <c r="G130" s="108"/>
      <c r="H130" s="109"/>
      <c r="I130" s="108"/>
      <c r="J130" s="109"/>
      <c r="K130" s="109"/>
      <c r="L130" s="108"/>
      <c r="M130" s="109"/>
      <c r="N130" s="108"/>
      <c r="O130" s="108"/>
      <c r="P130" s="108"/>
      <c r="Q130" s="108"/>
      <c r="R130" s="108"/>
      <c r="S130" s="110"/>
    </row>
    <row r="131" spans="1:19" x14ac:dyDescent="0.35">
      <c r="A131" s="108" t="s">
        <v>436</v>
      </c>
      <c r="B131" s="108"/>
      <c r="C131" s="108" t="s">
        <v>431</v>
      </c>
      <c r="D131" s="108"/>
      <c r="E131" s="108"/>
      <c r="F131" s="109"/>
      <c r="G131" s="108"/>
      <c r="H131" s="109"/>
      <c r="I131" s="108"/>
      <c r="J131" s="109"/>
      <c r="K131" s="109"/>
      <c r="L131" s="108"/>
      <c r="M131" s="109"/>
      <c r="N131" s="108"/>
      <c r="O131" s="108"/>
      <c r="P131" s="108"/>
      <c r="Q131" s="108"/>
      <c r="R131" s="108"/>
      <c r="S131" s="110"/>
    </row>
    <row r="132" spans="1:19" x14ac:dyDescent="0.35">
      <c r="A132" s="89" t="s">
        <v>207</v>
      </c>
      <c r="B132" s="77"/>
      <c r="C132" s="90" t="s">
        <v>416</v>
      </c>
      <c r="D132" s="90"/>
      <c r="E132" s="90"/>
      <c r="F132" s="113" t="s">
        <v>437</v>
      </c>
      <c r="G132" s="92" t="s">
        <v>409</v>
      </c>
      <c r="H132" s="92" t="str">
        <f>TEXT(15.85,"0.00")</f>
        <v>15.85</v>
      </c>
      <c r="I132" s="90" t="s">
        <v>168</v>
      </c>
      <c r="J132" s="91">
        <v>1</v>
      </c>
      <c r="K132" s="92" t="str">
        <f>TEXT(15.86,"0.00")</f>
        <v>15.86</v>
      </c>
      <c r="L132" s="90"/>
      <c r="M132" s="91">
        <v>23</v>
      </c>
      <c r="N132" s="91"/>
      <c r="O132" s="90" t="s">
        <v>414</v>
      </c>
      <c r="P132" s="90" t="s">
        <v>417</v>
      </c>
      <c r="Q132" s="90"/>
      <c r="R132" s="90"/>
      <c r="S132" s="93"/>
    </row>
    <row r="133" spans="1:19" x14ac:dyDescent="0.35">
      <c r="A133" s="77"/>
      <c r="B133" s="77"/>
      <c r="C133" s="94" t="s">
        <v>431</v>
      </c>
      <c r="D133" s="94"/>
      <c r="E133" s="94"/>
      <c r="F133" s="95"/>
      <c r="G133" s="94"/>
      <c r="H133" s="95"/>
      <c r="I133" s="94"/>
      <c r="J133" s="95"/>
      <c r="K133" s="95"/>
      <c r="L133" s="94"/>
      <c r="M133" s="95"/>
      <c r="N133" s="94"/>
      <c r="O133" s="94"/>
      <c r="P133" s="94"/>
      <c r="Q133" s="94"/>
      <c r="R133" s="94"/>
      <c r="S133" s="97"/>
    </row>
    <row r="134" spans="1:19" x14ac:dyDescent="0.35">
      <c r="A134" s="77"/>
      <c r="B134" s="77"/>
      <c r="C134" s="80" t="s">
        <v>415</v>
      </c>
      <c r="D134" s="80"/>
      <c r="E134" s="80"/>
      <c r="F134" s="98"/>
      <c r="G134" s="80"/>
      <c r="H134" s="98"/>
      <c r="I134" s="80"/>
      <c r="J134" s="98"/>
      <c r="K134" s="98"/>
      <c r="L134" s="80"/>
      <c r="M134" s="98"/>
      <c r="N134" s="80"/>
      <c r="O134" s="80"/>
      <c r="P134" s="80"/>
      <c r="Q134" s="80"/>
      <c r="R134" s="80"/>
      <c r="S134" s="100"/>
    </row>
    <row r="135" spans="1:19" x14ac:dyDescent="0.35">
      <c r="A135" s="77"/>
      <c r="B135" s="77"/>
      <c r="C135" s="101" t="s">
        <v>432</v>
      </c>
      <c r="D135" s="101"/>
      <c r="E135" s="101"/>
      <c r="F135" s="102"/>
      <c r="G135" s="101"/>
      <c r="H135" s="102"/>
      <c r="I135" s="101"/>
      <c r="J135" s="102"/>
      <c r="K135" s="102"/>
      <c r="L135" s="101"/>
      <c r="M135" s="102"/>
      <c r="N135" s="101"/>
      <c r="O135" s="101"/>
      <c r="P135" s="101"/>
      <c r="Q135" s="101"/>
      <c r="R135" s="101"/>
      <c r="S135" s="104"/>
    </row>
    <row r="136" spans="1:19" x14ac:dyDescent="0.35">
      <c r="A136" s="89" t="s">
        <v>214</v>
      </c>
      <c r="B136" s="77"/>
      <c r="C136" s="90" t="s">
        <v>416</v>
      </c>
      <c r="D136" s="90"/>
      <c r="E136" s="90"/>
      <c r="F136" s="113" t="s">
        <v>438</v>
      </c>
      <c r="G136" s="92" t="s">
        <v>419</v>
      </c>
      <c r="H136" s="92" t="str">
        <f>TEXT(14.25,"0.00")</f>
        <v>14.25</v>
      </c>
      <c r="I136" s="90" t="s">
        <v>168</v>
      </c>
      <c r="J136" s="91">
        <v>1</v>
      </c>
      <c r="K136" s="91" t="str">
        <f>TEXT(14.26,"0.00")</f>
        <v>14.26</v>
      </c>
      <c r="L136" s="90"/>
      <c r="M136" s="91">
        <v>23</v>
      </c>
      <c r="N136" s="91"/>
      <c r="O136" s="90" t="s">
        <v>414</v>
      </c>
      <c r="P136" s="90" t="s">
        <v>417</v>
      </c>
      <c r="Q136" s="90"/>
      <c r="R136" s="90"/>
      <c r="S136" s="93"/>
    </row>
    <row r="137" spans="1:19" x14ac:dyDescent="0.35">
      <c r="A137" s="77"/>
      <c r="B137" s="77"/>
      <c r="C137" s="94" t="s">
        <v>431</v>
      </c>
      <c r="D137" s="94"/>
      <c r="E137" s="94"/>
      <c r="F137" s="95"/>
      <c r="G137" s="94"/>
      <c r="H137" s="95"/>
      <c r="I137" s="94"/>
      <c r="J137" s="95"/>
      <c r="K137" s="95"/>
      <c r="L137" s="94"/>
      <c r="M137" s="95"/>
      <c r="N137" s="94"/>
      <c r="O137" s="94"/>
      <c r="P137" s="94"/>
      <c r="Q137" s="94"/>
      <c r="R137" s="94"/>
      <c r="S137" s="97"/>
    </row>
    <row r="138" spans="1:19" x14ac:dyDescent="0.35">
      <c r="A138" s="77"/>
      <c r="B138" s="77"/>
      <c r="C138" s="80" t="s">
        <v>415</v>
      </c>
      <c r="D138" s="80"/>
      <c r="E138" s="80"/>
      <c r="F138" s="98"/>
      <c r="G138" s="80"/>
      <c r="H138" s="98"/>
      <c r="I138" s="80"/>
      <c r="J138" s="98"/>
      <c r="K138" s="98"/>
      <c r="L138" s="80"/>
      <c r="M138" s="98"/>
      <c r="N138" s="80"/>
      <c r="O138" s="80"/>
      <c r="P138" s="80"/>
      <c r="Q138" s="80"/>
      <c r="R138" s="80"/>
      <c r="S138" s="100"/>
    </row>
    <row r="139" spans="1:19" x14ac:dyDescent="0.35">
      <c r="A139" s="77"/>
      <c r="B139" s="77"/>
      <c r="C139" s="101" t="s">
        <v>432</v>
      </c>
      <c r="D139" s="101"/>
      <c r="E139" s="101"/>
      <c r="F139" s="102"/>
      <c r="G139" s="101"/>
      <c r="H139" s="102"/>
      <c r="I139" s="101"/>
      <c r="J139" s="102"/>
      <c r="K139" s="102"/>
      <c r="L139" s="101"/>
      <c r="M139" s="102"/>
      <c r="N139" s="101"/>
      <c r="O139" s="101"/>
      <c r="P139" s="101"/>
      <c r="Q139" s="101"/>
      <c r="R139" s="101"/>
      <c r="S139" s="104"/>
    </row>
    <row r="140" spans="1:19" ht="21" customHeight="1" x14ac:dyDescent="0.35">
      <c r="A140" s="89" t="s">
        <v>216</v>
      </c>
      <c r="B140" s="77"/>
      <c r="C140" s="90" t="s">
        <v>416</v>
      </c>
      <c r="D140" s="90"/>
      <c r="E140" s="90"/>
      <c r="F140" s="113" t="s">
        <v>439</v>
      </c>
      <c r="G140" s="92" t="s">
        <v>440</v>
      </c>
      <c r="H140" s="91" t="str">
        <f>TEXT(38.68,"0.00")</f>
        <v>38.68</v>
      </c>
      <c r="I140" s="90" t="s">
        <v>168</v>
      </c>
      <c r="J140" s="91">
        <v>1</v>
      </c>
      <c r="K140" s="91" t="str">
        <f>TEXT(38.68,"0.00")</f>
        <v>38.68</v>
      </c>
      <c r="L140" s="90"/>
      <c r="M140" s="91">
        <v>23</v>
      </c>
      <c r="N140" s="91"/>
      <c r="O140" s="90" t="s">
        <v>414</v>
      </c>
      <c r="P140" s="90" t="s">
        <v>417</v>
      </c>
      <c r="Q140" s="90"/>
      <c r="R140" s="90"/>
      <c r="S140" s="93"/>
    </row>
    <row r="141" spans="1:19" x14ac:dyDescent="0.35">
      <c r="A141" s="77"/>
      <c r="B141" s="77"/>
      <c r="C141" s="94" t="s">
        <v>431</v>
      </c>
      <c r="D141" s="94"/>
      <c r="E141" s="94"/>
      <c r="F141" s="95"/>
      <c r="G141" s="94"/>
      <c r="H141" s="95"/>
      <c r="I141" s="94"/>
      <c r="J141" s="95"/>
      <c r="K141" s="95"/>
      <c r="L141" s="94"/>
      <c r="M141" s="95"/>
      <c r="N141" s="94"/>
      <c r="O141" s="94"/>
      <c r="P141" s="94"/>
      <c r="Q141" s="94"/>
      <c r="R141" s="94"/>
      <c r="S141" s="97"/>
    </row>
    <row r="142" spans="1:19" x14ac:dyDescent="0.35">
      <c r="A142" s="77"/>
      <c r="B142" s="77"/>
      <c r="C142" s="80" t="s">
        <v>415</v>
      </c>
      <c r="D142" s="80"/>
      <c r="E142" s="80"/>
      <c r="F142" s="98"/>
      <c r="G142" s="80"/>
      <c r="H142" s="98"/>
      <c r="I142" s="80"/>
      <c r="J142" s="98"/>
      <c r="K142" s="98"/>
      <c r="L142" s="80"/>
      <c r="M142" s="98"/>
      <c r="N142" s="80"/>
      <c r="O142" s="80"/>
      <c r="P142" s="80"/>
      <c r="Q142" s="80"/>
      <c r="R142" s="80"/>
      <c r="S142" s="100"/>
    </row>
    <row r="143" spans="1:19" x14ac:dyDescent="0.35">
      <c r="A143" s="77"/>
      <c r="B143" s="77"/>
      <c r="C143" s="101" t="s">
        <v>432</v>
      </c>
      <c r="D143" s="101"/>
      <c r="E143" s="101"/>
      <c r="F143" s="102"/>
      <c r="G143" s="101"/>
      <c r="H143" s="102"/>
      <c r="I143" s="101"/>
      <c r="J143" s="102"/>
      <c r="K143" s="102"/>
      <c r="L143" s="101"/>
      <c r="M143" s="102"/>
      <c r="N143" s="101"/>
      <c r="O143" s="101"/>
      <c r="P143" s="101"/>
      <c r="Q143" s="101"/>
      <c r="R143" s="101"/>
      <c r="S143" s="104"/>
    </row>
    <row r="144" spans="1:19" x14ac:dyDescent="0.35">
      <c r="A144" s="108" t="s">
        <v>441</v>
      </c>
      <c r="B144" s="108"/>
      <c r="C144" s="108" t="s">
        <v>416</v>
      </c>
      <c r="D144" s="108"/>
      <c r="E144" s="108"/>
      <c r="F144" s="109"/>
      <c r="G144" s="108"/>
      <c r="H144" s="109"/>
      <c r="I144" s="108"/>
      <c r="J144" s="109"/>
      <c r="K144" s="109"/>
      <c r="L144" s="108"/>
      <c r="M144" s="109"/>
      <c r="N144" s="108"/>
      <c r="O144" s="108"/>
      <c r="P144" s="108"/>
      <c r="Q144" s="108"/>
      <c r="R144" s="108"/>
      <c r="S144" s="110"/>
    </row>
    <row r="145" spans="1:19" x14ac:dyDescent="0.35">
      <c r="A145" s="108" t="s">
        <v>441</v>
      </c>
      <c r="B145" s="108"/>
      <c r="C145" s="108" t="s">
        <v>431</v>
      </c>
      <c r="D145" s="108"/>
      <c r="E145" s="108"/>
      <c r="F145" s="109"/>
      <c r="G145" s="108"/>
      <c r="H145" s="109"/>
      <c r="I145" s="108"/>
      <c r="J145" s="109"/>
      <c r="K145" s="109"/>
      <c r="L145" s="108"/>
      <c r="M145" s="109"/>
      <c r="N145" s="108"/>
      <c r="O145" s="108"/>
      <c r="P145" s="108"/>
      <c r="Q145" s="108"/>
      <c r="R145" s="108"/>
      <c r="S145" s="110"/>
    </row>
    <row r="146" spans="1:19" x14ac:dyDescent="0.35">
      <c r="A146" s="89" t="s">
        <v>219</v>
      </c>
      <c r="B146" s="77"/>
      <c r="C146" s="90" t="s">
        <v>416</v>
      </c>
      <c r="D146" s="90"/>
      <c r="E146" s="90"/>
      <c r="F146" s="91" t="str">
        <f>TEXT(7522.85,"0.00")</f>
        <v>7522.85</v>
      </c>
      <c r="G146" s="90" t="str">
        <f>CONCATENATE("USD,FLAT ",TEXT(F146,"0.00"))</f>
        <v>USD,FLAT 7522.85</v>
      </c>
      <c r="H146" s="92" t="str">
        <f>TEXT(7522.86,"0.00")</f>
        <v>7522.86</v>
      </c>
      <c r="I146" s="90" t="s">
        <v>168</v>
      </c>
      <c r="J146" s="91">
        <v>1</v>
      </c>
      <c r="K146" s="114" t="str">
        <f>TEXT(7522.86,"0.00")</f>
        <v>7522.86</v>
      </c>
      <c r="L146" s="90"/>
      <c r="M146" s="91">
        <v>23</v>
      </c>
      <c r="N146" s="91"/>
      <c r="O146" s="90" t="s">
        <v>414</v>
      </c>
      <c r="P146" s="90" t="s">
        <v>417</v>
      </c>
      <c r="Q146" s="90"/>
      <c r="R146" s="90"/>
      <c r="S146" s="93"/>
    </row>
    <row r="147" spans="1:19" x14ac:dyDescent="0.35">
      <c r="A147" s="77"/>
      <c r="B147" s="77"/>
      <c r="C147" s="94" t="s">
        <v>431</v>
      </c>
      <c r="D147" s="94"/>
      <c r="E147" s="94"/>
      <c r="F147" s="95"/>
      <c r="G147" s="94"/>
      <c r="H147" s="95"/>
      <c r="I147" s="94"/>
      <c r="J147" s="95"/>
      <c r="K147" s="95"/>
      <c r="L147" s="94"/>
      <c r="M147" s="95"/>
      <c r="N147" s="94"/>
      <c r="O147" s="94"/>
      <c r="P147" s="94"/>
      <c r="Q147" s="94"/>
      <c r="R147" s="94"/>
      <c r="S147" s="97"/>
    </row>
    <row r="148" spans="1:19" x14ac:dyDescent="0.35">
      <c r="A148" s="77"/>
      <c r="B148" s="77"/>
      <c r="C148" s="80" t="s">
        <v>415</v>
      </c>
      <c r="D148" s="80"/>
      <c r="E148" s="80"/>
      <c r="F148" s="98"/>
      <c r="G148" s="80"/>
      <c r="H148" s="98"/>
      <c r="I148" s="80"/>
      <c r="J148" s="98"/>
      <c r="K148" s="98"/>
      <c r="L148" s="80"/>
      <c r="M148" s="98"/>
      <c r="N148" s="80"/>
      <c r="O148" s="80"/>
      <c r="P148" s="80"/>
      <c r="Q148" s="80"/>
      <c r="R148" s="80"/>
      <c r="S148" s="100"/>
    </row>
    <row r="149" spans="1:19" x14ac:dyDescent="0.35">
      <c r="A149" s="77"/>
      <c r="B149" s="77"/>
      <c r="C149" s="101" t="s">
        <v>432</v>
      </c>
      <c r="D149" s="101"/>
      <c r="E149" s="101"/>
      <c r="F149" s="102"/>
      <c r="G149" s="101"/>
      <c r="H149" s="102"/>
      <c r="I149" s="101"/>
      <c r="J149" s="102"/>
      <c r="K149" s="102"/>
      <c r="L149" s="101"/>
      <c r="M149" s="102"/>
      <c r="N149" s="101"/>
      <c r="O149" s="101"/>
      <c r="P149" s="101"/>
      <c r="Q149" s="101"/>
      <c r="R149" s="101"/>
      <c r="S149" s="104"/>
    </row>
    <row r="150" spans="1:19" x14ac:dyDescent="0.35">
      <c r="A150" s="89" t="s">
        <v>222</v>
      </c>
      <c r="B150" s="77"/>
      <c r="C150" s="90" t="s">
        <v>416</v>
      </c>
      <c r="D150" s="90"/>
      <c r="E150" s="90"/>
      <c r="F150" s="91" t="str">
        <f>TEXT(3.85,"0.00")</f>
        <v>3.85</v>
      </c>
      <c r="G150" s="90" t="str">
        <f>CONCATENATE("USD,FLAT ",TEXT(F150,"0.00"))</f>
        <v>USD,FLAT 3.85</v>
      </c>
      <c r="H150" s="92" t="str">
        <f>TEXT(3.86,"0.00")</f>
        <v>3.86</v>
      </c>
      <c r="I150" s="90" t="s">
        <v>168</v>
      </c>
      <c r="J150" s="91">
        <v>1</v>
      </c>
      <c r="K150" s="91" t="str">
        <f>TEXT(3.86,"0.00")</f>
        <v>3.86</v>
      </c>
      <c r="L150" s="90"/>
      <c r="M150" s="91">
        <v>23</v>
      </c>
      <c r="N150" s="91"/>
      <c r="O150" s="90" t="s">
        <v>414</v>
      </c>
      <c r="P150" s="90" t="s">
        <v>417</v>
      </c>
      <c r="Q150" s="90"/>
      <c r="R150" s="90"/>
      <c r="S150" s="93"/>
    </row>
    <row r="151" spans="1:19" x14ac:dyDescent="0.35">
      <c r="A151" s="77"/>
      <c r="B151" s="77"/>
      <c r="C151" s="94" t="s">
        <v>431</v>
      </c>
      <c r="D151" s="94"/>
      <c r="E151" s="94"/>
      <c r="F151" s="95"/>
      <c r="G151" s="94"/>
      <c r="H151" s="96"/>
      <c r="I151" s="94"/>
      <c r="J151" s="95"/>
      <c r="K151" s="95"/>
      <c r="L151" s="94"/>
      <c r="M151" s="95"/>
      <c r="N151" s="94"/>
      <c r="O151" s="94"/>
      <c r="P151" s="94"/>
      <c r="Q151" s="94"/>
      <c r="R151" s="94"/>
      <c r="S151" s="97"/>
    </row>
    <row r="152" spans="1:19" x14ac:dyDescent="0.35">
      <c r="A152" s="77"/>
      <c r="B152" s="77"/>
      <c r="C152" s="80" t="s">
        <v>415</v>
      </c>
      <c r="D152" s="80"/>
      <c r="E152" s="80"/>
      <c r="F152" s="98"/>
      <c r="G152" s="80"/>
      <c r="H152" s="99"/>
      <c r="I152" s="80"/>
      <c r="J152" s="98"/>
      <c r="K152" s="98"/>
      <c r="L152" s="80"/>
      <c r="M152" s="98"/>
      <c r="N152" s="80"/>
      <c r="O152" s="80"/>
      <c r="P152" s="80"/>
      <c r="Q152" s="80"/>
      <c r="R152" s="80"/>
      <c r="S152" s="100"/>
    </row>
    <row r="153" spans="1:19" x14ac:dyDescent="0.35">
      <c r="A153" s="77"/>
      <c r="B153" s="77"/>
      <c r="C153" s="101" t="s">
        <v>432</v>
      </c>
      <c r="D153" s="101"/>
      <c r="E153" s="101"/>
      <c r="F153" s="102"/>
      <c r="G153" s="101"/>
      <c r="H153" s="103"/>
      <c r="I153" s="101"/>
      <c r="J153" s="102"/>
      <c r="K153" s="102"/>
      <c r="L153" s="101"/>
      <c r="M153" s="102"/>
      <c r="N153" s="101"/>
      <c r="O153" s="101"/>
      <c r="P153" s="101"/>
      <c r="Q153" s="101"/>
      <c r="R153" s="101"/>
      <c r="S153" s="104"/>
    </row>
    <row r="154" spans="1:19" x14ac:dyDescent="0.35">
      <c r="A154" s="89" t="s">
        <v>222</v>
      </c>
      <c r="B154" s="77" t="s">
        <v>442</v>
      </c>
      <c r="C154" s="90" t="s">
        <v>416</v>
      </c>
      <c r="D154" s="90"/>
      <c r="E154" s="90"/>
      <c r="F154" s="91" t="str">
        <f>TEXT(4.85,"0.00")</f>
        <v>4.85</v>
      </c>
      <c r="G154" s="90" t="str">
        <f>CONCATENATE("USD,FLAT ",TEXT(F154,"0.00"))</f>
        <v>USD,FLAT 4.85</v>
      </c>
      <c r="H154" s="92" t="str">
        <f>TEXT(4.86,"0.00")</f>
        <v>4.86</v>
      </c>
      <c r="I154" s="90" t="s">
        <v>168</v>
      </c>
      <c r="J154" s="91">
        <v>1</v>
      </c>
      <c r="K154" s="91" t="str">
        <f>TEXT(4.86,"0.00")</f>
        <v>4.86</v>
      </c>
      <c r="L154" s="90"/>
      <c r="M154" s="91">
        <v>23</v>
      </c>
      <c r="N154" s="91"/>
      <c r="O154" s="90" t="s">
        <v>414</v>
      </c>
      <c r="P154" s="90" t="s">
        <v>417</v>
      </c>
      <c r="Q154" s="90"/>
      <c r="R154" s="90"/>
      <c r="S154" s="93"/>
    </row>
    <row r="155" spans="1:19" x14ac:dyDescent="0.35">
      <c r="A155" s="77"/>
      <c r="B155" s="77"/>
      <c r="C155" s="94" t="s">
        <v>431</v>
      </c>
      <c r="D155" s="94"/>
      <c r="E155" s="94"/>
      <c r="F155" s="95"/>
      <c r="G155" s="94"/>
      <c r="H155" s="95"/>
      <c r="I155" s="94"/>
      <c r="J155" s="95"/>
      <c r="K155" s="95"/>
      <c r="L155" s="94"/>
      <c r="M155" s="95"/>
      <c r="N155" s="94"/>
      <c r="O155" s="94"/>
      <c r="P155" s="94"/>
      <c r="Q155" s="94"/>
      <c r="R155" s="94"/>
      <c r="S155" s="97"/>
    </row>
    <row r="156" spans="1:19" x14ac:dyDescent="0.35">
      <c r="A156" s="77"/>
      <c r="B156" s="77"/>
      <c r="C156" s="80" t="s">
        <v>415</v>
      </c>
      <c r="D156" s="80"/>
      <c r="E156" s="80"/>
      <c r="F156" s="98"/>
      <c r="G156" s="80"/>
      <c r="H156" s="98"/>
      <c r="I156" s="80"/>
      <c r="J156" s="98"/>
      <c r="K156" s="98"/>
      <c r="L156" s="80"/>
      <c r="M156" s="98"/>
      <c r="N156" s="80"/>
      <c r="O156" s="80"/>
      <c r="P156" s="80"/>
      <c r="Q156" s="80"/>
      <c r="R156" s="80"/>
      <c r="S156" s="100"/>
    </row>
    <row r="157" spans="1:19" x14ac:dyDescent="0.35">
      <c r="A157" s="77"/>
      <c r="B157" s="77"/>
      <c r="C157" s="101" t="s">
        <v>432</v>
      </c>
      <c r="D157" s="101"/>
      <c r="E157" s="101"/>
      <c r="F157" s="102"/>
      <c r="G157" s="101"/>
      <c r="H157" s="102"/>
      <c r="I157" s="101"/>
      <c r="J157" s="102"/>
      <c r="K157" s="102"/>
      <c r="L157" s="101"/>
      <c r="M157" s="102"/>
      <c r="N157" s="101"/>
      <c r="O157" s="101"/>
      <c r="P157" s="101"/>
      <c r="Q157" s="101"/>
      <c r="R157" s="101"/>
      <c r="S157" s="104"/>
    </row>
    <row r="158" spans="1:19" x14ac:dyDescent="0.35">
      <c r="A158" s="89" t="s">
        <v>222</v>
      </c>
      <c r="B158" s="77" t="s">
        <v>420</v>
      </c>
      <c r="C158" s="90" t="s">
        <v>416</v>
      </c>
      <c r="D158" s="90"/>
      <c r="E158" s="90"/>
      <c r="F158" s="91" t="str">
        <f>TEXT(2.85,"0.00")</f>
        <v>2.85</v>
      </c>
      <c r="G158" s="90" t="str">
        <f>CONCATENATE("USD,FLAT ",TEXT(F158,"0.00"))</f>
        <v>USD,FLAT 2.85</v>
      </c>
      <c r="H158" s="92" t="str">
        <f>TEXT(2.86,"0.00")</f>
        <v>2.86</v>
      </c>
      <c r="I158" s="90" t="s">
        <v>168</v>
      </c>
      <c r="J158" s="91">
        <v>1</v>
      </c>
      <c r="K158" s="91" t="str">
        <f>TEXT(2.86,"0.00")</f>
        <v>2.86</v>
      </c>
      <c r="L158" s="90"/>
      <c r="M158" s="91">
        <v>23</v>
      </c>
      <c r="N158" s="91"/>
      <c r="O158" s="90" t="s">
        <v>414</v>
      </c>
      <c r="P158" s="90" t="s">
        <v>417</v>
      </c>
      <c r="Q158" s="90"/>
      <c r="R158" s="90"/>
      <c r="S158" s="93"/>
    </row>
    <row r="159" spans="1:19" x14ac:dyDescent="0.35">
      <c r="A159" s="77"/>
      <c r="B159" s="77"/>
      <c r="C159" s="94" t="s">
        <v>431</v>
      </c>
      <c r="D159" s="94"/>
      <c r="E159" s="94"/>
      <c r="F159" s="95"/>
      <c r="G159" s="94"/>
      <c r="H159" s="95"/>
      <c r="I159" s="94"/>
      <c r="J159" s="95"/>
      <c r="K159" s="95"/>
      <c r="L159" s="94"/>
      <c r="M159" s="95"/>
      <c r="N159" s="94"/>
      <c r="O159" s="94"/>
      <c r="P159" s="94"/>
      <c r="Q159" s="94"/>
      <c r="R159" s="94"/>
      <c r="S159" s="97"/>
    </row>
    <row r="160" spans="1:19" x14ac:dyDescent="0.35">
      <c r="A160" s="77"/>
      <c r="B160" s="77"/>
      <c r="C160" s="80" t="s">
        <v>415</v>
      </c>
      <c r="D160" s="80"/>
      <c r="E160" s="80"/>
      <c r="F160" s="98"/>
      <c r="G160" s="80"/>
      <c r="H160" s="98"/>
      <c r="I160" s="80"/>
      <c r="J160" s="98"/>
      <c r="K160" s="98"/>
      <c r="L160" s="80"/>
      <c r="M160" s="98"/>
      <c r="N160" s="80"/>
      <c r="O160" s="80"/>
      <c r="P160" s="80"/>
      <c r="Q160" s="80"/>
      <c r="R160" s="80"/>
      <c r="S160" s="100"/>
    </row>
    <row r="161" spans="1:19" x14ac:dyDescent="0.35">
      <c r="A161" s="77"/>
      <c r="B161" s="77"/>
      <c r="C161" s="101" t="s">
        <v>432</v>
      </c>
      <c r="D161" s="101"/>
      <c r="E161" s="101"/>
      <c r="F161" s="102"/>
      <c r="G161" s="101"/>
      <c r="H161" s="102"/>
      <c r="I161" s="101"/>
      <c r="J161" s="102"/>
      <c r="K161" s="102"/>
      <c r="L161" s="101"/>
      <c r="M161" s="102"/>
      <c r="N161" s="101"/>
      <c r="O161" s="101"/>
      <c r="P161" s="101"/>
      <c r="Q161" s="101"/>
      <c r="R161" s="101"/>
      <c r="S161" s="104"/>
    </row>
    <row r="162" spans="1:19" x14ac:dyDescent="0.35">
      <c r="A162" s="89" t="s">
        <v>222</v>
      </c>
      <c r="B162" s="77" t="s">
        <v>443</v>
      </c>
      <c r="C162" s="90" t="s">
        <v>416</v>
      </c>
      <c r="D162" s="90"/>
      <c r="E162" s="90"/>
      <c r="F162" s="91" t="str">
        <f>TEXT(6.85,"0.00")</f>
        <v>6.85</v>
      </c>
      <c r="G162" s="90" t="str">
        <f>CONCATENATE("USD,FLAT ",TEXT(F162,"0.00"))</f>
        <v>USD,FLAT 6.85</v>
      </c>
      <c r="H162" s="92" t="str">
        <f>TEXT(6.86,"0.00")</f>
        <v>6.86</v>
      </c>
      <c r="I162" s="90" t="s">
        <v>168</v>
      </c>
      <c r="J162" s="91">
        <v>1</v>
      </c>
      <c r="K162" s="91" t="str">
        <f>TEXT(6.86,"0.00")</f>
        <v>6.86</v>
      </c>
      <c r="L162" s="115"/>
      <c r="M162" s="91">
        <v>23</v>
      </c>
      <c r="N162" s="91"/>
      <c r="O162" s="90" t="s">
        <v>414</v>
      </c>
      <c r="P162" s="90" t="s">
        <v>417</v>
      </c>
      <c r="Q162" s="90"/>
      <c r="R162" s="90"/>
      <c r="S162" s="93"/>
    </row>
    <row r="163" spans="1:19" x14ac:dyDescent="0.35">
      <c r="A163" s="77"/>
      <c r="B163" s="77"/>
      <c r="C163" s="94" t="s">
        <v>431</v>
      </c>
      <c r="D163" s="94"/>
      <c r="E163" s="94"/>
      <c r="F163" s="95"/>
      <c r="G163" s="94"/>
      <c r="H163" s="95"/>
      <c r="I163" s="94"/>
      <c r="J163" s="95"/>
      <c r="K163" s="95"/>
      <c r="L163" s="94"/>
      <c r="M163" s="95"/>
      <c r="N163" s="94"/>
      <c r="O163" s="94"/>
      <c r="P163" s="94"/>
      <c r="Q163" s="94"/>
      <c r="R163" s="94"/>
      <c r="S163" s="97"/>
    </row>
    <row r="164" spans="1:19" x14ac:dyDescent="0.35">
      <c r="A164" s="77"/>
      <c r="B164" s="77"/>
      <c r="C164" s="80" t="s">
        <v>415</v>
      </c>
      <c r="D164" s="80"/>
      <c r="E164" s="80"/>
      <c r="F164" s="98"/>
      <c r="G164" s="80"/>
      <c r="H164" s="98"/>
      <c r="I164" s="80"/>
      <c r="J164" s="98"/>
      <c r="K164" s="98"/>
      <c r="L164" s="80"/>
      <c r="M164" s="98"/>
      <c r="N164" s="80"/>
      <c r="O164" s="80"/>
      <c r="P164" s="80"/>
      <c r="Q164" s="80"/>
      <c r="R164" s="80"/>
      <c r="S164" s="100"/>
    </row>
    <row r="165" spans="1:19" x14ac:dyDescent="0.35">
      <c r="A165" s="77"/>
      <c r="B165" s="77"/>
      <c r="C165" s="101" t="s">
        <v>432</v>
      </c>
      <c r="D165" s="101"/>
      <c r="E165" s="101"/>
      <c r="F165" s="102"/>
      <c r="G165" s="101"/>
      <c r="H165" s="102"/>
      <c r="I165" s="101"/>
      <c r="J165" s="102"/>
      <c r="K165" s="102"/>
      <c r="L165" s="101"/>
      <c r="M165" s="102"/>
      <c r="N165" s="101"/>
      <c r="O165" s="101"/>
      <c r="P165" s="101"/>
      <c r="Q165" s="101"/>
      <c r="R165" s="101"/>
      <c r="S165" s="104"/>
    </row>
    <row r="166" spans="1:19" x14ac:dyDescent="0.35">
      <c r="A166" s="89" t="s">
        <v>229</v>
      </c>
      <c r="B166" s="77"/>
      <c r="C166" s="90" t="s">
        <v>416</v>
      </c>
      <c r="D166" s="90"/>
      <c r="E166" s="90"/>
      <c r="F166" s="91" t="str">
        <f>TEXT(3.85,"0.00")</f>
        <v>3.85</v>
      </c>
      <c r="G166" s="90" t="str">
        <f>CONCATENATE("USD,FLAT ",TEXT(F166,"0.00"))</f>
        <v>USD,FLAT 3.85</v>
      </c>
      <c r="H166" s="92" t="str">
        <f>TEXT(3.86,"0.00")</f>
        <v>3.86</v>
      </c>
      <c r="I166" s="90" t="s">
        <v>168</v>
      </c>
      <c r="J166" s="91">
        <v>1</v>
      </c>
      <c r="K166" s="91" t="str">
        <f>TEXT(3.86,"0.00")</f>
        <v>3.86</v>
      </c>
      <c r="L166" s="90"/>
      <c r="M166" s="91">
        <v>23</v>
      </c>
      <c r="N166" s="91"/>
      <c r="O166" s="90" t="s">
        <v>414</v>
      </c>
      <c r="P166" s="90" t="s">
        <v>417</v>
      </c>
      <c r="Q166" s="90"/>
      <c r="R166" s="90"/>
      <c r="S166" s="93"/>
    </row>
    <row r="167" spans="1:19" x14ac:dyDescent="0.35">
      <c r="A167" s="77"/>
      <c r="B167" s="77"/>
      <c r="C167" s="94" t="s">
        <v>431</v>
      </c>
      <c r="D167" s="94"/>
      <c r="E167" s="94"/>
      <c r="F167" s="95"/>
      <c r="G167" s="94"/>
      <c r="H167" s="95"/>
      <c r="I167" s="94"/>
      <c r="J167" s="95"/>
      <c r="K167" s="95"/>
      <c r="L167" s="94"/>
      <c r="M167" s="95"/>
      <c r="N167" s="94"/>
      <c r="O167" s="94"/>
      <c r="P167" s="94"/>
      <c r="Q167" s="94"/>
      <c r="R167" s="94"/>
      <c r="S167" s="97"/>
    </row>
    <row r="168" spans="1:19" x14ac:dyDescent="0.35">
      <c r="A168" s="77"/>
      <c r="B168" s="77"/>
      <c r="C168" s="80" t="s">
        <v>415</v>
      </c>
      <c r="D168" s="80"/>
      <c r="E168" s="80"/>
      <c r="F168" s="98"/>
      <c r="G168" s="80"/>
      <c r="H168" s="98"/>
      <c r="I168" s="80"/>
      <c r="J168" s="98"/>
      <c r="K168" s="98"/>
      <c r="L168" s="80"/>
      <c r="M168" s="98"/>
      <c r="N168" s="80"/>
      <c r="O168" s="80"/>
      <c r="P168" s="80"/>
      <c r="Q168" s="80"/>
      <c r="R168" s="80"/>
      <c r="S168" s="100"/>
    </row>
    <row r="169" spans="1:19" x14ac:dyDescent="0.35">
      <c r="A169" s="77"/>
      <c r="B169" s="77"/>
      <c r="C169" s="101" t="s">
        <v>432</v>
      </c>
      <c r="D169" s="101"/>
      <c r="E169" s="101"/>
      <c r="F169" s="102"/>
      <c r="G169" s="101"/>
      <c r="H169" s="102"/>
      <c r="I169" s="101"/>
      <c r="J169" s="102"/>
      <c r="K169" s="102"/>
      <c r="L169" s="101"/>
      <c r="M169" s="102"/>
      <c r="N169" s="101"/>
      <c r="O169" s="101"/>
      <c r="P169" s="101"/>
      <c r="Q169" s="101"/>
      <c r="R169" s="101"/>
      <c r="S169" s="104"/>
    </row>
    <row r="170" spans="1:19" x14ac:dyDescent="0.35">
      <c r="A170" s="89" t="s">
        <v>231</v>
      </c>
      <c r="B170" s="77"/>
      <c r="C170" s="90" t="s">
        <v>416</v>
      </c>
      <c r="D170" s="90"/>
      <c r="E170" s="90"/>
      <c r="F170" s="91" t="str">
        <f>TEXT(8.85,"0.00")</f>
        <v>8.85</v>
      </c>
      <c r="G170" s="90" t="str">
        <f>CONCATENATE("USD,FLAT ",TEXT(F170,"0.00"))</f>
        <v>USD,FLAT 8.85</v>
      </c>
      <c r="H170" s="92" t="str">
        <f>TEXT(8.86,"0.00")</f>
        <v>8.86</v>
      </c>
      <c r="I170" s="90" t="s">
        <v>168</v>
      </c>
      <c r="J170" s="91">
        <v>1</v>
      </c>
      <c r="K170" s="91" t="str">
        <f>TEXT(8.86,"0.00")</f>
        <v>8.86</v>
      </c>
      <c r="L170" s="90"/>
      <c r="M170" s="91">
        <v>23</v>
      </c>
      <c r="N170" s="91"/>
      <c r="O170" s="90" t="s">
        <v>414</v>
      </c>
      <c r="P170" s="90" t="s">
        <v>417</v>
      </c>
      <c r="Q170" s="90"/>
      <c r="R170" s="90"/>
      <c r="S170" s="93"/>
    </row>
    <row r="171" spans="1:19" x14ac:dyDescent="0.35">
      <c r="A171" s="77"/>
      <c r="B171" s="77"/>
      <c r="C171" s="94" t="s">
        <v>431</v>
      </c>
      <c r="D171" s="94"/>
      <c r="E171" s="94"/>
      <c r="F171" s="95"/>
      <c r="G171" s="94"/>
      <c r="H171" s="95"/>
      <c r="I171" s="94"/>
      <c r="J171" s="95"/>
      <c r="K171" s="95"/>
      <c r="L171" s="94"/>
      <c r="M171" s="95"/>
      <c r="N171" s="94"/>
      <c r="O171" s="94"/>
      <c r="P171" s="94"/>
      <c r="Q171" s="94"/>
      <c r="R171" s="94"/>
      <c r="S171" s="97"/>
    </row>
    <row r="172" spans="1:19" x14ac:dyDescent="0.35">
      <c r="A172" s="77"/>
      <c r="B172" s="77"/>
      <c r="C172" s="80" t="s">
        <v>415</v>
      </c>
      <c r="D172" s="80"/>
      <c r="E172" s="80"/>
      <c r="F172" s="98"/>
      <c r="G172" s="80"/>
      <c r="H172" s="98"/>
      <c r="I172" s="80"/>
      <c r="J172" s="98"/>
      <c r="K172" s="98"/>
      <c r="L172" s="80"/>
      <c r="M172" s="98"/>
      <c r="N172" s="80"/>
      <c r="O172" s="80"/>
      <c r="P172" s="80"/>
      <c r="Q172" s="80"/>
      <c r="R172" s="80"/>
      <c r="S172" s="100"/>
    </row>
    <row r="173" spans="1:19" x14ac:dyDescent="0.35">
      <c r="A173" s="77"/>
      <c r="B173" s="77"/>
      <c r="C173" s="101" t="s">
        <v>432</v>
      </c>
      <c r="D173" s="101"/>
      <c r="E173" s="101"/>
      <c r="F173" s="102"/>
      <c r="G173" s="101"/>
      <c r="H173" s="102"/>
      <c r="I173" s="101"/>
      <c r="J173" s="102"/>
      <c r="K173" s="102"/>
      <c r="L173" s="101"/>
      <c r="M173" s="102"/>
      <c r="N173" s="101"/>
      <c r="O173" s="101"/>
      <c r="P173" s="101"/>
      <c r="Q173" s="101"/>
      <c r="R173" s="101"/>
      <c r="S173" s="104"/>
    </row>
    <row r="174" spans="1:19" x14ac:dyDescent="0.35">
      <c r="A174" s="89" t="s">
        <v>423</v>
      </c>
      <c r="B174" s="116"/>
      <c r="C174" s="90" t="s">
        <v>416</v>
      </c>
      <c r="D174" s="90"/>
      <c r="E174" s="90"/>
      <c r="F174" s="91" t="str">
        <f>TEXT(13.85,"0.00")</f>
        <v>13.85</v>
      </c>
      <c r="G174" s="90" t="str">
        <f>CONCATENATE("USD,FLAT ",TEXT(F174,"0.00"))</f>
        <v>USD,FLAT 13.85</v>
      </c>
      <c r="H174" s="92" t="str">
        <f>TEXT(13.86,"0.00")</f>
        <v>13.86</v>
      </c>
      <c r="I174" s="90" t="s">
        <v>168</v>
      </c>
      <c r="J174" s="91">
        <v>1</v>
      </c>
      <c r="K174" s="91" t="str">
        <f>TEXT(13.86,"0.00")</f>
        <v>13.86</v>
      </c>
      <c r="L174" s="90"/>
      <c r="M174" s="91">
        <v>23</v>
      </c>
      <c r="N174" s="91"/>
      <c r="O174" s="90" t="s">
        <v>414</v>
      </c>
      <c r="P174" s="90" t="s">
        <v>417</v>
      </c>
      <c r="Q174" s="90"/>
      <c r="R174" s="90"/>
      <c r="S174" s="93"/>
    </row>
    <row r="175" spans="1:19" x14ac:dyDescent="0.35">
      <c r="A175" s="77"/>
      <c r="B175" s="116"/>
      <c r="C175" s="94" t="s">
        <v>431</v>
      </c>
      <c r="D175" s="94"/>
      <c r="E175" s="94"/>
      <c r="F175" s="95"/>
      <c r="G175" s="94"/>
      <c r="H175" s="95"/>
      <c r="I175" s="94"/>
      <c r="J175" s="95"/>
      <c r="K175" s="95"/>
      <c r="L175" s="94"/>
      <c r="M175" s="94"/>
      <c r="N175" s="94"/>
      <c r="O175" s="94"/>
      <c r="P175" s="94"/>
      <c r="Q175" s="94"/>
      <c r="R175" s="94"/>
      <c r="S175" s="97"/>
    </row>
    <row r="176" spans="1:19" x14ac:dyDescent="0.35">
      <c r="A176" s="77"/>
      <c r="B176" s="77"/>
      <c r="C176" s="80" t="s">
        <v>415</v>
      </c>
      <c r="D176" s="80"/>
      <c r="E176" s="80"/>
      <c r="F176" s="98"/>
      <c r="G176" s="80"/>
      <c r="H176" s="117"/>
      <c r="I176" s="80"/>
      <c r="J176" s="98"/>
      <c r="K176" s="117"/>
      <c r="L176" s="80"/>
      <c r="M176" s="80"/>
      <c r="N176" s="80"/>
      <c r="O176" s="80"/>
      <c r="P176" s="80"/>
      <c r="Q176" s="80"/>
      <c r="R176" s="80"/>
      <c r="S176" s="100"/>
    </row>
    <row r="177" spans="1:19" x14ac:dyDescent="0.35">
      <c r="A177" s="77"/>
      <c r="B177" s="77"/>
      <c r="C177" s="101" t="s">
        <v>432</v>
      </c>
      <c r="D177" s="101"/>
      <c r="E177" s="101"/>
      <c r="F177" s="102"/>
      <c r="G177" s="101"/>
      <c r="H177" s="118"/>
      <c r="I177" s="101"/>
      <c r="J177" s="102"/>
      <c r="K177" s="118"/>
      <c r="L177" s="101"/>
      <c r="M177" s="101"/>
      <c r="N177" s="101"/>
      <c r="O177" s="101"/>
      <c r="P177" s="101"/>
      <c r="Q177" s="101"/>
      <c r="R177" s="101"/>
      <c r="S177" s="104"/>
    </row>
    <row r="179" spans="1:19" x14ac:dyDescent="0.35">
      <c r="A179" s="155" t="s">
        <v>446</v>
      </c>
      <c r="B179" s="155"/>
      <c r="C179" s="155"/>
      <c r="D179" s="155"/>
      <c r="E179" s="155"/>
    </row>
    <row r="181" spans="1:19" x14ac:dyDescent="0.35">
      <c r="A181" s="143" t="s">
        <v>344</v>
      </c>
      <c r="B181" s="144"/>
      <c r="C181" s="144"/>
      <c r="D181" s="144"/>
      <c r="E181" s="144"/>
      <c r="F181" s="144"/>
      <c r="G181" s="144"/>
      <c r="H181" s="144"/>
      <c r="I181" s="144"/>
      <c r="J181" s="144"/>
      <c r="K181" s="46"/>
      <c r="L181" s="46"/>
    </row>
    <row r="182" spans="1:19" x14ac:dyDescent="0.35">
      <c r="A182" s="124"/>
      <c r="B182" s="125"/>
      <c r="C182" s="126" t="s">
        <v>345</v>
      </c>
      <c r="D182" s="126"/>
      <c r="E182" s="126"/>
      <c r="F182" s="126"/>
      <c r="G182" s="126"/>
      <c r="H182" s="126"/>
      <c r="I182" s="126"/>
      <c r="J182" s="126"/>
      <c r="K182" s="135"/>
      <c r="L182" s="135"/>
    </row>
    <row r="183" spans="1:19" ht="29" x14ac:dyDescent="0.35">
      <c r="A183" s="138" t="s">
        <v>346</v>
      </c>
      <c r="B183" s="138" t="s">
        <v>347</v>
      </c>
      <c r="C183" s="127" t="s">
        <v>348</v>
      </c>
      <c r="D183" s="128"/>
      <c r="E183" s="128"/>
      <c r="F183" s="129"/>
      <c r="G183" s="130" t="s">
        <v>349</v>
      </c>
      <c r="H183" s="131"/>
      <c r="I183" s="131"/>
      <c r="J183" s="132"/>
      <c r="K183" s="133" t="s">
        <v>466</v>
      </c>
      <c r="L183" s="138" t="s">
        <v>350</v>
      </c>
    </row>
    <row r="184" spans="1:19" x14ac:dyDescent="0.35">
      <c r="A184" s="140"/>
      <c r="B184" s="140"/>
      <c r="C184" s="63" t="s">
        <v>351</v>
      </c>
      <c r="D184" s="63" t="s">
        <v>352</v>
      </c>
      <c r="E184" s="63" t="s">
        <v>353</v>
      </c>
      <c r="F184" s="63" t="s">
        <v>354</v>
      </c>
      <c r="G184" s="64" t="s">
        <v>351</v>
      </c>
      <c r="H184" s="64" t="s">
        <v>352</v>
      </c>
      <c r="I184" s="64" t="s">
        <v>353</v>
      </c>
      <c r="J184" s="64" t="s">
        <v>354</v>
      </c>
      <c r="K184" s="134"/>
      <c r="L184" s="140"/>
    </row>
    <row r="185" spans="1:19" x14ac:dyDescent="0.35">
      <c r="A185" s="41" t="s">
        <v>355</v>
      </c>
      <c r="B185" s="41" t="s">
        <v>356</v>
      </c>
      <c r="C185" s="30" t="str">
        <f>TEXT(23803.36,"0.00")</f>
        <v>23803.36</v>
      </c>
      <c r="D185" s="30" t="str">
        <f>TEXT(1025.1,"0.0")</f>
        <v>1025.1</v>
      </c>
      <c r="E185" s="30" t="str">
        <f>TEXT(22778.26,"0.00")</f>
        <v>22778.26</v>
      </c>
      <c r="F185" s="30" t="str">
        <f>TEXT(95.69,"0.00")</f>
        <v>95.69</v>
      </c>
      <c r="G185" s="30" t="str">
        <f>"$"&amp;TEXT(1275,"0.00")</f>
        <v>$1275.00</v>
      </c>
      <c r="H185" s="30" t="str">
        <f t="shared" ref="H185" si="0">"$"&amp;TEXT(0,"0.00")</f>
        <v>$0.00</v>
      </c>
      <c r="I185" s="30" t="str">
        <f>"$"&amp;TEXT(1275,"0.00")</f>
        <v>$1275.00</v>
      </c>
      <c r="J185" s="30" t="str">
        <f>TEXT(100,"0.00")</f>
        <v>100.00</v>
      </c>
      <c r="K185" s="30" t="str">
        <f>TEXT(1766.93,"0.00")</f>
        <v>1766.93</v>
      </c>
      <c r="L185" s="41" t="s">
        <v>155</v>
      </c>
    </row>
    <row r="187" spans="1:19" ht="13.25" customHeight="1" x14ac:dyDescent="0.35">
      <c r="A187" s="151" t="s">
        <v>357</v>
      </c>
      <c r="B187" s="152"/>
      <c r="C187" s="152"/>
      <c r="D187" s="152"/>
      <c r="E187" s="152"/>
      <c r="F187" s="152"/>
      <c r="G187" s="152"/>
      <c r="H187" s="152"/>
      <c r="I187" s="152"/>
      <c r="J187" s="152"/>
      <c r="K187" s="152"/>
      <c r="L187" s="152"/>
    </row>
    <row r="188" spans="1:19" x14ac:dyDescent="0.35">
      <c r="A188" s="158" t="s">
        <v>131</v>
      </c>
      <c r="B188" s="158" t="s">
        <v>358</v>
      </c>
      <c r="C188" s="169" t="s">
        <v>359</v>
      </c>
      <c r="D188" s="172" t="s">
        <v>360</v>
      </c>
      <c r="E188" s="180" t="s">
        <v>345</v>
      </c>
      <c r="F188" s="180"/>
      <c r="G188" s="180"/>
      <c r="H188" s="180"/>
      <c r="I188" s="175" t="s">
        <v>361</v>
      </c>
      <c r="J188" s="175"/>
      <c r="K188" s="175"/>
      <c r="L188" s="175"/>
    </row>
    <row r="189" spans="1:19" x14ac:dyDescent="0.35">
      <c r="A189" s="159"/>
      <c r="B189" s="159"/>
      <c r="C189" s="170"/>
      <c r="D189" s="173"/>
      <c r="E189" s="176" t="s">
        <v>362</v>
      </c>
      <c r="F189" s="177"/>
      <c r="G189" s="178" t="s">
        <v>349</v>
      </c>
      <c r="H189" s="179"/>
      <c r="I189" s="176" t="s">
        <v>362</v>
      </c>
      <c r="J189" s="177"/>
      <c r="K189" s="178" t="s">
        <v>349</v>
      </c>
      <c r="L189" s="179"/>
    </row>
    <row r="190" spans="1:19" x14ac:dyDescent="0.35">
      <c r="A190" s="160"/>
      <c r="B190" s="160" t="s">
        <v>130</v>
      </c>
      <c r="C190" s="171"/>
      <c r="D190" s="174"/>
      <c r="E190" s="63" t="s">
        <v>363</v>
      </c>
      <c r="F190" s="63" t="s">
        <v>364</v>
      </c>
      <c r="G190" s="64" t="s">
        <v>365</v>
      </c>
      <c r="H190" s="64" t="s">
        <v>366</v>
      </c>
      <c r="I190" s="63" t="s">
        <v>363</v>
      </c>
      <c r="J190" s="63" t="s">
        <v>364</v>
      </c>
      <c r="K190" s="64" t="s">
        <v>365</v>
      </c>
      <c r="L190" s="64" t="s">
        <v>366</v>
      </c>
    </row>
    <row r="191" spans="1:19" x14ac:dyDescent="0.35">
      <c r="A191" s="41" t="str">
        <f>C5</f>
        <v>BANK_82_PRSPCH1_001</v>
      </c>
      <c r="B191" s="41" t="s">
        <v>355</v>
      </c>
      <c r="C191" s="56" t="s">
        <v>367</v>
      </c>
      <c r="D191" s="65" t="str">
        <f>TEXT(0,"0.00")</f>
        <v>0.00</v>
      </c>
      <c r="E191" s="66" t="str">
        <f>"$"&amp;TEXT(23803.36,"0.00")</f>
        <v>$23803.36</v>
      </c>
      <c r="F191" s="66" t="str">
        <f>"$"&amp;TEXT(1025.1,"0.00")</f>
        <v>$1025.10</v>
      </c>
      <c r="G191" s="66" t="str">
        <f>"$"&amp;TEXT(1275,"0.00")</f>
        <v>$1275.00</v>
      </c>
      <c r="H191" s="66" t="str">
        <f>"$"&amp;TEXT(0,"0.00")</f>
        <v>$0.00</v>
      </c>
      <c r="I191" s="67" t="str">
        <f>"$"&amp;TEXT(23803.36,"0.00")</f>
        <v>$23803.36</v>
      </c>
      <c r="J191" s="67" t="str">
        <f>"$"&amp;TEXT(1025.1,"0.00")</f>
        <v>$1025.10</v>
      </c>
      <c r="K191" s="67" t="str">
        <f>"$"&amp;TEXT(1275,"0.00")</f>
        <v>$1275.00</v>
      </c>
      <c r="L191" s="67" t="str">
        <f>"$"&amp;TEXT(0,"0.00")</f>
        <v>$0.00</v>
      </c>
    </row>
    <row r="192" spans="1:19" x14ac:dyDescent="0.35">
      <c r="A192" s="56" t="s">
        <v>461</v>
      </c>
      <c r="B192" s="41" t="s">
        <v>355</v>
      </c>
      <c r="C192" s="56" t="s">
        <v>367</v>
      </c>
      <c r="D192" s="65" t="str">
        <f t="shared" ref="D192:D194" si="1">TEXT(0,"0.00")</f>
        <v>0.00</v>
      </c>
      <c r="E192" s="66" t="str">
        <f>"$"&amp;TEXT(11901.67,"0.00")</f>
        <v>$11901.67</v>
      </c>
      <c r="F192" s="66" t="str">
        <f>"$"&amp;TEXT(512.55,"0.00")</f>
        <v>$512.55</v>
      </c>
      <c r="G192" s="66" t="str">
        <f>"$"&amp;TEXT(637.5,"0.00")</f>
        <v>$637.50</v>
      </c>
      <c r="H192" s="66" t="str">
        <f t="shared" ref="H192:H194" si="2">"$"&amp;TEXT(0,"0.00")</f>
        <v>$0.00</v>
      </c>
      <c r="I192" s="67" t="str">
        <f>"$"&amp;TEXT(11901.67,"0.00")</f>
        <v>$11901.67</v>
      </c>
      <c r="J192" s="67" t="str">
        <f>"$"&amp;TEXT(512.55,"0.00")</f>
        <v>$512.55</v>
      </c>
      <c r="K192" s="67" t="str">
        <f>"$"&amp;TEXT(637.5,"0.00")</f>
        <v>$637.50</v>
      </c>
      <c r="L192" s="67" t="str">
        <f t="shared" ref="L192:L194" si="3">"$"&amp;TEXT(0,"0.00")</f>
        <v>$0.00</v>
      </c>
    </row>
    <row r="193" spans="1:26" x14ac:dyDescent="0.35">
      <c r="A193" s="41" t="s">
        <v>464</v>
      </c>
      <c r="B193" s="41" t="s">
        <v>355</v>
      </c>
      <c r="C193" s="56" t="s">
        <v>367</v>
      </c>
      <c r="D193" s="65" t="str">
        <f>TEXT(0,"0.00")</f>
        <v>0.00</v>
      </c>
      <c r="E193" s="66" t="str">
        <f>"$"&amp;TEXT(11901.68,"0.00")</f>
        <v>$11901.68</v>
      </c>
      <c r="F193" s="66" t="str">
        <f t="shared" ref="F193:F194" si="4">"$"&amp;TEXT(512.55,"0.00")</f>
        <v>$512.55</v>
      </c>
      <c r="G193" s="66" t="str">
        <f>"$"&amp;TEXT(637.5,"0.00")</f>
        <v>$637.50</v>
      </c>
      <c r="H193" s="66" t="str">
        <f t="shared" si="2"/>
        <v>$0.00</v>
      </c>
      <c r="I193" s="67" t="str">
        <f>"$"&amp;TEXT(11901.68,"0.00")</f>
        <v>$11901.68</v>
      </c>
      <c r="J193" s="67" t="str">
        <f t="shared" ref="J193:J194" si="5">"$"&amp;TEXT(512.55,"0.00")</f>
        <v>$512.55</v>
      </c>
      <c r="K193" s="67" t="str">
        <f>"$"&amp;TEXT(637.5,"0.00")</f>
        <v>$637.50</v>
      </c>
      <c r="L193" s="67" t="str">
        <f t="shared" si="3"/>
        <v>$0.00</v>
      </c>
    </row>
    <row r="194" spans="1:26" x14ac:dyDescent="0.35">
      <c r="A194" s="56" t="s">
        <v>461</v>
      </c>
      <c r="B194" s="41" t="s">
        <v>355</v>
      </c>
      <c r="C194" s="56" t="s">
        <v>367</v>
      </c>
      <c r="D194" s="65" t="str">
        <f t="shared" si="1"/>
        <v>0.00</v>
      </c>
      <c r="E194" s="66" t="str">
        <f t="shared" ref="E194" si="6">"$"&amp;TEXT(11901.67,"0.00")</f>
        <v>$11901.67</v>
      </c>
      <c r="F194" s="66" t="str">
        <f t="shared" si="4"/>
        <v>$512.55</v>
      </c>
      <c r="G194" s="66" t="str">
        <f>"$"&amp;TEXT(637.5,"0.00")</f>
        <v>$637.50</v>
      </c>
      <c r="H194" s="66" t="str">
        <f t="shared" si="2"/>
        <v>$0.00</v>
      </c>
      <c r="I194" s="67" t="str">
        <f t="shared" ref="I194" si="7">"$"&amp;TEXT(11901.67,"0.00")</f>
        <v>$11901.67</v>
      </c>
      <c r="J194" s="67" t="str">
        <f t="shared" si="5"/>
        <v>$512.55</v>
      </c>
      <c r="K194" s="67" t="str">
        <f>"$"&amp;TEXT(637.5,"0.00")</f>
        <v>$637.50</v>
      </c>
      <c r="L194" s="67" t="str">
        <f t="shared" si="3"/>
        <v>$0.00</v>
      </c>
    </row>
    <row r="196" spans="1:26" x14ac:dyDescent="0.35">
      <c r="A196" s="143" t="s">
        <v>368</v>
      </c>
      <c r="B196" s="144"/>
      <c r="C196" s="144"/>
      <c r="D196" s="144"/>
      <c r="E196" s="144"/>
      <c r="F196" s="144"/>
      <c r="G196" s="144"/>
      <c r="H196" s="144"/>
      <c r="I196" s="144"/>
      <c r="J196" s="144"/>
      <c r="K196" s="46"/>
      <c r="L196" s="46"/>
      <c r="M196" s="46"/>
      <c r="N196" s="46"/>
      <c r="O196" s="46"/>
      <c r="P196" s="46"/>
      <c r="Q196" s="46"/>
      <c r="R196" s="46"/>
      <c r="S196" s="46"/>
    </row>
    <row r="197" spans="1:26" x14ac:dyDescent="0.35">
      <c r="A197" s="124"/>
      <c r="B197" s="125"/>
      <c r="C197" s="126" t="s">
        <v>345</v>
      </c>
      <c r="D197" s="126"/>
      <c r="E197" s="126"/>
      <c r="F197" s="126"/>
      <c r="G197" s="126"/>
      <c r="H197" s="126"/>
      <c r="I197" s="126"/>
      <c r="J197" s="126"/>
      <c r="K197" s="126"/>
      <c r="L197" s="126"/>
      <c r="M197" s="126"/>
      <c r="N197" s="126"/>
      <c r="O197" s="135"/>
      <c r="P197" s="136" t="s">
        <v>465</v>
      </c>
      <c r="Q197" s="137"/>
      <c r="R197" s="137"/>
      <c r="S197" s="137"/>
      <c r="Z197" s="68"/>
    </row>
    <row r="198" spans="1:26" ht="29" x14ac:dyDescent="0.35">
      <c r="A198" s="138" t="s">
        <v>346</v>
      </c>
      <c r="B198" s="138" t="s">
        <v>347</v>
      </c>
      <c r="C198" s="127" t="s">
        <v>348</v>
      </c>
      <c r="D198" s="128"/>
      <c r="E198" s="128"/>
      <c r="F198" s="129"/>
      <c r="G198" s="130" t="s">
        <v>349</v>
      </c>
      <c r="H198" s="131"/>
      <c r="I198" s="131"/>
      <c r="J198" s="132"/>
      <c r="K198" s="133" t="s">
        <v>466</v>
      </c>
      <c r="L198" s="133" t="s">
        <v>467</v>
      </c>
      <c r="M198" s="133" t="s">
        <v>468</v>
      </c>
      <c r="N198" s="133" t="s">
        <v>469</v>
      </c>
      <c r="O198" s="138" t="s">
        <v>350</v>
      </c>
      <c r="P198" s="136" t="s">
        <v>345</v>
      </c>
      <c r="Q198" s="137"/>
      <c r="R198" s="139"/>
      <c r="S198" s="139"/>
    </row>
    <row r="199" spans="1:26" x14ac:dyDescent="0.35">
      <c r="A199" s="140"/>
      <c r="B199" s="140"/>
      <c r="C199" s="63" t="s">
        <v>351</v>
      </c>
      <c r="D199" s="63" t="s">
        <v>352</v>
      </c>
      <c r="E199" s="63" t="s">
        <v>353</v>
      </c>
      <c r="F199" s="63" t="s">
        <v>354</v>
      </c>
      <c r="G199" s="64" t="s">
        <v>351</v>
      </c>
      <c r="H199" s="64" t="s">
        <v>352</v>
      </c>
      <c r="I199" s="64" t="s">
        <v>353</v>
      </c>
      <c r="J199" s="64" t="s">
        <v>354</v>
      </c>
      <c r="K199" s="134"/>
      <c r="L199" s="134"/>
      <c r="M199" s="134"/>
      <c r="N199" s="134"/>
      <c r="O199" s="140"/>
      <c r="P199" s="141" t="s">
        <v>351</v>
      </c>
      <c r="Q199" s="141" t="s">
        <v>352</v>
      </c>
      <c r="R199" s="141" t="s">
        <v>353</v>
      </c>
      <c r="S199" s="141" t="s">
        <v>354</v>
      </c>
    </row>
    <row r="200" spans="1:26" x14ac:dyDescent="0.35">
      <c r="A200" s="56" t="s">
        <v>355</v>
      </c>
      <c r="B200" s="69"/>
      <c r="C200" s="30" t="str">
        <f>"$"&amp;TEXT(23803.36,"0.00")</f>
        <v>$23803.36</v>
      </c>
      <c r="D200" s="30" t="str">
        <f>"$"&amp;TEXT(1025.1,"0.00")</f>
        <v>$1025.10</v>
      </c>
      <c r="E200" s="30" t="str">
        <f>"$"&amp;TEXT(22778.26,"0.00")</f>
        <v>$22778.26</v>
      </c>
      <c r="F200" s="30" t="str">
        <f>TEXT(95.69,"0.00")</f>
        <v>95.69</v>
      </c>
      <c r="G200" s="30" t="str">
        <f>"$"&amp;TEXT(1275,"0.00")</f>
        <v>$1275.00</v>
      </c>
      <c r="H200" s="30" t="str">
        <f t="shared" ref="H200" si="8">"$"&amp;TEXT(0,"0.00")</f>
        <v>$0.00</v>
      </c>
      <c r="I200" s="30" t="str">
        <f>"$"&amp;TEXT(1275,"0.00")</f>
        <v>$1275.00</v>
      </c>
      <c r="J200" s="30" t="str">
        <f>TEXT(100,"0.00")</f>
        <v>100.00</v>
      </c>
      <c r="K200" s="30" t="str">
        <f>TEXT(1766.93,"0.00")</f>
        <v>1766.93</v>
      </c>
      <c r="L200" s="30" t="str">
        <f>TEXT(0,"0.00")</f>
        <v>0.00</v>
      </c>
      <c r="M200" s="30" t="str">
        <f>TEXT(1686.53,"0.00")</f>
        <v>1686.53</v>
      </c>
      <c r="N200" s="30" t="str">
        <f>TEXT(0,"0.00")</f>
        <v>0.00</v>
      </c>
      <c r="O200" s="41" t="s">
        <v>155</v>
      </c>
      <c r="P200" s="30"/>
      <c r="Q200" s="142"/>
      <c r="R200" s="30"/>
      <c r="S200" s="30"/>
    </row>
    <row r="202" spans="1:26" x14ac:dyDescent="0.35">
      <c r="A202" s="45" t="s">
        <v>369</v>
      </c>
      <c r="B202" s="46"/>
      <c r="C202" s="46"/>
    </row>
    <row r="203" spans="1:26" x14ac:dyDescent="0.35">
      <c r="A203" s="43" t="s">
        <v>369</v>
      </c>
      <c r="B203" s="43" t="s">
        <v>370</v>
      </c>
      <c r="C203" s="43" t="s">
        <v>371</v>
      </c>
      <c r="D203" s="43" t="s">
        <v>372</v>
      </c>
      <c r="E203" s="43" t="s">
        <v>286</v>
      </c>
      <c r="F203" s="43" t="s">
        <v>183</v>
      </c>
      <c r="G203" s="43" t="s">
        <v>184</v>
      </c>
      <c r="H203" s="43" t="s">
        <v>373</v>
      </c>
      <c r="I203" s="43" t="s">
        <v>374</v>
      </c>
      <c r="J203" s="43" t="s">
        <v>375</v>
      </c>
      <c r="K203" s="43" t="s">
        <v>283</v>
      </c>
      <c r="L203" s="43" t="s">
        <v>281</v>
      </c>
    </row>
    <row r="204" spans="1:26" ht="72.5" x14ac:dyDescent="0.35">
      <c r="A204" s="70" t="s">
        <v>376</v>
      </c>
      <c r="B204" s="71" t="s">
        <v>377</v>
      </c>
      <c r="C204" s="71" t="s">
        <v>377</v>
      </c>
      <c r="D204" s="71" t="s">
        <v>378</v>
      </c>
      <c r="E204" s="71" t="s">
        <v>379</v>
      </c>
      <c r="F204" s="71"/>
      <c r="G204" s="71"/>
      <c r="H204" s="71"/>
      <c r="I204" s="71"/>
      <c r="J204" s="72">
        <f ca="1">TODAY()</f>
        <v>45147</v>
      </c>
      <c r="K204" s="72">
        <v>234</v>
      </c>
      <c r="L204" s="71" t="s">
        <v>155</v>
      </c>
    </row>
    <row r="206" spans="1:26" x14ac:dyDescent="0.35">
      <c r="A206" s="45" t="s">
        <v>380</v>
      </c>
      <c r="B206" s="46"/>
      <c r="C206" s="46"/>
    </row>
    <row r="207" spans="1:26" x14ac:dyDescent="0.35">
      <c r="A207" s="43" t="s">
        <v>381</v>
      </c>
      <c r="B207" s="43" t="s">
        <v>382</v>
      </c>
      <c r="C207" s="43" t="s">
        <v>383</v>
      </c>
      <c r="D207" s="43" t="s">
        <v>384</v>
      </c>
    </row>
    <row r="208" spans="1:26" x14ac:dyDescent="0.35">
      <c r="A208" s="73" t="str">
        <f ca="1">TEXT(TODAY(),"YYYY-MM-DD")</f>
        <v>2023-08-09</v>
      </c>
      <c r="B208" s="74" t="s">
        <v>387</v>
      </c>
      <c r="C208" s="74" t="s">
        <v>385</v>
      </c>
      <c r="D208" s="74" t="s">
        <v>386</v>
      </c>
    </row>
    <row r="209" spans="1:48" x14ac:dyDescent="0.35">
      <c r="A209" s="73" t="str">
        <f ca="1">TEXT(TODAY(),"YYYY-MM-DD")</f>
        <v>2023-08-09</v>
      </c>
      <c r="B209" s="74" t="s">
        <v>388</v>
      </c>
      <c r="C209" s="74" t="s">
        <v>385</v>
      </c>
      <c r="D209" s="74" t="s">
        <v>386</v>
      </c>
    </row>
    <row r="210" spans="1:48" x14ac:dyDescent="0.35">
      <c r="A210" s="73" t="str">
        <f ca="1">TEXT(TODAY(),"YYYY-MM-DD")</f>
        <v>2023-08-09</v>
      </c>
      <c r="B210" s="74" t="s">
        <v>389</v>
      </c>
      <c r="C210" s="74" t="s">
        <v>385</v>
      </c>
      <c r="D210" s="74" t="s">
        <v>390</v>
      </c>
    </row>
    <row r="211" spans="1:48" x14ac:dyDescent="0.35">
      <c r="A211" s="73" t="str">
        <f ca="1">TEXT(TODAY(),"YYYY-MM-DD")</f>
        <v>2023-08-09</v>
      </c>
      <c r="B211" s="74" t="s">
        <v>444</v>
      </c>
      <c r="C211" s="74" t="s">
        <v>385</v>
      </c>
      <c r="D211" s="74" t="s">
        <v>445</v>
      </c>
    </row>
    <row r="213" spans="1:48" x14ac:dyDescent="0.35">
      <c r="A213" s="153" t="s">
        <v>447</v>
      </c>
      <c r="B213" s="154"/>
      <c r="C213" s="154"/>
      <c r="D213" s="154"/>
      <c r="E213" s="154"/>
      <c r="F213" s="154"/>
      <c r="G213" s="154"/>
      <c r="H213" s="154"/>
      <c r="I213" s="154"/>
      <c r="J213" s="154"/>
      <c r="K213" s="154"/>
      <c r="L213" s="154"/>
      <c r="M213" s="154"/>
      <c r="N213" s="154"/>
      <c r="O213" s="154"/>
      <c r="P213" s="154"/>
      <c r="Q213" s="154"/>
      <c r="R213" s="154"/>
      <c r="S213" s="119"/>
      <c r="T213" s="119"/>
      <c r="U213" s="119"/>
      <c r="V213" s="119"/>
      <c r="W213" s="119"/>
      <c r="X213" s="119"/>
      <c r="Y213" s="119"/>
      <c r="Z213" s="119"/>
    </row>
    <row r="214" spans="1:48" x14ac:dyDescent="0.35">
      <c r="A214" s="75" t="s">
        <v>391</v>
      </c>
      <c r="B214" s="75" t="s">
        <v>392</v>
      </c>
      <c r="C214" s="75" t="s">
        <v>393</v>
      </c>
      <c r="D214" s="75" t="s">
        <v>283</v>
      </c>
      <c r="E214" s="75" t="s">
        <v>295</v>
      </c>
      <c r="F214" s="75" t="s">
        <v>187</v>
      </c>
      <c r="G214" s="75" t="s">
        <v>394</v>
      </c>
      <c r="H214" s="75" t="s">
        <v>395</v>
      </c>
      <c r="I214" s="75" t="s">
        <v>166</v>
      </c>
      <c r="J214" s="75" t="s">
        <v>396</v>
      </c>
      <c r="K214" s="75" t="s">
        <v>351</v>
      </c>
      <c r="L214" s="75" t="s">
        <v>397</v>
      </c>
      <c r="M214" s="75" t="s">
        <v>352</v>
      </c>
      <c r="N214" s="75" t="s">
        <v>398</v>
      </c>
      <c r="O214" s="75" t="s">
        <v>399</v>
      </c>
      <c r="P214" s="75" t="s">
        <v>359</v>
      </c>
      <c r="Q214" s="75" t="s">
        <v>400</v>
      </c>
      <c r="R214" s="75" t="s">
        <v>401</v>
      </c>
      <c r="S214" s="75" t="s">
        <v>402</v>
      </c>
      <c r="T214" s="75" t="s">
        <v>334</v>
      </c>
      <c r="U214" s="75" t="s">
        <v>333</v>
      </c>
      <c r="V214" s="75" t="s">
        <v>403</v>
      </c>
      <c r="W214" s="75" t="s">
        <v>404</v>
      </c>
      <c r="X214" s="75" t="s">
        <v>405</v>
      </c>
      <c r="Y214" s="75" t="s">
        <v>406</v>
      </c>
      <c r="Z214" s="75" t="s">
        <v>407</v>
      </c>
    </row>
    <row r="215" spans="1:48" ht="19" customHeight="1" x14ac:dyDescent="0.35">
      <c r="A215" s="76" t="s">
        <v>194</v>
      </c>
      <c r="B215" s="77"/>
      <c r="C215" s="78" t="s">
        <v>408</v>
      </c>
      <c r="D215" s="79" t="str">
        <f ca="1">TEXT(TODAY(),"YYYY-MM-DD")</f>
        <v>2023-08-09</v>
      </c>
      <c r="E215" s="78"/>
      <c r="F215" s="79">
        <v>13</v>
      </c>
      <c r="G215" s="79" t="s">
        <v>409</v>
      </c>
      <c r="H215" s="79">
        <f>F215</f>
        <v>13</v>
      </c>
      <c r="I215" s="78" t="s">
        <v>168</v>
      </c>
      <c r="J215" s="79"/>
      <c r="K215" s="79"/>
      <c r="L215" s="79"/>
      <c r="M215" s="79"/>
      <c r="N215" s="78"/>
      <c r="O215" s="78"/>
      <c r="P215" s="78"/>
      <c r="Q215" s="78"/>
      <c r="R215" s="78"/>
      <c r="S215" s="78" t="s">
        <v>199</v>
      </c>
      <c r="T215" s="78" t="s">
        <v>337</v>
      </c>
      <c r="U215" s="78">
        <f>B80</f>
        <v>2049157035</v>
      </c>
      <c r="V215" s="78" t="s">
        <v>410</v>
      </c>
      <c r="W215" s="78" t="s">
        <v>177</v>
      </c>
      <c r="X215" s="78" t="s">
        <v>411</v>
      </c>
      <c r="Y215" s="78" t="s">
        <v>412</v>
      </c>
      <c r="Z215" s="78"/>
      <c r="AU215" t="s">
        <v>530</v>
      </c>
      <c r="AV215" t="s">
        <v>531</v>
      </c>
    </row>
    <row r="216" spans="1:48" ht="19" customHeight="1" x14ac:dyDescent="0.35">
      <c r="A216" s="76" t="s">
        <v>194</v>
      </c>
      <c r="B216" s="77"/>
      <c r="C216" s="81" t="s">
        <v>415</v>
      </c>
      <c r="D216" s="81" t="str">
        <f ca="1">TEXT(TODAY()+30,"YYYY-MM-DD")</f>
        <v>2023-09-08</v>
      </c>
      <c r="E216" s="81"/>
      <c r="F216" s="81">
        <v>12</v>
      </c>
      <c r="G216" s="81" t="s">
        <v>409</v>
      </c>
      <c r="H216" s="81">
        <f>F216</f>
        <v>12</v>
      </c>
      <c r="I216" s="81" t="s">
        <v>168</v>
      </c>
      <c r="J216" s="81"/>
      <c r="K216" s="81"/>
      <c r="L216" s="81"/>
      <c r="M216" s="81"/>
      <c r="N216" s="81"/>
      <c r="O216" s="81"/>
      <c r="P216" s="81"/>
      <c r="Q216" s="81"/>
      <c r="R216" s="81"/>
      <c r="S216" s="81" t="s">
        <v>199</v>
      </c>
      <c r="T216" s="81" t="s">
        <v>337</v>
      </c>
      <c r="U216" s="78">
        <f>B80</f>
        <v>2049157035</v>
      </c>
      <c r="V216" s="81" t="s">
        <v>410</v>
      </c>
      <c r="W216" s="81" t="s">
        <v>177</v>
      </c>
      <c r="X216" s="81" t="s">
        <v>411</v>
      </c>
      <c r="Y216" s="81" t="s">
        <v>412</v>
      </c>
      <c r="Z216" s="81"/>
      <c r="AU216" t="s">
        <v>532</v>
      </c>
      <c r="AV216" t="s">
        <v>533</v>
      </c>
    </row>
    <row r="217" spans="1:48" x14ac:dyDescent="0.35">
      <c r="U217" s="122"/>
    </row>
    <row r="218" spans="1:48" ht="16" customHeight="1" x14ac:dyDescent="0.35">
      <c r="A218" s="76" t="s">
        <v>247</v>
      </c>
      <c r="B218" s="76" t="s">
        <v>422</v>
      </c>
      <c r="C218" s="78" t="s">
        <v>408</v>
      </c>
      <c r="D218" s="78" t="str">
        <f ca="1">TEXT(TODAY(),"YYYY-MM-DD")</f>
        <v>2023-08-09</v>
      </c>
      <c r="E218" s="78"/>
      <c r="F218" s="78" t="s">
        <v>424</v>
      </c>
      <c r="G218" s="78" t="s">
        <v>409</v>
      </c>
      <c r="H218" s="78"/>
      <c r="I218" s="78" t="s">
        <v>168</v>
      </c>
      <c r="J218" s="78"/>
      <c r="K218" s="78"/>
      <c r="L218" s="78"/>
      <c r="M218" s="78"/>
      <c r="N218" s="78"/>
      <c r="O218" s="78"/>
      <c r="P218" s="78"/>
      <c r="Q218" s="78"/>
      <c r="R218" s="78"/>
      <c r="S218" s="78"/>
      <c r="T218" s="78" t="s">
        <v>337</v>
      </c>
      <c r="U218" s="78">
        <f>B80</f>
        <v>2049157035</v>
      </c>
      <c r="V218" s="78" t="s">
        <v>410</v>
      </c>
      <c r="W218" s="78" t="s">
        <v>177</v>
      </c>
      <c r="X218" s="78" t="s">
        <v>411</v>
      </c>
      <c r="Y218" s="78" t="s">
        <v>412</v>
      </c>
      <c r="Z218" s="78"/>
      <c r="AU218" t="s">
        <v>534</v>
      </c>
      <c r="AV218" t="s">
        <v>535</v>
      </c>
    </row>
    <row r="219" spans="1:48" ht="16" customHeight="1" x14ac:dyDescent="0.35">
      <c r="A219" s="76" t="s">
        <v>247</v>
      </c>
      <c r="B219" s="76" t="s">
        <v>422</v>
      </c>
      <c r="C219" s="81" t="s">
        <v>415</v>
      </c>
      <c r="D219" s="81" t="str">
        <f ca="1">TEXT(TODAY()+30,"YYYY-MM-DD")</f>
        <v>2023-09-08</v>
      </c>
      <c r="E219" s="81"/>
      <c r="F219" s="81" t="s">
        <v>448</v>
      </c>
      <c r="G219" s="81" t="s">
        <v>409</v>
      </c>
      <c r="H219" s="81"/>
      <c r="I219" s="81" t="s">
        <v>168</v>
      </c>
      <c r="J219" s="81"/>
      <c r="K219" s="81"/>
      <c r="L219" s="81"/>
      <c r="M219" s="81"/>
      <c r="N219" s="81"/>
      <c r="O219" s="81"/>
      <c r="P219" s="81"/>
      <c r="Q219" s="81"/>
      <c r="R219" s="81"/>
      <c r="S219" s="81"/>
      <c r="T219" s="81" t="s">
        <v>337</v>
      </c>
      <c r="U219" s="123">
        <f>B80</f>
        <v>2049157035</v>
      </c>
      <c r="V219" s="81" t="s">
        <v>410</v>
      </c>
      <c r="W219" s="81" t="s">
        <v>177</v>
      </c>
      <c r="X219" s="81" t="s">
        <v>411</v>
      </c>
      <c r="Y219" s="81" t="s">
        <v>412</v>
      </c>
      <c r="Z219" s="81"/>
      <c r="AU219" t="s">
        <v>536</v>
      </c>
      <c r="AV219" t="s">
        <v>537</v>
      </c>
    </row>
    <row r="220" spans="1:48" x14ac:dyDescent="0.35">
      <c r="U220" s="122"/>
    </row>
    <row r="221" spans="1:48" ht="16" customHeight="1" x14ac:dyDescent="0.35">
      <c r="A221" s="76" t="s">
        <v>247</v>
      </c>
      <c r="B221" s="76" t="s">
        <v>421</v>
      </c>
      <c r="C221" s="78" t="s">
        <v>408</v>
      </c>
      <c r="D221" s="78" t="str">
        <f ca="1">TEXT(TODAY(),"YYYY-MM-DD")</f>
        <v>2023-08-09</v>
      </c>
      <c r="E221" s="78"/>
      <c r="F221" s="78" t="s">
        <v>425</v>
      </c>
      <c r="G221" s="78" t="s">
        <v>409</v>
      </c>
      <c r="H221" s="78"/>
      <c r="I221" s="78" t="s">
        <v>168</v>
      </c>
      <c r="J221" s="78"/>
      <c r="K221" s="78"/>
      <c r="L221" s="78"/>
      <c r="M221" s="78"/>
      <c r="N221" s="78"/>
      <c r="O221" s="78"/>
      <c r="P221" s="78"/>
      <c r="Q221" s="78"/>
      <c r="R221" s="78"/>
      <c r="S221" s="78"/>
      <c r="T221" s="78" t="s">
        <v>337</v>
      </c>
      <c r="U221" s="78">
        <f>B80</f>
        <v>2049157035</v>
      </c>
      <c r="V221" s="78" t="s">
        <v>410</v>
      </c>
      <c r="W221" s="78" t="s">
        <v>177</v>
      </c>
      <c r="X221" s="78" t="s">
        <v>411</v>
      </c>
      <c r="Y221" s="78" t="s">
        <v>412</v>
      </c>
      <c r="Z221" s="78"/>
      <c r="AU221" t="s">
        <v>538</v>
      </c>
      <c r="AV221" t="s">
        <v>539</v>
      </c>
    </row>
    <row r="222" spans="1:48" ht="16" customHeight="1" x14ac:dyDescent="0.35">
      <c r="A222" s="76" t="s">
        <v>247</v>
      </c>
      <c r="B222" s="76" t="s">
        <v>421</v>
      </c>
      <c r="C222" s="81" t="s">
        <v>415</v>
      </c>
      <c r="D222" s="81" t="str">
        <f ca="1">TEXT(TODAY()+30,"YYYY-MM-DD")</f>
        <v>2023-09-08</v>
      </c>
      <c r="E222" s="81"/>
      <c r="F222" s="81" t="s">
        <v>448</v>
      </c>
      <c r="G222" s="81" t="s">
        <v>409</v>
      </c>
      <c r="H222" s="81"/>
      <c r="I222" s="81" t="s">
        <v>168</v>
      </c>
      <c r="J222" s="81"/>
      <c r="K222" s="81"/>
      <c r="L222" s="81"/>
      <c r="M222" s="81"/>
      <c r="N222" s="81"/>
      <c r="O222" s="81"/>
      <c r="P222" s="81"/>
      <c r="Q222" s="81"/>
      <c r="R222" s="81"/>
      <c r="S222" s="81"/>
      <c r="T222" s="81" t="s">
        <v>337</v>
      </c>
      <c r="U222" s="123">
        <f>B80</f>
        <v>2049157035</v>
      </c>
      <c r="V222" s="81" t="s">
        <v>410</v>
      </c>
      <c r="W222" s="81" t="s">
        <v>177</v>
      </c>
      <c r="X222" s="81" t="s">
        <v>411</v>
      </c>
      <c r="Y222" s="81" t="s">
        <v>412</v>
      </c>
      <c r="Z222" s="81"/>
      <c r="AU222" t="s">
        <v>540</v>
      </c>
      <c r="AV222" t="s">
        <v>541</v>
      </c>
    </row>
    <row r="224" spans="1:48" x14ac:dyDescent="0.35">
      <c r="A224" s="143" t="s">
        <v>368</v>
      </c>
      <c r="B224" s="144"/>
      <c r="C224" s="144"/>
      <c r="D224" s="144"/>
      <c r="E224" s="144"/>
      <c r="F224" s="144"/>
      <c r="G224" s="144"/>
      <c r="H224" s="144"/>
      <c r="I224" s="144"/>
      <c r="J224" s="144"/>
      <c r="K224" s="46"/>
      <c r="L224" s="46"/>
      <c r="M224" s="46"/>
      <c r="N224" s="46"/>
      <c r="O224" s="46"/>
      <c r="P224" s="46"/>
      <c r="Q224" s="46"/>
      <c r="R224" s="46"/>
      <c r="S224" s="46"/>
    </row>
    <row r="225" spans="1:26" x14ac:dyDescent="0.35">
      <c r="A225" s="124"/>
      <c r="B225" s="125"/>
      <c r="C225" s="126" t="s">
        <v>345</v>
      </c>
      <c r="D225" s="126"/>
      <c r="E225" s="126"/>
      <c r="F225" s="126"/>
      <c r="G225" s="126"/>
      <c r="H225" s="126"/>
      <c r="I225" s="126"/>
      <c r="J225" s="126"/>
      <c r="K225" s="126"/>
      <c r="L225" s="126"/>
      <c r="M225" s="126"/>
      <c r="N225" s="126"/>
      <c r="O225" s="135"/>
      <c r="P225" s="136" t="s">
        <v>465</v>
      </c>
      <c r="Q225" s="137"/>
      <c r="R225" s="137"/>
      <c r="S225" s="137"/>
      <c r="Z225" s="68"/>
    </row>
    <row r="226" spans="1:26" ht="29" x14ac:dyDescent="0.35">
      <c r="A226" s="138" t="s">
        <v>346</v>
      </c>
      <c r="B226" s="138" t="s">
        <v>347</v>
      </c>
      <c r="C226" s="127" t="s">
        <v>348</v>
      </c>
      <c r="D226" s="128"/>
      <c r="E226" s="128"/>
      <c r="F226" s="129"/>
      <c r="G226" s="130" t="s">
        <v>349</v>
      </c>
      <c r="H226" s="131"/>
      <c r="I226" s="131"/>
      <c r="J226" s="132"/>
      <c r="K226" s="133" t="s">
        <v>466</v>
      </c>
      <c r="L226" s="133" t="s">
        <v>467</v>
      </c>
      <c r="M226" s="133" t="s">
        <v>468</v>
      </c>
      <c r="N226" s="133" t="s">
        <v>469</v>
      </c>
      <c r="O226" s="138" t="s">
        <v>350</v>
      </c>
      <c r="P226" s="136" t="s">
        <v>345</v>
      </c>
      <c r="Q226" s="137"/>
      <c r="R226" s="139"/>
      <c r="S226" s="139"/>
    </row>
    <row r="227" spans="1:26" x14ac:dyDescent="0.35">
      <c r="A227" s="140"/>
      <c r="B227" s="140"/>
      <c r="C227" s="63" t="s">
        <v>351</v>
      </c>
      <c r="D227" s="63" t="s">
        <v>352</v>
      </c>
      <c r="E227" s="63" t="s">
        <v>353</v>
      </c>
      <c r="F227" s="63" t="s">
        <v>354</v>
      </c>
      <c r="G227" s="64" t="s">
        <v>351</v>
      </c>
      <c r="H227" s="64" t="s">
        <v>352</v>
      </c>
      <c r="I227" s="64" t="s">
        <v>353</v>
      </c>
      <c r="J227" s="64" t="s">
        <v>354</v>
      </c>
      <c r="K227" s="134"/>
      <c r="L227" s="134"/>
      <c r="M227" s="134"/>
      <c r="N227" s="134"/>
      <c r="O227" s="140"/>
      <c r="P227" s="141" t="s">
        <v>351</v>
      </c>
      <c r="Q227" s="141" t="s">
        <v>352</v>
      </c>
      <c r="R227" s="141" t="s">
        <v>353</v>
      </c>
      <c r="S227" s="141" t="s">
        <v>354</v>
      </c>
    </row>
    <row r="228" spans="1:26" x14ac:dyDescent="0.35">
      <c r="A228" s="56" t="s">
        <v>355</v>
      </c>
      <c r="B228" s="69"/>
      <c r="C228" s="30" t="str">
        <f>"$"&amp;TEXT(23864.1,"0.00")</f>
        <v>$23864.10</v>
      </c>
      <c r="D228" s="30" t="str">
        <f>"$"&amp;TEXT(1025.1,"0.00")</f>
        <v>$1025.10</v>
      </c>
      <c r="E228" s="30" t="str">
        <f>"$"&amp;TEXT(22839,"0.00")</f>
        <v>$22839.00</v>
      </c>
      <c r="F228" s="30" t="str">
        <f>TEXT(95.7,"0.00")</f>
        <v>95.70</v>
      </c>
      <c r="G228" s="30" t="str">
        <f>"$"&amp;TEXT(1275,"0.00")</f>
        <v>$1275.00</v>
      </c>
      <c r="H228" s="30" t="str">
        <f t="shared" ref="H228" si="9">"$"&amp;TEXT(0,"0.00")</f>
        <v>$0.00</v>
      </c>
      <c r="I228" s="30" t="str">
        <f>"$"&amp;TEXT(1275,"0.00")</f>
        <v>$1275.00</v>
      </c>
      <c r="J228" s="30" t="str">
        <f>TEXT(100,"0.00")</f>
        <v>100.00</v>
      </c>
      <c r="K228" s="30" t="str">
        <f>TEXT(1771.69,"0.00")</f>
        <v>1771.69</v>
      </c>
      <c r="L228" s="30" t="str">
        <f>TEXT(0,"0.00")</f>
        <v>0.00</v>
      </c>
      <c r="M228" s="30" t="str">
        <f>TEXT(1691.29,"0.00")</f>
        <v>1691.29</v>
      </c>
      <c r="N228" s="30" t="str">
        <f>TEXT(0,"0.00")</f>
        <v>0.00</v>
      </c>
      <c r="O228" s="41" t="s">
        <v>155</v>
      </c>
      <c r="P228" s="30"/>
      <c r="Q228" s="142"/>
      <c r="R228" s="30"/>
      <c r="S228" s="30"/>
    </row>
    <row r="230" spans="1:26" x14ac:dyDescent="0.35">
      <c r="A230" s="45" t="s">
        <v>369</v>
      </c>
      <c r="B230" s="46"/>
      <c r="C230" s="46"/>
    </row>
    <row r="231" spans="1:26" x14ac:dyDescent="0.35">
      <c r="A231" s="43" t="s">
        <v>369</v>
      </c>
      <c r="B231" s="43" t="s">
        <v>370</v>
      </c>
      <c r="C231" s="43" t="s">
        <v>371</v>
      </c>
      <c r="D231" s="43" t="s">
        <v>372</v>
      </c>
      <c r="E231" s="43" t="s">
        <v>286</v>
      </c>
      <c r="F231" s="43" t="s">
        <v>183</v>
      </c>
      <c r="G231" s="43" t="s">
        <v>184</v>
      </c>
      <c r="H231" s="43" t="s">
        <v>373</v>
      </c>
      <c r="I231" s="43" t="s">
        <v>374</v>
      </c>
      <c r="J231" s="43" t="s">
        <v>375</v>
      </c>
      <c r="K231" s="43" t="s">
        <v>283</v>
      </c>
      <c r="L231" s="43" t="s">
        <v>281</v>
      </c>
    </row>
    <row r="232" spans="1:26" ht="58" x14ac:dyDescent="0.35">
      <c r="A232" s="70" t="s">
        <v>462</v>
      </c>
      <c r="B232" s="71" t="s">
        <v>427</v>
      </c>
      <c r="C232" s="71" t="s">
        <v>426</v>
      </c>
      <c r="D232" s="71" t="s">
        <v>378</v>
      </c>
      <c r="E232" s="71" t="s">
        <v>378</v>
      </c>
      <c r="F232" s="71"/>
      <c r="G232" s="71"/>
      <c r="H232" s="71"/>
      <c r="I232" s="71"/>
      <c r="J232" s="72">
        <f ca="1">TODAY()</f>
        <v>45147</v>
      </c>
      <c r="K232" s="72">
        <v>234</v>
      </c>
      <c r="L232" s="71" t="s">
        <v>155</v>
      </c>
    </row>
    <row r="234" spans="1:26" x14ac:dyDescent="0.35">
      <c r="A234" s="151" t="s">
        <v>368</v>
      </c>
      <c r="B234" s="152"/>
      <c r="C234" s="152"/>
      <c r="D234" s="152"/>
      <c r="E234" s="152"/>
      <c r="F234" s="152"/>
      <c r="G234" s="152"/>
      <c r="H234" s="152"/>
      <c r="I234" s="152"/>
      <c r="J234" s="152"/>
      <c r="K234" s="46"/>
      <c r="L234" s="46"/>
      <c r="M234" s="46"/>
      <c r="N234" s="46"/>
      <c r="O234" s="46"/>
      <c r="P234" s="46"/>
      <c r="Q234" s="46"/>
      <c r="R234" s="46"/>
      <c r="S234" s="46"/>
    </row>
    <row r="235" spans="1:26" x14ac:dyDescent="0.35">
      <c r="A235" s="120"/>
      <c r="B235" s="121"/>
      <c r="C235" s="126" t="s">
        <v>345</v>
      </c>
      <c r="D235" s="126"/>
      <c r="E235" s="126"/>
      <c r="F235" s="126"/>
      <c r="G235" s="126"/>
      <c r="H235" s="126"/>
      <c r="I235" s="126"/>
      <c r="J235" s="126"/>
      <c r="K235" s="126"/>
      <c r="L235" s="126"/>
      <c r="M235" s="126"/>
      <c r="N235" s="126"/>
      <c r="O235" s="135"/>
      <c r="P235" s="136" t="s">
        <v>465</v>
      </c>
      <c r="Q235" s="137"/>
      <c r="R235" s="137"/>
      <c r="S235" s="137"/>
      <c r="Z235" s="68"/>
    </row>
    <row r="236" spans="1:26" ht="29" x14ac:dyDescent="0.35">
      <c r="A236" s="156" t="s">
        <v>346</v>
      </c>
      <c r="B236" s="156" t="s">
        <v>347</v>
      </c>
      <c r="C236" s="127" t="s">
        <v>348</v>
      </c>
      <c r="D236" s="128"/>
      <c r="E236" s="128"/>
      <c r="F236" s="129"/>
      <c r="G236" s="130" t="s">
        <v>349</v>
      </c>
      <c r="H236" s="131"/>
      <c r="I236" s="131"/>
      <c r="J236" s="132"/>
      <c r="K236" s="133" t="s">
        <v>466</v>
      </c>
      <c r="L236" s="133" t="s">
        <v>467</v>
      </c>
      <c r="M236" s="133" t="s">
        <v>468</v>
      </c>
      <c r="N236" s="133" t="s">
        <v>469</v>
      </c>
      <c r="O236" s="138" t="s">
        <v>350</v>
      </c>
      <c r="P236" s="136" t="s">
        <v>345</v>
      </c>
      <c r="Q236" s="137"/>
      <c r="R236" s="139"/>
      <c r="S236" s="139"/>
    </row>
    <row r="237" spans="1:26" x14ac:dyDescent="0.35">
      <c r="A237" s="157"/>
      <c r="B237" s="157"/>
      <c r="C237" s="63" t="s">
        <v>351</v>
      </c>
      <c r="D237" s="63" t="s">
        <v>352</v>
      </c>
      <c r="E237" s="63" t="s">
        <v>353</v>
      </c>
      <c r="F237" s="63" t="s">
        <v>354</v>
      </c>
      <c r="G237" s="64" t="s">
        <v>351</v>
      </c>
      <c r="H237" s="64" t="s">
        <v>352</v>
      </c>
      <c r="I237" s="64" t="s">
        <v>353</v>
      </c>
      <c r="J237" s="64" t="s">
        <v>354</v>
      </c>
      <c r="K237" s="134"/>
      <c r="L237" s="134"/>
      <c r="M237" s="134"/>
      <c r="N237" s="134"/>
      <c r="O237" s="140"/>
      <c r="P237" s="141" t="s">
        <v>351</v>
      </c>
      <c r="Q237" s="141" t="s">
        <v>352</v>
      </c>
      <c r="R237" s="141" t="s">
        <v>353</v>
      </c>
      <c r="S237" s="141" t="s">
        <v>354</v>
      </c>
    </row>
    <row r="238" spans="1:26" x14ac:dyDescent="0.35">
      <c r="A238" s="56" t="s">
        <v>355</v>
      </c>
      <c r="B238" s="69"/>
      <c r="C238" s="30" t="str">
        <f>"$"&amp;TEXT(23864.1,"0.00")</f>
        <v>$23864.10</v>
      </c>
      <c r="D238" s="30" t="str">
        <f>"$"&amp;TEXT(1025.1,"0.00")</f>
        <v>$1025.10</v>
      </c>
      <c r="E238" s="30" t="str">
        <f>"$"&amp;TEXT(22839,"0.00")</f>
        <v>$22839.00</v>
      </c>
      <c r="F238" s="30" t="str">
        <f>TEXT(95.7,"0.00")</f>
        <v>95.70</v>
      </c>
      <c r="G238" s="30" t="str">
        <f>"$"&amp;TEXT(1275,"0.00")</f>
        <v>$1275.00</v>
      </c>
      <c r="H238" s="30" t="str">
        <f t="shared" ref="H238" si="10">"$"&amp;TEXT(0,"0.00")</f>
        <v>$0.00</v>
      </c>
      <c r="I238" s="30" t="str">
        <f>"$"&amp;TEXT(1275,"0.00")</f>
        <v>$1275.00</v>
      </c>
      <c r="J238" s="30" t="str">
        <f>TEXT(100,"0.00")</f>
        <v>100.00</v>
      </c>
      <c r="K238" s="30" t="str">
        <f>TEXT(1771.69,"0.00")</f>
        <v>1771.69</v>
      </c>
      <c r="L238" s="30" t="str">
        <f>TEXT(0,"0.00")</f>
        <v>0.00</v>
      </c>
      <c r="M238" s="30" t="str">
        <f>TEXT(1691.29,"0.00")</f>
        <v>1691.29</v>
      </c>
      <c r="N238" s="30" t="str">
        <f>TEXT(0,"0.00")</f>
        <v>0.00</v>
      </c>
      <c r="O238" s="41" t="s">
        <v>155</v>
      </c>
      <c r="P238" s="30"/>
      <c r="Q238" s="142"/>
      <c r="R238" s="30"/>
      <c r="S238" s="30"/>
    </row>
    <row r="240" spans="1:26" ht="13.25" customHeight="1" x14ac:dyDescent="0.35">
      <c r="A240" s="151" t="s">
        <v>357</v>
      </c>
      <c r="B240" s="152"/>
      <c r="C240" s="152"/>
      <c r="D240" s="152"/>
      <c r="E240" s="152"/>
      <c r="F240" s="152"/>
      <c r="G240" s="152"/>
      <c r="H240" s="152"/>
      <c r="I240" s="152"/>
      <c r="J240" s="152"/>
      <c r="K240" s="152"/>
      <c r="L240" s="152"/>
    </row>
    <row r="241" spans="1:12" x14ac:dyDescent="0.35">
      <c r="A241" s="158" t="s">
        <v>131</v>
      </c>
      <c r="B241" s="158" t="s">
        <v>358</v>
      </c>
      <c r="C241" s="169" t="s">
        <v>359</v>
      </c>
      <c r="D241" s="172" t="s">
        <v>360</v>
      </c>
      <c r="E241" s="180" t="s">
        <v>345</v>
      </c>
      <c r="F241" s="180"/>
      <c r="G241" s="180"/>
      <c r="H241" s="180"/>
      <c r="I241" s="175" t="s">
        <v>361</v>
      </c>
      <c r="J241" s="175"/>
      <c r="K241" s="175"/>
      <c r="L241" s="175"/>
    </row>
    <row r="242" spans="1:12" x14ac:dyDescent="0.35">
      <c r="A242" s="159"/>
      <c r="B242" s="159"/>
      <c r="C242" s="170"/>
      <c r="D242" s="173"/>
      <c r="E242" s="176" t="s">
        <v>362</v>
      </c>
      <c r="F242" s="177"/>
      <c r="G242" s="178" t="s">
        <v>349</v>
      </c>
      <c r="H242" s="179"/>
      <c r="I242" s="176" t="s">
        <v>362</v>
      </c>
      <c r="J242" s="177"/>
      <c r="K242" s="178" t="s">
        <v>349</v>
      </c>
      <c r="L242" s="179"/>
    </row>
    <row r="243" spans="1:12" x14ac:dyDescent="0.35">
      <c r="A243" s="160"/>
      <c r="B243" s="160" t="s">
        <v>130</v>
      </c>
      <c r="C243" s="171"/>
      <c r="D243" s="174"/>
      <c r="E243" s="63" t="s">
        <v>363</v>
      </c>
      <c r="F243" s="63" t="s">
        <v>364</v>
      </c>
      <c r="G243" s="64" t="s">
        <v>365</v>
      </c>
      <c r="H243" s="64" t="s">
        <v>366</v>
      </c>
      <c r="I243" s="63" t="s">
        <v>363</v>
      </c>
      <c r="J243" s="63" t="s">
        <v>364</v>
      </c>
      <c r="K243" s="64" t="s">
        <v>365</v>
      </c>
      <c r="L243" s="64" t="s">
        <v>366</v>
      </c>
    </row>
    <row r="244" spans="1:12" x14ac:dyDescent="0.35">
      <c r="A244" s="41" t="str">
        <f>C5</f>
        <v>BANK_82_PRSPCH1_001</v>
      </c>
      <c r="B244" s="41" t="s">
        <v>355</v>
      </c>
      <c r="C244" s="56" t="s">
        <v>367</v>
      </c>
      <c r="D244" s="65" t="str">
        <f>TEXT(0,"0.00")</f>
        <v>0.00</v>
      </c>
      <c r="E244" s="66" t="str">
        <f>"$"&amp;TEXT(23864.1,"0.00")</f>
        <v>$23864.10</v>
      </c>
      <c r="F244" s="66" t="str">
        <f>"$"&amp;TEXT(1025.1,"0.00")</f>
        <v>$1025.10</v>
      </c>
      <c r="G244" s="66" t="str">
        <f>"$"&amp;TEXT(1275,"0.00")</f>
        <v>$1275.00</v>
      </c>
      <c r="H244" s="66" t="str">
        <f>"$"&amp;TEXT(0,"0.00")</f>
        <v>$0.00</v>
      </c>
      <c r="I244" s="67" t="str">
        <f>"$"&amp;TEXT(23864.1,"0.00")</f>
        <v>$23864.10</v>
      </c>
      <c r="J244" s="67" t="str">
        <f>"$"&amp;TEXT(1025.1,"0.00")</f>
        <v>$1025.10</v>
      </c>
      <c r="K244" s="67" t="str">
        <f>"$"&amp;TEXT(1275,"0.00")</f>
        <v>$1275.00</v>
      </c>
      <c r="L244" s="67" t="str">
        <f>"$"&amp;TEXT(0,"0.00")</f>
        <v>$0.00</v>
      </c>
    </row>
    <row r="245" spans="1:12" x14ac:dyDescent="0.35">
      <c r="A245" s="56" t="s">
        <v>461</v>
      </c>
      <c r="B245" s="41" t="s">
        <v>355</v>
      </c>
      <c r="C245" s="56" t="s">
        <v>367</v>
      </c>
      <c r="D245" s="65" t="str">
        <f t="shared" ref="D245:D247" si="11">TEXT(0,"0.00")</f>
        <v>0.00</v>
      </c>
      <c r="E245" s="66" t="str">
        <f>"$"&amp;TEXT(11932.04,"0.00")</f>
        <v>$11932.04</v>
      </c>
      <c r="F245" s="66" t="str">
        <f>"$"&amp;TEXT(512.55,"0.00")</f>
        <v>$512.55</v>
      </c>
      <c r="G245" s="66" t="str">
        <f>"$"&amp;TEXT(637.5,"0.00")</f>
        <v>$637.50</v>
      </c>
      <c r="H245" s="66" t="str">
        <f t="shared" ref="H245:H247" si="12">"$"&amp;TEXT(0,"0.00")</f>
        <v>$0.00</v>
      </c>
      <c r="I245" s="67" t="str">
        <f>"$"&amp;TEXT(11932.04,"0.00")</f>
        <v>$11932.04</v>
      </c>
      <c r="J245" s="67" t="str">
        <f>"$"&amp;TEXT(512.55,"0.00")</f>
        <v>$512.55</v>
      </c>
      <c r="K245" s="67" t="str">
        <f>"$"&amp;TEXT(637.5,"0.00")</f>
        <v>$637.50</v>
      </c>
      <c r="L245" s="67" t="str">
        <f t="shared" ref="L245:L247" si="13">"$"&amp;TEXT(0,"0.00")</f>
        <v>$0.00</v>
      </c>
    </row>
    <row r="246" spans="1:12" x14ac:dyDescent="0.35">
      <c r="A246" s="41" t="str">
        <f>C6</f>
        <v>BANK_82_PRSPCH1CH1_001</v>
      </c>
      <c r="B246" s="41" t="s">
        <v>355</v>
      </c>
      <c r="C246" s="56" t="s">
        <v>367</v>
      </c>
      <c r="D246" s="65" t="str">
        <f>TEXT(0,"0.00")</f>
        <v>0.00</v>
      </c>
      <c r="E246" s="66" t="str">
        <f>"$"&amp;TEXT(11932.05,"0.00")</f>
        <v>$11932.05</v>
      </c>
      <c r="F246" s="66" t="str">
        <f t="shared" ref="F246:F247" si="14">"$"&amp;TEXT(512.55,"0.00")</f>
        <v>$512.55</v>
      </c>
      <c r="G246" s="66" t="str">
        <f>"$"&amp;TEXT(637.5,"0.00")</f>
        <v>$637.50</v>
      </c>
      <c r="H246" s="66" t="str">
        <f t="shared" si="12"/>
        <v>$0.00</v>
      </c>
      <c r="I246" s="67" t="str">
        <f>"$"&amp;TEXT(11932.05,"0.00")</f>
        <v>$11932.05</v>
      </c>
      <c r="J246" s="67" t="str">
        <f t="shared" ref="J246:J247" si="15">"$"&amp;TEXT(512.55,"0.00")</f>
        <v>$512.55</v>
      </c>
      <c r="K246" s="67" t="str">
        <f>"$"&amp;TEXT(637.5,"0.00")</f>
        <v>$637.50</v>
      </c>
      <c r="L246" s="67" t="str">
        <f t="shared" si="13"/>
        <v>$0.00</v>
      </c>
    </row>
    <row r="247" spans="1:12" x14ac:dyDescent="0.35">
      <c r="A247" s="56" t="s">
        <v>461</v>
      </c>
      <c r="B247" s="41" t="s">
        <v>355</v>
      </c>
      <c r="C247" s="56" t="s">
        <v>367</v>
      </c>
      <c r="D247" s="65" t="str">
        <f t="shared" si="11"/>
        <v>0.00</v>
      </c>
      <c r="E247" s="66" t="str">
        <f t="shared" ref="E247" si="16">"$"&amp;TEXT(11932.04,"0.00")</f>
        <v>$11932.04</v>
      </c>
      <c r="F247" s="66" t="str">
        <f t="shared" si="14"/>
        <v>$512.55</v>
      </c>
      <c r="G247" s="66" t="str">
        <f>"$"&amp;TEXT(637.5,"0.00")</f>
        <v>$637.50</v>
      </c>
      <c r="H247" s="66" t="str">
        <f t="shared" si="12"/>
        <v>$0.00</v>
      </c>
      <c r="I247" s="67" t="str">
        <f t="shared" ref="I247" si="17">"$"&amp;TEXT(11932.04,"0.00")</f>
        <v>$11932.04</v>
      </c>
      <c r="J247" s="67" t="str">
        <f t="shared" si="15"/>
        <v>$512.55</v>
      </c>
      <c r="K247" s="67" t="str">
        <f>"$"&amp;TEXT(637.5,"0.00")</f>
        <v>$637.50</v>
      </c>
      <c r="L247" s="67" t="str">
        <f t="shared" si="13"/>
        <v>$0.00</v>
      </c>
    </row>
  </sheetData>
  <mergeCells count="39">
    <mergeCell ref="K189:L189"/>
    <mergeCell ref="E188:H188"/>
    <mergeCell ref="B241:B243"/>
    <mergeCell ref="C241:C243"/>
    <mergeCell ref="D241:D243"/>
    <mergeCell ref="E241:H241"/>
    <mergeCell ref="I241:L241"/>
    <mergeCell ref="E242:F242"/>
    <mergeCell ref="G242:H242"/>
    <mergeCell ref="I242:J242"/>
    <mergeCell ref="K242:L242"/>
    <mergeCell ref="A76:K76"/>
    <mergeCell ref="A78:D78"/>
    <mergeCell ref="A213:R213"/>
    <mergeCell ref="A18:C18"/>
    <mergeCell ref="A23:P23"/>
    <mergeCell ref="A68:I68"/>
    <mergeCell ref="A62:D62"/>
    <mergeCell ref="A58:D58"/>
    <mergeCell ref="C188:C190"/>
    <mergeCell ref="A188:A190"/>
    <mergeCell ref="B188:B190"/>
    <mergeCell ref="D188:D190"/>
    <mergeCell ref="I188:L188"/>
    <mergeCell ref="E189:F189"/>
    <mergeCell ref="G189:H189"/>
    <mergeCell ref="I189:J189"/>
    <mergeCell ref="A234:J234"/>
    <mergeCell ref="A236:A237"/>
    <mergeCell ref="B236:B237"/>
    <mergeCell ref="A240:L240"/>
    <mergeCell ref="A241:A243"/>
    <mergeCell ref="AG83:AL83"/>
    <mergeCell ref="T83:V83"/>
    <mergeCell ref="W83:X83"/>
    <mergeCell ref="Z83:AF83"/>
    <mergeCell ref="A187:L187"/>
    <mergeCell ref="A92:R92"/>
    <mergeCell ref="A179:E179"/>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1:MFR222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UYD221:UYD222 UOH221:UOH222 UEL221:UEL222 TUP221:TUP222 TKT221:TKT222 TAX221:TAX222 SRB221:SRB222 SHF221:SHF222 RXJ221:RXJ222 RNN221:RNN222 RDR221:RDR222 QTV221:QTV222 QJZ221:QJZ222 QAD221:QAD222 PQH221:PQH222 PGL221:PGL222 OWP221:OWP222 OMT221:OMT222 OCX221:OCX222 NTB221:NTB222 NJF221:NJF222 MZJ221:MZJ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PN221:MPN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44:C247">
      <formula1>"APPROVED, PENDING FOR APPROVAL, ERROR, ,"</formula1>
    </dataValidation>
    <dataValidation type="list" allowBlank="1" showInputMessage="1" showErrorMessage="1" sqref="N204 N207:N208 N232">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81"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82"/>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81"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82"/>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81"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83"/>
      <c r="N45" s="5">
        <v>44</v>
      </c>
      <c r="O45" s="9" t="s">
        <v>79</v>
      </c>
      <c r="P45" s="10" t="s">
        <v>78</v>
      </c>
      <c r="Q45" s="10"/>
      <c r="R45" s="10" t="s">
        <v>124</v>
      </c>
      <c r="S45" s="10"/>
    </row>
    <row r="46" spans="1:19" ht="26" x14ac:dyDescent="0.35">
      <c r="A46" s="8"/>
      <c r="B46" s="8"/>
      <c r="C46" s="8"/>
      <c r="D46" s="8"/>
      <c r="E46" s="8"/>
      <c r="F46" s="8"/>
      <c r="G46" s="8"/>
      <c r="H46" s="8"/>
      <c r="I46" s="8"/>
      <c r="J46" s="8"/>
      <c r="K46" s="8"/>
      <c r="L46" s="8"/>
      <c r="M46" s="182"/>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2023-08-09T11:58:44Z</dcterms:modified>
</cp:coreProperties>
</file>