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70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66" i="2" l="1"/>
  <c r="I266" i="2"/>
  <c r="H266" i="2"/>
  <c r="G266" i="2"/>
  <c r="N266" i="2" l="1"/>
  <c r="M266" i="2"/>
  <c r="L266" i="2"/>
  <c r="K266" i="2"/>
  <c r="M256" i="2"/>
  <c r="K256" i="2"/>
  <c r="K275" i="2"/>
  <c r="K274" i="2"/>
  <c r="K273" i="2"/>
  <c r="K272" i="2"/>
  <c r="G275" i="2"/>
  <c r="G274" i="2"/>
  <c r="G273" i="2"/>
  <c r="G272" i="2"/>
  <c r="N256" i="2"/>
  <c r="L256" i="2"/>
  <c r="J256" i="2" l="1"/>
  <c r="I256" i="2"/>
  <c r="G256" i="2"/>
  <c r="M200" i="2" l="1"/>
  <c r="K200" i="2"/>
  <c r="N200" i="2"/>
  <c r="L200" i="2"/>
  <c r="J200" i="2"/>
  <c r="I200" i="2"/>
  <c r="H200" i="2"/>
  <c r="G200" i="2"/>
  <c r="K185" i="2" l="1"/>
  <c r="D72" i="2" l="1"/>
  <c r="D74" i="2"/>
  <c r="D73" i="2"/>
  <c r="D71" i="2"/>
  <c r="D70" i="2"/>
  <c r="I275" i="2" l="1"/>
  <c r="I274" i="2"/>
  <c r="I273" i="2"/>
  <c r="I272" i="2"/>
  <c r="E274" i="2"/>
  <c r="E275" i="2"/>
  <c r="E273" i="2"/>
  <c r="F272" i="2"/>
  <c r="E272" i="2"/>
  <c r="F266" i="2"/>
  <c r="E266" i="2"/>
  <c r="D266" i="2"/>
  <c r="C266" i="2"/>
  <c r="F256" i="2"/>
  <c r="E256" i="2"/>
  <c r="D256" i="2"/>
  <c r="C256" i="2"/>
  <c r="U239" i="2" l="1"/>
  <c r="U238" i="2"/>
  <c r="U245" i="2"/>
  <c r="U244" i="2"/>
  <c r="U243" i="2"/>
  <c r="U250" i="2"/>
  <c r="U249" i="2"/>
  <c r="U248" i="2"/>
  <c r="U237" i="2"/>
  <c r="U233" i="2"/>
  <c r="U232" i="2"/>
  <c r="U231" i="2"/>
  <c r="U227" i="2"/>
  <c r="U226" i="2"/>
  <c r="U225" i="2"/>
  <c r="U222" i="2"/>
  <c r="U221" i="2"/>
  <c r="U219" i="2"/>
  <c r="U218" i="2"/>
  <c r="U216" i="2"/>
  <c r="U215" i="2"/>
  <c r="A274" i="2" l="1"/>
  <c r="A272" i="2"/>
  <c r="L275" i="2"/>
  <c r="J275" i="2"/>
  <c r="H275" i="2"/>
  <c r="F275" i="2"/>
  <c r="L274" i="2"/>
  <c r="J274" i="2"/>
  <c r="H274" i="2"/>
  <c r="F274" i="2"/>
  <c r="L273" i="2"/>
  <c r="J273" i="2"/>
  <c r="H273" i="2"/>
  <c r="F273" i="2"/>
  <c r="L272" i="2"/>
  <c r="J272" i="2"/>
  <c r="H272" i="2"/>
  <c r="L192" i="2"/>
  <c r="L191" i="2"/>
  <c r="J194" i="2"/>
  <c r="I194" i="2"/>
  <c r="J193" i="2"/>
  <c r="I193" i="2"/>
  <c r="J192" i="2"/>
  <c r="I192" i="2"/>
  <c r="J191" i="2"/>
  <c r="I191" i="2"/>
  <c r="H191" i="2"/>
  <c r="H192" i="2"/>
  <c r="H193" i="2"/>
  <c r="H194" i="2"/>
  <c r="F193" i="2"/>
  <c r="F194" i="2"/>
  <c r="F192" i="2"/>
  <c r="E193" i="2"/>
  <c r="E194" i="2"/>
  <c r="E192" i="2"/>
  <c r="D192" i="2"/>
  <c r="D193" i="2"/>
  <c r="D194" i="2"/>
  <c r="D191" i="2"/>
  <c r="H256" i="2" l="1"/>
  <c r="A191" i="2"/>
  <c r="A193" i="2"/>
  <c r="L194" i="2"/>
  <c r="D200" i="2"/>
  <c r="C200" i="2"/>
  <c r="C185" i="2"/>
  <c r="F200" i="2"/>
  <c r="F185" i="2"/>
  <c r="E200" i="2"/>
  <c r="E185" i="2"/>
  <c r="F191" i="2"/>
  <c r="D185" i="2"/>
  <c r="E191" i="2"/>
  <c r="K106" i="2" l="1"/>
  <c r="M106" i="2"/>
  <c r="J106" i="2"/>
  <c r="H90" i="2" l="1"/>
  <c r="H89" i="2"/>
  <c r="M250" i="2" l="1"/>
  <c r="G250" i="2"/>
  <c r="E250" i="2"/>
  <c r="D250" i="2"/>
  <c r="M249" i="2"/>
  <c r="G249" i="2"/>
  <c r="D249" i="2"/>
  <c r="M248" i="2"/>
  <c r="G248" i="2"/>
  <c r="D248" i="2"/>
  <c r="M245" i="2"/>
  <c r="G245" i="2"/>
  <c r="E245" i="2"/>
  <c r="D245" i="2"/>
  <c r="M244" i="2"/>
  <c r="G244" i="2"/>
  <c r="D244" i="2"/>
  <c r="M243" i="2"/>
  <c r="G243" i="2"/>
  <c r="D243" i="2"/>
  <c r="E239" i="2"/>
  <c r="D239" i="2"/>
  <c r="D238" i="2"/>
  <c r="D237" i="2"/>
  <c r="E233" i="2"/>
  <c r="D233" i="2"/>
  <c r="D232" i="2"/>
  <c r="D231" i="2"/>
  <c r="M227" i="2"/>
  <c r="J227" i="2"/>
  <c r="H227" i="2"/>
  <c r="K227" i="2" s="1"/>
  <c r="E227" i="2"/>
  <c r="D227" i="2"/>
  <c r="M226" i="2"/>
  <c r="J226" i="2"/>
  <c r="H226" i="2"/>
  <c r="D226" i="2"/>
  <c r="M225" i="2"/>
  <c r="J225" i="2"/>
  <c r="H225" i="2"/>
  <c r="K225" i="2" s="1"/>
  <c r="D225" i="2"/>
  <c r="K226" i="2" l="1"/>
  <c r="A211" i="2" l="1"/>
  <c r="A210" i="2"/>
  <c r="A209" i="2"/>
  <c r="F90" i="2" l="1"/>
  <c r="F89" i="2"/>
  <c r="M174" i="2" l="1"/>
  <c r="K174" i="2"/>
  <c r="H174" i="2"/>
  <c r="G174" i="2"/>
  <c r="M170" i="2"/>
  <c r="K170" i="2"/>
  <c r="H170" i="2"/>
  <c r="G170" i="2"/>
  <c r="M166" i="2"/>
  <c r="K166" i="2"/>
  <c r="H166" i="2"/>
  <c r="G166" i="2"/>
  <c r="M162" i="2"/>
  <c r="K162" i="2"/>
  <c r="H162" i="2"/>
  <c r="G162" i="2"/>
  <c r="M158" i="2"/>
  <c r="K158" i="2"/>
  <c r="H158" i="2"/>
  <c r="F158" i="2"/>
  <c r="G158" i="2" s="1"/>
  <c r="M154" i="2"/>
  <c r="K154" i="2"/>
  <c r="H154" i="2"/>
  <c r="G154" i="2"/>
  <c r="M150" i="2"/>
  <c r="K150" i="2"/>
  <c r="H150" i="2"/>
  <c r="G150" i="2"/>
  <c r="M146" i="2"/>
  <c r="K146" i="2"/>
  <c r="H146" i="2"/>
  <c r="G146" i="2"/>
  <c r="M140" i="2"/>
  <c r="K140" i="2"/>
  <c r="H140" i="2"/>
  <c r="M136" i="2"/>
  <c r="K136" i="2"/>
  <c r="H136" i="2"/>
  <c r="M132" i="2"/>
  <c r="K132" i="2"/>
  <c r="H132" i="2"/>
  <c r="K126" i="2"/>
  <c r="H126" i="2"/>
  <c r="G126" i="2"/>
  <c r="K122" i="2"/>
  <c r="H122" i="2"/>
  <c r="G122" i="2"/>
  <c r="M118" i="2"/>
  <c r="K118" i="2"/>
  <c r="H118" i="2"/>
  <c r="G118" i="2"/>
  <c r="M114" i="2"/>
  <c r="K114" i="2"/>
  <c r="G114" i="2"/>
  <c r="H106" i="2"/>
  <c r="G106" i="2"/>
  <c r="M102" i="2"/>
  <c r="K102" i="2"/>
  <c r="H102" i="2"/>
  <c r="G102" i="2"/>
  <c r="M98" i="2"/>
  <c r="K98" i="2"/>
  <c r="H98" i="2"/>
  <c r="G98" i="2"/>
  <c r="M94" i="2"/>
  <c r="K94" i="2"/>
  <c r="H94" i="2"/>
  <c r="G94" i="2"/>
  <c r="J260" i="2" l="1"/>
  <c r="H216" i="2" l="1"/>
  <c r="D216" i="2"/>
  <c r="H215" i="2"/>
  <c r="D215" i="2"/>
  <c r="D222" i="2"/>
  <c r="D221" i="2"/>
  <c r="D219" i="2"/>
  <c r="D218" i="2"/>
  <c r="L193" i="2" l="1"/>
  <c r="A208" i="2" l="1"/>
  <c r="J204" i="2" l="1"/>
  <c r="C90" i="2" l="1"/>
  <c r="C89" i="2"/>
  <c r="H85" i="2"/>
  <c r="G85" i="2"/>
  <c r="B74" i="2" l="1"/>
  <c r="K74" i="2"/>
  <c r="J74" i="2"/>
  <c r="K73" i="2"/>
  <c r="J73" i="2"/>
  <c r="K72" i="2"/>
  <c r="J72" i="2"/>
  <c r="K71" i="2"/>
  <c r="J71" i="2"/>
  <c r="K70" i="2"/>
  <c r="J70" i="2"/>
  <c r="B73" i="2"/>
  <c r="B72" i="2"/>
  <c r="B16" i="2" l="1"/>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<sst xmlns="http://schemas.openxmlformats.org/spreadsheetml/2006/main" count="1541" uniqueCount="527">
  <si>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</si>
  <si>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</si>
  <si>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</si>
  <si>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</si>
  <si>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</si>
  <si>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</si>
  <si>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</si>
  <si>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</si>
  <si>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</si>
  <si>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</si>
  <si>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</si>
  <si>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</si>
  <si>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</si>
  <si>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</si>
  <si>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</si>
  <si>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</si>
  <si>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</si>
  <si>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</si>
  <si>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</si>
  <si>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</si>
  <si>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</si>
  <si>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</si>
  <si>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</si>
  <si>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</si>
  <si>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</si>
  <si>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</si>
  <si>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</si>
  <si>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</si>
  <si>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</si>
  <si>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</si>
  <si>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</si>
  <si>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</si>
  <si>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</si>
  <si>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</si>
  <si>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</si>
  <si>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</si>
  <si>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</si>
  <si>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</si>
  <si>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</si>
  <si>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</si>
  <si>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</si>
  <si>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</si>
  <si>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</si>
  <si>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</si>
  <si>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</si>
  <si>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</si>
  <si>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</si>
  <si>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</si>
  <si>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</si>
  <si>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</si>
  <si>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</si>
  <si>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</si>
  <si>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</si>
  <si>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</si>
  <si>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</si>
  <si>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</si>
  <si>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</si>
  <si>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</si>
  <si>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</si>
  <si>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</si>
  <si>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</si>
  <si>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</si>
  <si>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</si>
  <si>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</si>
  <si>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</si>
  <si>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</si>
  <si>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</si>
  <si>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</si>
  <si>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</si>
  <si>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</si>
  <si>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</si>
  <si>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</si>
  <si>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</si>
  <si>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</si>
  <si>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</si>
  <si>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</si>
  <si>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</si>
  <si>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</si>
  <si>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</si>
  <si>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</si>
  <si>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</si>
  <si>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</si>
  <si>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</si>
  <si>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</si>
  <si>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</si>
  <si>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</si>
  <si>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</si>
  <si>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</si>
  <si>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</si>
  <si>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</si>
  <si>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</si>
  <si>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</si>
  <si>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</si>
  <si>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</si>
  <si>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</si>
  <si>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</si>
  <si>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</si>
  <si>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</si>
  <si>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</si>
  <si>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</si>
  <si>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</si>
  <si>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</si>
  <si>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</si>
  <si>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</si>
  <si>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</si>
  <si>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</si>
  <si>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</si>
  <si>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</si>
  <si>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</si>
  <si>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</si>
  <si>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</si>
  <si>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</si>
  <si>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</si>
  <si>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</si>
  <si>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</si>
  <si>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</si>
  <si>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</si>
  <si>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</si>
  <si>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</si>
  <si>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</si>
  <si>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</si>
  <si>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</si>
  <si>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</si>
  <si>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</si>
  <si>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</si>
  <si>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</si>
  <si>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</si>
  <si>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</si>
  <si>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</si>
  <si>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</si>
  <si>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</si>
  <si>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</si>
  <si>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</si>
  <si>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</si>
  <si>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</si>
  <si>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</si>
  <si>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</si>
  <si>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</si>
  <si>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</si>
  <si>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</si>
  <si>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</si>
  <si>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</si>
  <si>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</si>
  <si>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</si>
  <si>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</si>
  <si>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</si>
  <si>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</si>
  <si>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</si>
  <si>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</si>
  <si>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</si>
  <si>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</si>
  <si>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</si>
  <si>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</si>
  <si>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</si>
  <si>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</si>
  <si>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</si>
  <si>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</si>
  <si>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</si>
  <si>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</si>
  <si>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</si>
  <si>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</si>
  <si>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</si>
  <si>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</si>
  <si>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</si>
  <si>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</si>
  <si>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</si>
  <si>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</si>
  <si>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</si>
  <si>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</si>
  <si>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</si>
  <si>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</si>
  <si>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</si>
  <si>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</si>
  <si>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</si>
  <si>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</si>
  <si>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</si>
  <si>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</si>
  <si>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</si>
  <si>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</si>
  <si>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</si>
  <si>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</si>
  <si>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</si>
  <si>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</si>
  <si>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</si>
  <si>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</si>
  <si>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</si>
  <si>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</si>
  <si>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</si>
  <si>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</si>
  <si>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</si>
  <si>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</si>
  <si>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</si>
  <si>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</si>
  <si>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</si>
  <si>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</si>
  <si>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</si>
  <si>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</si>
  <si>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</si>
  <si>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</si>
  <si>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</si>
  <si>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</si>
  <si>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</si>
  <si>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</si>
  <si>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</si>
  <si>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</si>
  <si>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</si>
  <si>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</si>
  <si>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</si>
  <si>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</si>
  <si>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</si>
  <si>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</si>
  <si>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</si>
  <si>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</si>
  <si>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</si>
  <si>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</si>
  <si>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</si>
  <si>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</si>
  <si>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</si>
  <si>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</si>
  <si>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</si>
  <si>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</si>
  <si>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</si>
  <si>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</si>
  <si>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</si>
  <si>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</si>
  <si>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</si>
  <si>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</si>
  <si>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</si>
  <si>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</si>
  <si>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</si>
  <si>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</si>
  <si>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</si>
  <si>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</si>
  <si>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</si>
  <si>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</si>
  <si>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</si>
  <si>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</si>
  <si>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</si>
  <si>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</si>
  <si>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</si>
  <si>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</si>
  <si>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</si>
  <si>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</si>
  <si>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</si>
  <si>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</si>
  <si>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</si>
  <si>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</si>
  <si>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</si>
  <si>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</si>
  <si>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</si>
  <si>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</si>
  <si>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</si>
  <si>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</si>
  <si>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</si>
  <si>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</si>
  <si>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</si>
  <si>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</si>
  <si>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13.5</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</si>
  <si>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</si>
  <si>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</si>
  <si>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</si>
  <si>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</si>
  <si>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</si>
  <si>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</si>
  <si>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</si>
  <si>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</si>
  <si>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</si>
  <si>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</si>
  <si>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</si>
  <si>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</si>
  <si>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</si>
  <si>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</si>
  <si>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</si>
  <si>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</si>
  <si>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</si>
  <si>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</si>
  <si>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</si>
  <si>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</si>
  <si>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</si>
  <si>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</si>
  <si>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</si>
  <si>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</si>
  <si>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</si>
  <si>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</si>
  <si>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</si>
  <si>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</si>
  <si>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</si>
  <si>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</si>
  <si>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</si>
  <si>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</si>
  <si>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</si>
  <si>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</si>
  <si>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</si>
  <si>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</si>
  <si>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</si>
  <si>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</si>
  <si>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</si>
  <si>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</si>
  <si>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</si>
  <si>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</si>
  <si>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</si>
  <si>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</si>
  <si>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</si>
  <si>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</si>
  <si>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</si>
  <si>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</si>
  <si>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</si>
  <si>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</si>
  <si>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</si>
  <si>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</si>
  <si>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</si>
  <si>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</si>
  <si>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</si>
  <si>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</si>
  <si>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</si>
  <si>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</si>
  <si>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</si>
  <si>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</si>
  <si>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</si>
  <si>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</si>
  <si>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</si>
  <si>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</si>
  <si>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</si>
  <si>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</si>
  <si>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</si>
  <si>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</si>
  <si>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</si>
  <si>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</si>
  <si>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</si>
  <si>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</si>
  <si>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</si>
  <si>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</si>
  <si>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</si>
  <si>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</si>
  <si>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</si>
  <si>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</si>
  <si>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</si>
  <si>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</si>
  <si>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</si>
  <si>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</si>
  <si>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</si>
  <si>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</si>
  <si>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</si>
  <si>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</si>
  <si>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</si>
  <si>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</si>
  <si>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</si>
  <si>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</si>
  <si>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</si>
  <si>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</si>
  <si>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</si>
  <si>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</si>
  <si>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</si>
  <si>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</si>
  <si>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</si>
  <si>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</si>
  <si>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</si>
  <si>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</si>
  <si>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</si>
  <si>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</si>
  <si>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</si>
  <si>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</si>
  <si>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</si>
  <si>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</si>
  <si>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</si>
  <si>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</si>
  <si>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</si>
  <si>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</si>
  <si>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</si>
  <si>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</si>
  <si>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</si>
  <si>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</si>
  <si>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</si>
  <si>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</si>
  <si>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</si>
  <si>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</si>
  <si>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</si>
  <si>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</si>
  <si>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</si>
  <si>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</si>
  <si>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</si>
  <si>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</si>
  <si>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</si>
  <si>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</si>
  <si>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</si>
  <si>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</si>
  <si>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</si>
  <si>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</si>
  <si>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</si>
  <si>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</si>
  <si>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</si>
  <si>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</si>
  <si>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</si>
  <si>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</si>
  <si>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</si>
  <si>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</si>
  <si>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</si>
  <si>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</si>
  <si>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</si>
  <si>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</si>
  <si>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</si>
  <si>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</si>
  <si>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</si>
  <si>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</si>
  <si>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</si>
  <si>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</si>
  <si>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</si>
  <si>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</si>
  <si>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</si>
  <si>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</si>
  <si>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</si>
  <si>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</si>
  <si>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</si>
  <si>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</si>
  <si>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Customer Agreed</t>
  </si>
  <si>
    <t>Seasonal</t>
  </si>
  <si>
    <t>Projected</t>
  </si>
  <si>
    <t>Error</t>
  </si>
  <si>
    <t>Customer Price List</t>
  </si>
  <si>
    <t>Tier,USD,THRS</t>
  </si>
  <si>
    <t>DM_CURRENCY=INR~DM_TYPE=BT</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</si>
  <si>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</si>
  <si>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</si>
  <si>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</si>
  <si>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</si>
  <si>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</si>
  <si>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Finalized</t>
  </si>
  <si>
    <t>Customer Accepted</t>
  </si>
  <si>
    <t>Pricing &amp; Commitment - [ TC -&gt; TC_Deal_Creation_API_03]</t>
  </si>
  <si>
    <t>Original</t>
  </si>
  <si>
    <t>Recommended</t>
  </si>
  <si>
    <t>DE_AUT01,Corporate Banking</t>
  </si>
  <si>
    <t>DE_AUT02,Account Services</t>
  </si>
  <si>
    <t>Pending For Approval</t>
  </si>
  <si>
    <t>DE_AUTO3,Payment Services</t>
  </si>
  <si>
    <t>11.85,USD,FLAT</t>
  </si>
  <si>
    <t>DE_AUTO4,Reporting/SWIFT</t>
  </si>
  <si>
    <t>DM_CURRENCY=INR</t>
  </si>
  <si>
    <t>DM_CURRENCY=USD</t>
  </si>
  <si>
    <t xml:space="preserve">Reference added successfully </t>
  </si>
  <si>
    <t xml:space="preserve">Updated </t>
  </si>
  <si>
    <t>scenarios  - 1 ( after Adding Adhoc Revenue)</t>
  </si>
  <si>
    <t>Update Pricing &amp; Commitment and Add Seasonal</t>
  </si>
  <si>
    <t>[{"upperLimit":"1000.00","lowerLimit":"0.00","valueAmt":"17"},{"upperLimit":"5000.00","lowerLimit":"1000.00","valueAmt":"17"},{"upperLimit":"99999999.99","lowerLimit":"5000.00","valueAmt":"17"}]</t>
  </si>
  <si>
    <t xml:space="preserve"> 24.33, 24.34,24.35(SREP)</t>
  </si>
  <si>
    <t>25.33, 25.34,25.35(SREP)</t>
  </si>
  <si>
    <t>20(FLAT),10/8(THRS),5(STEP),6(THRS),4/3(STEP)</t>
  </si>
  <si>
    <t>RPER</t>
  </si>
  <si>
    <t>3091575921</t>
  </si>
  <si>
    <t>Relationship Manager1</t>
  </si>
  <si>
    <t>Pricing &amp; Commitment - Override STEP Pricing</t>
  </si>
  <si>
    <t>[{"upperLimit":"1000.00","lowerLimit":"0.00","valueAmt":"11"},{"upperLimit":"5000.00","lowerLimit":"1000.00","valueAmt":"12"},{"upperLimit":"999999999999.99","lowerLimit":"5000.00","valueAmt":"13"}]</t>
  </si>
  <si>
    <t>4</t>
  </si>
  <si>
    <t>51.80</t>
  </si>
  <si>
    <t>52</t>
  </si>
  <si>
    <t xml:space="preserve">Regular
</t>
  </si>
  <si>
    <t>[{"upperLimit":"1000.00","lowerLimit":"0.00","valueAmt":"12"},{"upperLimit":"5000.00","lowerLimit":"1000.00","valueAmt":"13"},{"upperLimit":"999999999999.99","lowerLimit":"5000.00","valueAmt":"14"}]</t>
  </si>
  <si>
    <t>Pricing &amp; Commitment - [TC_PRICING_DEL_Test_43651]</t>
  </si>
  <si>
    <t>11</t>
  </si>
  <si>
    <t>Pricing &amp; Commitment - [TC_PRICING_UPD_Test_43698]</t>
  </si>
  <si>
    <t>3</t>
  </si>
  <si>
    <t xml:space="preserve"> </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</si>
  <si>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</si>
  <si>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BANK_82_EPER_001,IND</t>
  </si>
  <si>
    <t>Reg_BANK_82_EPER_001</t>
  </si>
  <si>
    <t>EAI_BANK_82_EPER_001</t>
  </si>
  <si>
    <t>External Account Identifier - EAI_BANK_82_EPER_001</t>
  </si>
  <si>
    <t>9805419578,BANK_82_EPER_001,IND,12-20-2022,United States Dollars,Contracted Deal-No</t>
  </si>
  <si>
    <t>{"C1-DealPriceAsgnCommitmentsREST":{"modelId":"1135615344","dealId":"7406392342","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</si>
  <si>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2604607935","dealId":"4278424003","entityType":"PERS","entityId":"8797366188","pricingAndCommitmentsDetails":{"entityDivision":"IND","entityIdentifierType":"COREG","entityType":"PERS","entityId":"8797366188","entityIdentifierValue":"Reg_BANK_82_EPER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</si>
  <si>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BANK_82_EPER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</si>
  <si>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BANK_82_Test_43811</t>
  </si>
  <si>
    <t>BANK_82_Test_43811 desc</t>
  </si>
  <si>
    <t>BANK_82_Test_43811 desc ver</t>
  </si>
  <si>
    <t>BANK_82_PRSPCH1_001</t>
  </si>
  <si>
    <t>Reg_BANK_82_PRSPCH1_001</t>
  </si>
  <si>
    <t>BANK_82_PRSPCH1CH1_001</t>
  </si>
  <si>
    <t>Reg_BANK_82_PRSPCH1CH1_001</t>
  </si>
  <si>
    <t>EAI_BANK_82_PRSPCH1_001</t>
  </si>
  <si>
    <t>EAI_BANK_82_PRSPCH1CH1_001</t>
  </si>
  <si>
    <t>External Account Identifier - EAI_BANK_82_EPPRSP_001</t>
  </si>
  <si>
    <t>BANK_82_PRSPCH1_001,IND</t>
  </si>
  <si>
    <t>PRSP</t>
  </si>
  <si>
    <t>2049157035</t>
  </si>
  <si>
    <t>3002038115</t>
  </si>
  <si>
    <t>2131846279</t>
  </si>
  <si>
    <t>$1275.00</t>
  </si>
  <si>
    <t>$637.50</t>
  </si>
  <si>
    <t>$0.00</t>
  </si>
  <si>
    <t>100.00</t>
  </si>
  <si>
    <t>RECOMMENDED SUMMARY</t>
  </si>
  <si>
    <t>Revenue Variation (Original)</t>
  </si>
  <si>
    <t>Revenue Variation (Standard)</t>
  </si>
  <si>
    <t>Profit Variation (Original)</t>
  </si>
  <si>
    <t>Profit Variation (Standard)</t>
  </si>
  <si>
    <t>{"C1-DealPriceAsgnCommitmentsREST":{"modelId":"1139330356","dealId":"6367683010","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-11","assignmentLevel":"Customer Price List"}]}}}</t>
  </si>
  <si>
    <t>{"C1-DealPriceAsgnCommitmentsREST":{"dealId":"6367683010","modelId":"1139330356","entityId":"2049157035","entityType":"PERS","pricingAndCommitmentsDetails":{"entityId":"2049157035","entityType":"PERS","entityIdentifierValue":"Reg_BANK_82_PRSPCH1_001","entityIdentifierType":"COREG","entityDivision":"IND","pricingDetails":{"priceAsgnId":"0930014353","actionFlag":"OVRD","priceItemCode":"PI_021","priceItemDescription":"V1-Account Opening Fee","pricingStatus":"PRPD","priceCurrencyCode":"USD","rateSchedule":"DM-RT01","startDate":"2023-08-11","isEligible":"false","assignmentLevel":"Customer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</si>
  <si>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1139330356","dealId":"6367683010","entityType":"PERS","entityId":"2049157035","pricingAndCommitmentsDetails":{"entityDivision":"IND","entityIdentifierType":"COREG","entityType":"PERS","entityId":"2049157035","entityIdentifierValue":"Reg_BANK_82_PRSPCH1_001","pricingDetails":[{"txnDailyRatingCrt":"DNRT","priceCompDetails":{"priceCompId":"0938600613","valueAmt":"12","priceCompDesc":"FLAT","rcMapId":"1705351562","displaySw":"true","tieredFlag":"FLAT","priceCompSequenceNo":"10"},"paTypeFlag":"RGLR","priceItemDescription":"V1-Account Opening Fee","aggregateSw":"N","priceItemCode":"PI_021","priceCurrencyCode":"USD","priceAsgnId":"0930014353","pricingStatus":"PRPD","printIfZero":"Y","ignoreSw":"N","actionFlag":"OVRD","isEligible":"false","scheduleCode":"MONTHLY","rateSchedule":"DM-RT01","startDate":"2023-09-10","assignmentLevel":"Customer Agreed"}]}}}</t>
  </si>
  <si>
    <t>{"C1-DealPriceAsgnCommitmentsREST":{"dealId":"6367683010","modelId":"1139330356","entityId":"2049157035","entityType":"PERS","pricingAndCommitmentsDetails":{"entityId":"2049157035","entityType":"PERS","entityIdentifierValue":"Reg_BANK_82_PRSPCH1_001","entityIdentifierType":"COREG","entityDivision":"IND","pricingDetails":{"priceAsgnId":"0930014354","actionFlag":"OVRD","priceItemCode":"PI_021","priceItemDescription":"V1-Account Opening Fee","pricingStatus":"PRPD","priceCurrencyCode":"USD","rateSchedule":"DM-RT01","startDate":"2023-09-10","isEligible":"false","assignmentLevel":"Customer Agreed","paTypeFlag":"RGLR","printIfZero":"Y","txnDailyRatingCrt":"DNRT","ignoreSw":"N","aggregateSw":"N","scheduleCode":"MONTHLY","priceCompDetails":{"priceCompId":"0938600613","priceCompDesc":"FLAT","valueAmt":"12","displaySw":"true","rcMapId":"1705351562","tieredFlag":"FLAT","priceCompSequenceNo":"10"}}}}}</t>
  </si>
  <si>
    <t>{"C1-DealPriceAsgnCommitmentsREST":{"modelId":"1139330356","dealId":"6367683010","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-11","assignmentLevel":"Customer Price List"}]}}}</t>
  </si>
  <si>
    <t>{"C1-DealPriceAsgnCommitmentsREST":{"dealId":"6367683010","modelId":"1139330356","entityId":"2049157035","entityType":"PERS","pricingAndCommitmentsDetails":{"entityId":"2049157035","entityType":"PERS","entityIdentifierValue":"Reg_BANK_82_PRSPCH1_001","entityIdentifierType":"COREG","entityDivision":"IND","pricingDetails":{"priceAsgnId":"0930014355","actionFlag":"OVRD","priceItemCode":"NPI_036","priceItemDescription":"Price Item NPI_036","pricingStatus":"PRPD","priceCurrencyCode":"USD","rateSchedule":"DM-NBRST","startDate":"2023-08-11","isEligible":"false","assignmentLevel":"Customer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</si>
  <si>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1139330356","dealId":"6367683010","entityType":"PERS","entityId":"2049157035","pricingAndCommitmentsDetails":{"entityDivision":"IND","entityIdentifierType":"COREG","entityType":"PERS","entityId":"2049157035","entityIdentifierValue":"Reg_BANK_82_PRSPCH1_001","pricingDetails":[{"txnDailyRatingCrt":"DNRT","priceCompDetails":[{"priceCompId":"0938600615","valueAmt":"17","priceCompDesc":"Price Per Transaction Step Tier 1","rcMapId":"2567418376","displaySw":"true","tieredFlag":"STEP","priceCompTier":{"tierSeqNum":"10","upperLimit":"1000.00","lowerLimit":"0.00","priceCriteria":"NBRTRAN"},"priceCompSequenceNo":"100"},{"priceCompId":"0938600616","valueAmt":"17","priceCompDesc":"Price Per Transaction Step Tier 2","rcMapId":"7769990702","displaySw":"true","tieredFlag":"STEP","priceCompTier":{"tierSeqNum":"10","upperLimit":"5000.00","lowerLimit":"1000.00","priceCriteria":"NBRTRAN"},"priceCompSequenceNo":"110"},{"priceCompId":"0938600617","valueAmt":"17","priceCompDesc":"Price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0930014355","pricingStatus":"PRPD","printIfZero":"Y","ignoreSw":"N","actionFlag":"OVRD","isEligible":"false","scheduleCode":"MONTHLY","rateSchedule":"DM-NBRST","startDate":"2023-09-10","assignmentLevel":"Customer Agreed"}]}}}</t>
  </si>
  <si>
    <t>{"C1-DealPriceAsgnCommitmentsREST":{"dealId":"6367683010","modelId":"1139330356","entityId":"2049157035","entityType":"PERS","pricingAndCommitmentsDetails":{"entityId":"2049157035","entityType":"PERS","entityIdentifierValue":"Reg_BANK_82_PRSPCH1_001","entityIdentifierType":"COREG","entityDivision":"IND","pricingDetails":{"priceAsgnId":"0930014356","actionFlag":"OVRD","priceItemCode":"NPI_036","priceItemDescription":"Price Item NPI_036","pricingStatus":"PRPD","priceCurrencyCode":"USD","rateSchedule":"DM-NBRST","startDate":"2023-09-10","isEligible":"false","assignmentLevel":"Customer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0938600615","priceCompDesc":"Price Per Transaction Step Tier 1","valueAmt":"17","displaySw":"true","rcMapId":"2567418376","tieredFlag":"STEP","priceCompSequenceNo":"100"},{"priceCompTier":{"upperLimit":"5000.00","lowerLimit":"1000.00","priceCriteria":"NBRTRAN","tierSeqNum":"10"},"priceCompId":"0938600616","priceCompDesc":"Price Per Transaction Step Tier 2","valueAmt":"17","displaySw":"true","rcMapId":"7769990702","tieredFlag":"STEP","priceCompSequenceNo":"110"},{"priceCompTier":{"upperLimit":"99999999.99","lowerLimit":"5000.00","priceCriteria":"NBRTRAN","tierSeqNum":"10"},"priceCompId":"0938600617","priceCompDesc":"Price Per Transaction Step Tier 3","valueAmt":"17","displaySw":"true","rcMapId":"4322456059","tieredFlag":"STEP","priceCompSequenceNo":"120"}]}}}}</t>
  </si>
  <si>
    <t>{"C1-DealPriceAsgnCommitmentsREST":{"modelId":"1139330356","dealId":"6367683010","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-11","assignmentLevel":"Customer Price List"}]}}}</t>
  </si>
  <si>
    <t>{"C1-DealPriceAsgnCommitmentsREST":{"dealId":"6367683010","modelId":"1139330356","entityId":"2049157035","entityType":"PERS","pricingAndCommitmentsDetails":{"entityId":"2049157035","entityType":"PERS","entityIdentifierValue":"Reg_BANK_82_PRSPCH1_001","entityIdentifierType":"COREG","entityDivision":"IND","pricingDetails":{"priceAsgnId":"0930014357","actionFlag":"OVRD","priceItemCode":"NPI_036","priceItemDescription":"Price Item NPI_036","pricingStatus":"PRPD","priceCurrencyCode":"USD","rateSchedule":"DM-NBRTH","startDate":"2023-08-11","isEligible":"false","assignmentLevel":"Customer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</si>
  <si>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1139330356","dealId":"6367683010","entityType":"PERS","entityId":"2049157035","pricingAndCommitmentsDetails":{"entityDivision":"IND","entityIdentifierType":"COREG","entityType":"PERS","entityId":"2049157035","entityIdentifierValue":"Reg_BANK_82_PRSPCH1_001","pricingDetails":[{"txnDailyRatingCrt":"DNRT","priceCompDetails":[{"priceCompId":"0938600621","valueAmt":"17","priceCompDesc":"Threshold price per transaction1","rcMapId":"1109655113","displaySw":"true","tieredFlag":"THRS","priceCompTier":{"tierSeqNum":"10","upperLimit":"1000.00","lowerLimit":"0.00","priceCriteria":"NBRTRAN"},"priceCompSequenceNo":"100"},{"priceCompId":"0938600622","valueAmt":"17","priceCompDesc":"Threshold price per transaction 2","rcMapId":"1109655113","displaySw":"true","tieredFlag":"THRS","priceCompTier":{"tierSeqNum":"10","upperLimit":"5000.00","lowerLimit":"1000.00","priceCriteria":"NBRTRAN"},"priceCompSequenceNo":"110"},{"priceCompId":"0938600623","valueAmt":"17","priceCompDesc":"Threshold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0930014357","pricingStatus":"PRPD","printIfZero":"Y","ignoreSw":"N","actionFlag":"OVRD","isEligible":"false","scheduleCode":"MONTHLY","rateSchedule":"DM-NBRTH","startDate":"2023-09-10","assignmentLevel":"Customer Agreed"}]}}}</t>
  </si>
  <si>
    <t>{"C1-DealPriceAsgnCommitmentsREST":{"dealId":"6367683010","modelId":"1139330356","entityId":"2049157035","entityType":"PERS","pricingAndCommitmentsDetails":{"entityId":"2049157035","entityType":"PERS","entityIdentifierValue":"Reg_BANK_82_PRSPCH1_001","entityIdentifierType":"COREG","entityDivision":"IND","pricingDetails":{"priceAsgnId":"0930014358","actionFlag":"OVRD","priceItemCode":"NPI_036","priceItemDescription":"Price Item NPI_036","pricingStatus":"PRPD","priceCurrencyCode":"USD","rateSchedule":"DM-NBRTH","startDate":"2023-09-10","isEligible":"false","assignmentLevel":"Customer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0938600621","priceCompDesc":"Threshold price per transaction1","valueAmt":"17","displaySw":"true","rcMapId":"1109655113","tieredFlag":"THRS","priceCompSequenceNo":"100"},{"priceCompTier":{"upperLimit":"5000.00","lowerLimit":"1000.00","priceCriteria":"NBRTRAN","tierSeqNum":"10"},"priceCompId":"0938600622","priceCompDesc":"Threshold price per transaction 2","valueAmt":"17","displaySw":"true","rcMapId":"1109655113","tieredFlag":"THRS","priceCompSequenceNo":"110"},{"priceCompTier":{"upperLimit":"99999999.99","lowerLimit":"5000.00","priceCriteria":"NBRTRAN","tierSeqNum":"10"},"priceCompId":"0938600623","priceCompDesc":"Threshold price per transaction 3","valueAmt":"17","displaySw":"true","rcMapId":"1109655113","tieredFlag":"THRS","priceCompSequenceNo":"120"}]}}}}</t>
  </si>
  <si>
    <t>{"C1-DealPriceAsgnCommitmentsREST":{"modelId":"1139330356","dealId":"6367683010","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-11","assignmentLevel":"Customer Price List"}]}}}</t>
  </si>
  <si>
    <t>{"C1-DealPriceAsgnCommitmentsREST":{"dealId":"6367683010","modelId":"1139330356","entityId":"2049157035","entityType":"PERS","pricingAndCommitmentsDetails":{"entityId":"2049157035","entityType":"PERS","entityIdentifierValue":"Reg_BANK_82_PRSPCH1_001","entityIdentifierType":"COREG","entityDivision":"IND","pricingDetails":{"priceAsgnId":"0930014359","actionFlag":"OVRD","priceItemCode":"PI_022","priceItemDescription":"V2-Monthly Acct Serv Fee","pricingStatus":"PRPD","priceCurrencyCode":"USD","rateSchedule":"DM-RT01","startDate":"2023-08-11","isEligible":"false","assignmentLevel":"Customer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</si>
  <si>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1139330356","dealId":"6367683010","entityType":"PERS","entityId":"2049157035","pricingAndCommitmentsDetails":{"entityDivision":"IND","entityIdentifierType":"COREG","entityType":"PERS","entityId":"2049157035","entityIdentifierValue":"Reg_BANK_82_PRSPCH1_001","pricingDetails":[{"txnDailyRatingCrt":"DNRT","priceCompDetails":{"priceCompId":"0938600627","valueAmt":"10","priceCompDesc":"FLAT","rcMapId":"1705351562","displaySw":"true","tieredFlag":"FLAT","priceCompSequenceNo":"10"},"paTypeFlag":"RGLR","priceItemDescription":"V2-Monthly Acct Serv Fee","aggregateSw":"N","priceItemCode":"PI_022","priceCurrencyCode":"USD","priceAsgnId":"0930014359","pricingStatus":"PRPD","printIfZero":"Y","ignoreSw":"N","actionFlag":"OVRD","isEligible":"false","scheduleCode":"MONTHLY","rateSchedule":"DM-RT01","startDate":"2023-09-10","assignmentLevel":"Customer Agreed"}]}}}</t>
  </si>
  <si>
    <t>{"C1-DealPriceAsgnCommitmentsREST":{"dealId":"6367683010","modelId":"1139330356","entityId":"2049157035","entityType":"PERS","pricingAndCommitmentsDetails":{"entityId":"2049157035","entityType":"PERS","entityIdentifierValue":"Reg_BANK_82_PRSPCH1_001","entityIdentifierType":"COREG","entityDivision":"IND","pricingDetails":{"priceAsgnId":"0930014360","actionFlag":"OVRD","priceItemCode":"PI_022","priceItemDescription":"V2-Monthly Acct Serv Fee","pricingStatus":"PRPD","priceCurrencyCode":"USD","rateSchedule":"DM-RT01","startDate":"2023-09-10","isEligible":"false","assignmentLevel":"Customer Agreed","paTypeFlag":"RGLR","printIfZero":"Y","txnDailyRatingCrt":"DNRT","ignoreSw":"N","aggregateSw":"N","scheduleCode":"MONTHLY","priceCompDetails":{"priceCompId":"0938600627","priceCompDesc":"FLAT","valueAmt":"10","displaySw":"true","rcMapId":"1705351562","tieredFlag":"FLAT","priceCompSequenceNo":"10"}}}}}</t>
  </si>
  <si>
    <t>{"C1-DealPriceAsgnCommitmentsREST":{"modelId":"1139330356","dealId":"6367683010","entityType":"PERS","entityId":"2049157035","pricingAndCommitmentsDetails":{"entityDivision":"IND","entityIdentifierType":"COREG","entityType":"PERS","entityId":"2049157035","entityIdentifierValue":"Reg_BANK_82_PRSPCH1_001","pricingDetails":[{"txnDailyRatingCrt":"DNRT","priceCompDetails":[{"priceCompId":"0938600605","valueAmt":"11","priceCompDesc":"Price per transaction - Step Tier 1","rcMapId":"2567418376","displaySw":"true","tieredFlag":"STEP","priceCompTier":{"tierSeqNum":"10","upperLimit":"1000.00","lowerLimit":"0.00","priceCriteria":"NBRTRAN"},"priceCompSequenceNo":"100"},{"priceCompId":"0938600606","valueAmt":"12","priceCompDesc":"Price per transaction - Step Tier 2","rcMapId":"7769990702","displaySw":"true","tieredFlag":"STEP","priceCompTier":{"tierSeqNum":"10","upperLimit":"5000.00","lowerLimit":"1000.00","priceCriteria":"NBRTRAN"},"priceCompSequenceNo":"110"},{"priceCompId":"0938600607","valueAmt":"13","priceCompDesc":"Price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0930014349","pricingStatus":"PRPD","printIfZero":"Y","ignoreSw":"N","actionFlag":"OVRD","isEligible":"false","scheduleCode":"MONTHLY","rateSchedule":"DM-NBRST","startDate":"2023-08-11","assignmentLevel":"Customer Agreed"}]}}}</t>
  </si>
  <si>
    <t>{"C1-DealPriceAsgnCommitmentsREST":{"dealId":"6367683010","modelId":"1139330356","entityId":"2049157035","entityType":"PERS","pricingAndCommitmentsDetails":{"entityId":"2049157035","entityType":"PERS","entityIdentifierValue":"Reg_BANK_82_PRSPCH1_001","entityIdentifierType":"COREG","entityDivision":"IND","pricingDetails":{"priceAsgnId":"0930014361","actionFlag":"OVRD","priceItemCode":"PI_024","priceItemDescription":"V4-SEPA Transfers","pricingStatus":"PRPD","priceCurrencyCode":"USD","rateSchedule":"DM-NBRST","startDate":"2023-08-11","isEligible":"false","assignmentLevel":"Customer Agreed","paTypeFlag":"RGLR","printIfZero":"Y","txnDailyRatingCrt":"DNRT","ignoreSw":"N","aggregateSw":"Y","scheduleCode":"MONTHLY","priceCompDetails":[{"priceCompTier":{"upperLimit":"1000.00","lowerLimit":"0.00","priceCriteria":"NBRTRAN","tierSeqNum":"10"},"priceCompId":"0938600605","priceCompDesc":"Price per transaction - Step Tier 1","valueAmt":"11","displaySw":"true","rcMapId":"2567418376","tieredFlag":"STEP","priceCompSequenceNo":"100"},{"priceCompTier":{"upperLimit":"5000.00","lowerLimit":"1000.00","priceCriteria":"NBRTRAN","tierSeqNum":"10"},"priceCompId":"0938600606","priceCompDesc":"Price per transaction - Step Tier 2","valueAmt":"12","displaySw":"true","rcMapId":"7769990702","tieredFlag":"STEP","priceCompSequenceNo":"110"},{"priceCompTier":{"upperLimit":"999999999999.99","lowerLimit":"5000.00","priceCriteria":"NBRTRAN","tierSeqNum":"10"},"priceCompId":"0938600607","priceCompDesc":"Price per transaction - Step Tier 3","valueAmt":"13","displaySw":"true","rcMapId":"4322456059","tieredFlag":"STEP","priceCompSequenceNo":"120"}]}}}}</t>
  </si>
  <si>
    <t>{"C1-DealPriceAsgnCommitmentsREST":{"modelId":"1139330356","dealId":"6367683010","entityType":"PERS","entityId":"2049157035","pricingAndCommitmentsDetails":{"entityDivision":"IND","entityIdentifierType":"COREG","entityType":"PERS","entityId":"2049157035","entityIdentifierValue":"Reg_BANK_82_PRSPCH1_001","pricingDetails":[{"txnDailyRatingCrt":"DNRT","priceCompDetails":[{"priceCompId":"0938600629","valueAmt":"12","priceCompDesc":"Price per transaction - Step Tier 1","rcMapId":"2567418376","displaySw":"true","tieredFlag":"STEP","priceCompTier":{"tierSeqNum":"10","upperLimit":"1000.00","lowerLimit":"0.00","priceCriteria":"NBRTRAN"},"priceCompSequenceNo":"100"},{"priceCompId":"0938600630","valueAmt":"13","priceCompDesc":"Price per transaction - Step Tier 2","rcMapId":"7769990702","displaySw":"true","tieredFlag":"STEP","priceCompTier":{"tierSeqNum":"10","upperLimit":"5000.00","lowerLimit":"1000.00","priceCriteria":"NBRTRAN"},"priceCompSequenceNo":"110"},{"priceCompId":"0938600631","valueAmt":"14","priceCompDesc":"Price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0930014361","pricingStatus":"PRPD","printIfZero":"Y","ignoreSw":"N","actionFlag":"OVRD","isEligible":"false","scheduleCode":"MONTHLY","rateSchedule":"DM-NBRST","startDate":"2023-09-10","assignmentLevel":"Customer Agreed"}]}}}</t>
  </si>
  <si>
    <t>{"C1-DealPriceAsgnCommitmentsREST":{"dealId":"6367683010","modelId":"1139330356","entityId":"2049157035","entityType":"PERS","pricingAndCommitmentsDetails":{"entityId":"2049157035","entityType":"PERS","entityIdentifierValue":"Reg_BANK_82_PRSPCH1_001","entityIdentifierType":"COREG","entityDivision":"IND","pricingDetails":{"priceAsgnId":"0930014362","actionFlag":"OVRD","priceItemCode":"PI_024","priceItemDescription":"V4-SEPA Transfers","pricingStatus":"PRPD","priceCurrencyCode":"USD","rateSchedule":"DM-NBRST","startDate":"2023-09-10","isEligible":"false","assignmentLevel":"Customer Agreed","paTypeFlag":"RGLR","printIfZero":"Y","txnDailyRatingCrt":"DNRT","ignoreSw":"N","aggregateSw":"N","scheduleCode":"MONTHLY","priceCompDetails":[{"priceCompTier":{"upperLimit":"1000.00","lowerLimit":"0.00","priceCriteria":"NBRTRAN","tierSeqNum":"10"},"priceCompId":"0938600629","priceCompDesc":"Price per transaction - Step Tier 1","valueAmt":"12","displaySw":"true","rcMapId":"2567418376","tieredFlag":"STEP","priceCompSequenceNo":"100"},{"priceCompTier":{"upperLimit":"5000.00","lowerLimit":"1000.00","priceCriteria":"NBRTRAN","tierSeqNum":"10"},"priceCompId":"0938600630","priceCompDesc":"Price per transaction - Step Tier 2","valueAmt":"13","displaySw":"true","rcMapId":"7769990702","tieredFlag":"STEP","priceCompSequenceNo":"110"},{"priceCompTier":{"upperLimit":"999999999999.99","lowerLimit":"5000.00","priceCriteria":"NBRTRAN","tierSeqNum":"10"},"priceCompId":"0938600631","priceCompDesc":"Price per transaction - Step Tier 3","valueAmt":"14","displaySw":"true","rcMapId":"4322456059","tieredFlag":"STEP","priceCompSequenceNo":"120"}]}}}}</t>
  </si>
  <si>
    <t>{"C1-DealPriceAsgnCommitmentsREST":{"modelId":"1139330356","dealId":"6367683010","entityType":"PERS","entityId":"2049157035","pricingAndCommitmentsDetails":{"entityDivision":"IND","entityIdentifierType":"COREG","entityType":"PERS","entityId":"2049157035","entityIdentifierValue":"Reg_BANK_82_PRSPCH1_001","pricingDetails":[{"txnDailyRatingCrt":"DNRT","priceCompDetails":[{"priceCompId":"0938600608","valueAmt":"11","priceCompDesc":"Threshold price per transaction","rcMapId":"1109655113","displaySw":"true","tieredFlag":"THRS","priceCompTier":{"tierSeqNum":"10","upperLimit":"1000.00","lowerLimit":"0.00","priceCriteria":"NBRTRAN"},"priceCompSequenceNo":"100"},{"priceCompId":"0938600609","valueAmt":"12","priceCompDesc":"Threshold price per transaction","rcMapId":"1109655113","displaySw":"true","tieredFlag":"THRS","priceCompTier":{"tierSeqNum":"10","upperLimit":"5000.00","lowerLimit":"1000.00","priceCriteria":"NBRTRAN"},"priceCompSequenceNo":"110"},{"priceCompId":"0938600610","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0930014350","pricingStatus":"PRPD","printIfZero":"Y","ignoreSw":"N","actionFlag":"OVRD","isEligible":"false","scheduleCode":"MONTHLY","rateSchedule":"DM-NBRTH","startDate":"2023-08-11","assignmentLevel":"Customer Agreed"}]}}}</t>
  </si>
  <si>
    <t>{"C1-DealPriceAsgnCommitmentsREST":{"dealId":"6367683010","modelId":"1139330356","entityId":"2049157035","entityType":"PERS","pricingAndCommitmentsDetails":{"entityId":"2049157035","entityType":"PERS","entityIdentifierValue":"Reg_BANK_82_PRSPCH1_001","entityIdentifierType":"COREG","entityDivision":"IND","pricingDetails":{"priceAsgnId":"0930014363","actionFlag":"OVRD","priceItemCode":"PI_025","priceItemDescription":"V5-Domestic Funds Transfer Fee","pricingStatus":"PRPD","priceCurrencyCode":"USD","rateSchedule":"DM-NBRTH","startDate":"2023-08-11","isEligible":"false","assignmentLevel":"Customer Agreed","paTypeFlag":"RGLR","printIfZero":"Y","txnDailyRatingCrt":"DNRT","ignoreSw":"N","aggregateSw":"Y","scheduleCode":"MONTHLY","priceCompDetails":[{"priceCompTier":{"upperLimit":"1000.00","lowerLimit":"0.00","priceCriteria":"NBRTRAN","tierSeqNum":"10"},"priceCompId":"0938600608","priceCompDesc":"Threshold price per transaction","valueAmt":"11","displaySw":"true","rcMapId":"1109655113","tieredFlag":"THRS","priceCompSequenceNo":"100"},{"priceCompTier":{"upperLimit":"5000.00","lowerLimit":"1000.00","priceCriteria":"NBRTRAN","tierSeqNum":"10"},"priceCompId":"0938600609","priceCompDesc":"Threshold price per transaction","valueAmt":"12","displaySw":"true","rcMapId":"1109655113","tieredFlag":"THRS","priceCompSequenceNo":"110"},{"priceCompTier":{"upperLimit":"999999999999.99","lowerLimit":"5000.00","priceCriteria":"NBRTRAN","tierSeqNum":"10"},"priceCompId":"0938600610","priceCompDesc":"Threshold price per transaction","valueAmt":"13","displaySw":"true","rcMapId":"1109655113","tieredFlag":"THRS","priceCompSequenceNo":"120"}]}}}}</t>
  </si>
  <si>
    <t>{"C1-DealPriceAsgnCommitmentsREST":{"modelId":"1139330356","dealId":"6367683010","entityType":"PERS","entityId":"2049157035","pricingAndCommitmentsDetails":{"entityDivision":"IND","entityIdentifierType":"COREG","entityType":"PERS","entityId":"2049157035","entityIdentifierValue":"Reg_BANK_82_PRSPCH1_001","pricingDetails":[{"txnDailyRatingCrt":"DNRT","priceCompDetails":[{"priceCompId":"0938600635","valueAmt":"12","priceCompDesc":"Threshold price per transaction","rcMapId":"1109655113","displaySw":"true","tieredFlag":"THRS","priceCompTier":{"tierSeqNum":"10","upperLimit":"1000.00","lowerLimit":"0.00","priceCriteria":"NBRTRAN"},"priceCompSequenceNo":"100"},{"priceCompId":"0938600636","valueAmt":"13","priceCompDesc":"Threshold price per transaction","rcMapId":"1109655113","displaySw":"true","tieredFlag":"THRS","priceCompTier":{"tierSeqNum":"10","upperLimit":"5000.00","lowerLimit":"1000.00","priceCriteria":"NBRTRAN"},"priceCompSequenceNo":"110"},{"priceCompId":"0938600637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0930014363","pricingStatus":"PRPD","printIfZero":"Y","ignoreSw":"N","actionFlag":"OVRD","isEligible":"false","scheduleCode":"MONTHLY","rateSchedule":"DM-NBRTH","startDate":"2023-09-10","assignmentLevel":"Customer Agreed"}]}}}</t>
  </si>
  <si>
    <t>{"C1-DealPriceAsgnCommitmentsREST":{"dealId":"6367683010","modelId":"1139330356","entityId":"2049157035","entityType":"PERS","pricingAndCommitmentsDetails":{"entityId":"2049157035","entityType":"PERS","entityIdentifierValue":"Reg_BANK_82_PRSPCH1_001","entityIdentifierType":"COREG","entityDivision":"IND","pricingDetails":{"priceAsgnId":"0930014364","actionFlag":"OVRD","priceItemCode":"PI_025","priceItemDescription":"V5-Domestic Funds Transfer Fee","pricingStatus":"PRPD","priceCurrencyCode":"USD","rateSchedule":"DM-NBRTH","startDate":"2023-09-10","isEligible":"false","assignmentLevel":"Customer Agreed","paTypeFlag":"RGLR","printIfZero":"Y","txnDailyRatingCrt":"DNRT","ignoreSw":"N","aggregateSw":"N","scheduleCode":"MONTHLY","priceCompDetails":[{"priceCompTier":{"upperLimit":"1000.00","lowerLimit":"0.00","priceCriteria":"NBRTRAN","tierSeqNum":"10"},"priceCompId":"0938600635","priceCompDesc":"Threshold price per transaction","valueAmt":"12","displaySw":"true","rcMapId":"1109655113","tieredFlag":"THRS","priceCompSequenceNo":"100"},{"priceCompTier":{"upperLimit":"5000.00","lowerLimit":"1000.00","priceCriteria":"NBRTRAN","tierSeqNum":"10"},"priceCompId":"0938600636","priceCompDesc":"Threshold price per transaction","valueAmt":"13","displaySw":"true","rcMapId":"1109655113","tieredFlag":"THRS","priceCompSequenceNo":"110"},{"priceCompTier":{"upperLimit":"999999999999.99","lowerLimit":"5000.00","priceCriteria":"NBRTRAN","tierSeqNum":"10"},"priceCompId":"0938600637","priceCompDesc":"Threshold price per transaction","valueAmt":"14","displaySw":"true","rcMapId":"1109655113","tieredFlag":"THRS","priceCompSequenceNo":"120"}]}}}}</t>
  </si>
  <si>
    <t>{"C1-DealPriceAsgnCommitmentsREST":{"modelId":"1139330356","dealId":"6367683010","entityType":"PERS","entityId":"2049157035","pricingAndCommitmentsDetails":{"entityDivision":"IND","entityIdentifierType":"COREG","entityType":"PERS","entityId":"2049157035","entityIdentifierValue":"Reg_BANK_82_PRSPCH1_001","pricingDetails":[{"txnDailyRatingCrt":"DNRT","priceCompDetails":{"priceCompId":"0938600612","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0930014352","pricingStatus":"PRPD","printIfZero":"Y","ignoreSw":"N","actionFlag":"OVRD","isEligible":"false","scheduleCode":"MONTHLY","rateSchedule":"DM-RT01","startDate":"2023-08-11","assignmentLevel":"Customer Agreed"}]}}}</t>
  </si>
  <si>
    <t>{"C1-DealPriceAsgnCommitmentsREST":{"dealId":"6367683010","modelId":"1139330356","entityId":"2049157035","entityType":"PERS","pricingAndCommitmentsDetails":{"entityId":"2049157035","entityType":"PERS","entityIdentifierValue":"Reg_BANK_82_PRSPCH1_001","entityIdentifierType":"COREG","entityDivision":"IND","pricingDetails":{"priceAsgnId":"0930014365","actionFlag":"OVRD","priceItemCode":"PI_028","priceItemDescription":"V8-Cheque Collections","pricingStatus":"PRPD","priceCurrencyCode":"USD","rateSchedule":"DM-RT01","startDate":"2023-08-11","isEligible":"false","assignmentLevel":"Customer Agreed","paTypeFlag":"RGLR","printIfZero":"Y","parameterDetails":[{"parameterCode":"DM_CURRENCY","parameterValue":"INR"},{"parameterCode":"DM_TYPE","parameterValue":"BT"}],"txnDailyRatingCrt":"DNRT","ignoreSw":"N","aggregateSw":"Y","scheduleCode":"MONTHLY","priceCompDetails":{"priceCompId":"0938600612","priceCompDesc":"FLAT","valueAmt":"3","displaySw":"true","rcMapId":"1705351562","tieredFlag":"FLAT","priceCompSequenceNo":"10"}}}}}</t>
  </si>
  <si>
    <t>{"C1-DealPriceAsgnCommitmentsREST":{"modelId":"1139330356","dealId":"6367683010","entityType":"PERS","entityId":"2049157035","pricingAndCommitmentsDetails":{"entityDivision":"IND","entityIdentifierType":"COREG","entityType":"PERS","entityId":"2049157035","entityIdentifierValue":"Reg_BANK_82_PRSPCH1_001","pricingDetails":[{"txnDailyRatingCrt":"DNRT","priceCompDetails":{"priceCompId":"0938600641","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0930014365","pricingStatus":"PRPD","printIfZero":"Y","ignoreSw":"N","actionFlag":"OVRD","isEligible":"false","scheduleCode":"MONTHLY","rateSchedule":"DM-RT01","startDate":"2023-09-10","assignmentLevel":"Customer Agreed"}]}}}</t>
  </si>
  <si>
    <t>{"C1-DealPriceAsgnCommitmentsREST":{"dealId":"6367683010","modelId":"1139330356","entityId":"2049157035","entityType":"PERS","pricingAndCommitmentsDetails":{"entityId":"2049157035","entityType":"PERS","entityIdentifierValue":"Reg_BANK_82_PRSPCH1_001","entityIdentifierType":"COREG","entityDivision":"IND","pricingDetails":{"priceAsgnId":"0930014366","actionFlag":"OVRD","priceItemCode":"PI_028","priceItemDescription":"V8-Cheque Collections","pricingStatus":"PRPD","priceCurrencyCode":"USD","rateSchedule":"DM-RT01","startDate":"2023-09-10","isEligible":"false","assignmentLevel":"Customer Agreed","paTypeFlag":"RGLR","printIfZero":"Y","parameterDetails":[{"parameterCode":"DM_CURRENCY","parameterValue":"INR"},{"parameterCode":"DM_TYPE","parameterValue":"BT"}],"txnDailyRatingCrt":"DNRT","ignoreSw":"N","aggregateSw":"N","scheduleCode":"MONTHLY","priceCompDetails":{"priceCompId":"0938600641","priceCompDesc":"FLAT","valueAmt":"2","displaySw":"true","rcMapId":"1705351562","tieredFlag":"FLAT","priceCompSequenceNo":"10"}}}}}</t>
  </si>
  <si>
    <t>{"C1-DealPriceAsgnCommitmentsREST":{"modelId":"1139330356","dealId":"6367683010","entityType":"PERS","entityId":"2049157035","pricingAndCommitmentsDetails":{"entityDivision":"IND","entityIdentifierType":"COREG","entityType":"PERS","entityId":"2049157035","entityIdentifierValue":"Reg_BANK_82_PRSPCH1_001","pricingDetails":[{"txnDailyRatingCrt":"DNRT","priceCompDetails":{"priceCompId":"0938600611","valueAmt":"1","priceCompDesc":"FLAT","rcMapId":"1705351562","displaySw":"true","tieredFlag":"FLAT","priceCompSequenceNo":"10"},"paTypeFlag":"RGLR","priceItemDescription":"V8-Cheque Collections","aggregateSw":"Y","priceItemCode":"PI_028","priceCurrencyCode":"USD","priceAsgnId":"0930014351","pricingStatus":"PRPD","printIfZero":"Y","ignoreSw":"N","actionFlag":"OVRD","isEligible":"false","scheduleCode":"MONTHLY","rateSchedule":"DM-RT01","startDate":"2023-08-11","assignmentLevel":"Customer Agreed"}]}}}</t>
  </si>
  <si>
    <t>{"C1-DealPriceAsgnCommitmentsREST":{"dealId":"6367683010","modelId":"1139330356","entityId":"2049157035","entityType":"PERS","pricingAndCommitmentsDetails":{"entityId":"2049157035","entityType":"PERS","entityIdentifierValue":"Reg_BANK_82_PRSPCH1_001","entityIdentifierType":"COREG","entityDivision":"IND","pricingDetails":{"priceAsgnId":"0930014367","actionFlag":"OVRD","priceItemCode":"PI_028","priceItemDescription":"V8-Cheque Collections","pricingStatus":"PRPD","priceCurrencyCode":"USD","rateSchedule":"DM-RT01","startDate":"2023-08-11","isEligible":"false","assignmentLevel":"Customer Agreed","paTypeFlag":"RGLR","printIfZero":"Y","txnDailyRatingCrt":"DNRT","ignoreSw":"N","aggregateSw":"Y","scheduleCode":"MONTHLY","priceCompDetails":{"priceCompId":"0938600611","priceCompDesc":"FLAT","valueAmt":"1","displaySw":"true","rcMapId":"1705351562","tieredFlag":"FLAT","priceCompSequenceNo":"10"}}}}}</t>
  </si>
  <si>
    <t>{"C1-DealPriceAsgnCommitmentsREST":{"modelId":"1139330356","dealId":"6367683010","entityType":"PERS","entityId":"2049157035","pricingAndCommitmentsDetails":{"entityDivision":"IND","entityIdentifierType":"COREG","entityType":"PERS","entityId":"2049157035","entityIdentifierValue":"Reg_BANK_82_PRSPCH1_001","pricingDetails":[{"txnDailyRatingCrt":"DNRT","priceCompDetails":{"priceCompId":"0938600643","valueAmt":"2","priceCompDesc":"FLAT","rcMapId":"1705351562","displaySw":"true","tieredFlag":"FLAT","priceCompSequenceNo":"10"},"paTypeFlag":"RGLR","priceItemDescription":"V8-Cheque Collections","aggregateSw":"N","priceItemCode":"PI_028","priceCurrencyCode":"USD","priceAsgnId":"0930014367","pricingStatus":"PRPD","printIfZero":"Y","ignoreSw":"N","actionFlag":"OVRD","isEligible":"false","scheduleCode":"MONTHLY","rateSchedule":"DM-RT01","startDate":"2023-09-10","assignmentLevel":"Customer Agreed"}]}}}</t>
  </si>
  <si>
    <t>{"C1-DealPriceAsgnCommitmentsREST":{"dealId":"6367683010","modelId":"1139330356","entityId":"2049157035","entityType":"PERS","pricingAndCommitmentsDetails":{"entityId":"2049157035","entityType":"PERS","entityIdentifierValue":"Reg_BANK_82_PRSPCH1_001","entityIdentifierType":"COREG","entityDivision":"IND","pricingDetails":{"priceAsgnId":"0930014368","actionFlag":"OVRD","priceItemCode":"PI_028","priceItemDescription":"V8-Cheque Collections","pricingStatus":"PRPD","priceCurrencyCode":"USD","rateSchedule":"DM-RT01","startDate":"2023-09-10","isEligible":"false","assignmentLevel":"Customer Agreed","paTypeFlag":"RGLR","printIfZero":"Y","txnDailyRatingCrt":"DNRT","ignoreSw":"N","aggregateSw":"N","scheduleCode":"MONTHLY","priceCompDetails":{"priceCompId":"0938600643","priceCompDesc":"FLAT","valueAmt":"2","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</si>
</sst>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mm\-dd\-yyyy\ h:mm"/>
  </numFmts>
  <fonts count="15"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
      <sz val="11"/>
      <color theme="1"/>
      <name val="Calibri"/>
      <family val="2"/>
      <scheme val="minor"/>
    </font>
  </fonts>
  <fills count="24">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FF99"/>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0" fontId="12" fillId="0" borderId="0"/>
    <xf numFmtId="44" fontId="14" fillId="0" borderId="0" applyFont="0" applyFill="0" applyBorder="0" applyAlignment="0" applyProtection="0"/>
  </cellStyleXfs>
  <cellXfs count="202">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0" fillId="17" borderId="1" xfId="0"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0" xfId="0" applyFont="1" applyFill="1" applyBorder="1" applyAlignment="1">
      <alignment horizontal="left" vertical="top"/>
    </xf>
    <xf numFmtId="14" fontId="0" fillId="0" borderId="0" xfId="0" applyNumberFormat="1" applyAlignment="1">
      <alignment horizontal="left"/>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19" borderId="1" xfId="0" applyFill="1" applyBorder="1" applyAlignment="1">
      <alignment horizontal="left" vertical="top"/>
    </xf>
    <xf numFmtId="49" fontId="0" fillId="19" borderId="1" xfId="0" applyNumberFormat="1" applyFill="1" applyBorder="1" applyAlignment="1">
      <alignment horizontal="left" vertical="top"/>
    </xf>
    <xf numFmtId="0" fontId="0" fillId="19" borderId="1" xfId="0" applyNumberFormat="1" applyFill="1" applyBorder="1" applyAlignment="1">
      <alignment horizontal="left" vertical="top"/>
    </xf>
    <xf numFmtId="0" fontId="0" fillId="19" borderId="0" xfId="0" applyFill="1" applyBorder="1" applyAlignment="1">
      <alignment horizontal="left" vertical="top"/>
    </xf>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49" fontId="0" fillId="9"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0" borderId="1" xfId="0" applyFill="1" applyBorder="1" applyAlignment="1">
      <alignment horizontal="left" vertical="top"/>
    </xf>
    <xf numFmtId="49" fontId="0" fillId="20" borderId="1" xfId="0" applyNumberFormat="1" applyFill="1" applyBorder="1" applyAlignment="1">
      <alignment horizontal="left" vertical="top"/>
    </xf>
    <xf numFmtId="0" fontId="0" fillId="20" borderId="1" xfId="0" applyNumberFormat="1" applyFill="1" applyBorder="1" applyAlignment="1">
      <alignment horizontal="left" vertical="top"/>
    </xf>
    <xf numFmtId="0" fontId="0" fillId="20" borderId="0" xfId="0" applyFill="1" applyBorder="1" applyAlignment="1">
      <alignment horizontal="left" vertical="top"/>
    </xf>
    <xf numFmtId="0" fontId="11" fillId="21" borderId="1" xfId="0" applyFont="1" applyFill="1" applyBorder="1" applyAlignment="1">
      <alignment horizontal="left" vertical="top"/>
    </xf>
    <xf numFmtId="49" fontId="11" fillId="21" borderId="1" xfId="0" applyNumberFormat="1" applyFont="1" applyFill="1" applyBorder="1" applyAlignment="1">
      <alignment horizontal="left" vertical="top"/>
    </xf>
    <xf numFmtId="0" fontId="11" fillId="21" borderId="0" xfId="0" applyFont="1" applyFill="1" applyBorder="1" applyAlignment="1">
      <alignment horizontal="left" vertical="top"/>
    </xf>
    <xf numFmtId="0" fontId="11" fillId="22" borderId="1" xfId="0" applyFont="1" applyFill="1" applyBorder="1" applyAlignment="1">
      <alignment horizontal="left" vertical="top"/>
    </xf>
    <xf numFmtId="49" fontId="11" fillId="22" borderId="1" xfId="0" applyNumberFormat="1" applyFont="1" applyFill="1" applyBorder="1" applyAlignment="1">
      <alignment horizontal="left" vertical="top"/>
    </xf>
    <xf numFmtId="0" fontId="11" fillId="22" borderId="0" xfId="0" applyFont="1" applyFill="1" applyBorder="1" applyAlignment="1">
      <alignment horizontal="left" vertical="top"/>
    </xf>
    <xf numFmtId="164" fontId="0" fillId="5" borderId="1" xfId="0" applyNumberFormat="1" applyFill="1" applyBorder="1" applyAlignment="1">
      <alignment horizontal="left" vertical="top"/>
    </xf>
    <xf numFmtId="2" fontId="0" fillId="19" borderId="1" xfId="0" applyNumberFormat="1" applyFill="1" applyBorder="1" applyAlignment="1">
      <alignment horizontal="left" vertical="top"/>
    </xf>
    <xf numFmtId="0" fontId="0" fillId="3" borderId="1" xfId="0" applyFill="1" applyBorder="1" applyAlignment="1">
      <alignment horizontal="left" vertical="top"/>
    </xf>
    <xf numFmtId="164" fontId="0" fillId="9" borderId="1" xfId="0" applyNumberFormat="1" applyFill="1" applyBorder="1" applyAlignment="1">
      <alignment horizontal="left" vertical="top"/>
    </xf>
    <xf numFmtId="0" fontId="11" fillId="13" borderId="0" xfId="0" applyFont="1" applyFill="1" applyBorder="1" applyAlignment="1">
      <alignment horizontal="left" vertical="top"/>
    </xf>
    <xf numFmtId="3" fontId="0" fillId="19" borderId="1" xfId="0" applyNumberFormat="1" applyFill="1" applyBorder="1" applyAlignment="1">
      <alignment horizontal="left" vertical="top"/>
    </xf>
    <xf numFmtId="3" fontId="0" fillId="5" borderId="1" xfId="0" applyNumberFormat="1" applyFill="1" applyBorder="1" applyAlignment="1">
      <alignment horizontal="left" vertical="top"/>
    </xf>
    <xf numFmtId="3" fontId="11" fillId="21" borderId="1" xfId="0" applyNumberFormat="1" applyFont="1" applyFill="1" applyBorder="1" applyAlignment="1">
      <alignment horizontal="left" vertical="top"/>
    </xf>
    <xf numFmtId="3" fontId="11" fillId="22" borderId="1" xfId="0" applyNumberFormat="1" applyFont="1" applyFill="1" applyBorder="1" applyAlignment="1">
      <alignment horizontal="left" vertical="top"/>
    </xf>
    <xf numFmtId="4" fontId="0" fillId="19" borderId="1" xfId="0" applyNumberFormat="1" applyFill="1" applyBorder="1" applyAlignment="1">
      <alignment horizontal="left" vertical="top"/>
    </xf>
    <xf numFmtId="0" fontId="0" fillId="19" borderId="1" xfId="0" applyNumberFormat="1" applyFill="1" applyBorder="1" applyAlignment="1">
      <alignment horizontal="left" vertical="top" wrapText="1"/>
    </xf>
    <xf numFmtId="0" fontId="0" fillId="19" borderId="1" xfId="2" applyNumberFormat="1" applyFont="1" applyFill="1" applyBorder="1" applyAlignment="1">
      <alignment horizontal="left" vertical="top"/>
    </xf>
    <xf numFmtId="2" fontId="0" fillId="20" borderId="1" xfId="0" applyNumberFormat="1" applyFill="1" applyBorder="1" applyAlignment="1">
      <alignment horizontal="left" vertical="top"/>
    </xf>
    <xf numFmtId="0" fontId="11" fillId="13" borderId="0" xfId="0" applyFont="1" applyFill="1" applyBorder="1" applyAlignment="1">
      <alignment horizontal="left" vertical="top"/>
    </xf>
    <xf numFmtId="49" fontId="0" fillId="15" borderId="1" xfId="0" applyNumberFormat="1" applyFill="1" applyBorder="1" applyAlignment="1">
      <alignment horizontal="left" vertical="top" wrapText="1"/>
    </xf>
    <xf numFmtId="49" fontId="0" fillId="17" borderId="1" xfId="0" applyNumberFormat="1" applyFill="1" applyBorder="1" applyAlignment="1">
      <alignment horizontal="left" vertical="top"/>
    </xf>
    <xf numFmtId="0" fontId="0" fillId="0" borderId="0" xfId="0" applyNumberFormat="1"/>
    <xf numFmtId="0" fontId="11" fillId="13" borderId="0" xfId="0" applyNumberFormat="1" applyFont="1" applyFill="1" applyBorder="1" applyAlignment="1">
      <alignment horizontal="left" vertical="top"/>
    </xf>
    <xf numFmtId="0" fontId="11" fillId="10" borderId="1" xfId="0" applyNumberFormat="1"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3" borderId="1" xfId="0" applyNumberFormat="1" applyFill="1" applyBorder="1" applyAlignment="1">
      <alignment horizontal="left"/>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vertical="top"/>
    </xf>
    <xf numFmtId="0" fontId="11" fillId="13" borderId="11" xfId="0" applyFont="1" applyFill="1" applyBorder="1" applyAlignment="1">
      <alignment vertical="top"/>
    </xf>
    <xf numFmtId="0" fontId="11" fillId="15" borderId="11" xfId="0" applyFont="1" applyFill="1" applyBorder="1" applyAlignment="1">
      <alignment vertical="top"/>
    </xf>
    <xf numFmtId="0" fontId="11" fillId="10" borderId="2"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2" xfId="0" applyFont="1" applyFill="1" applyBorder="1" applyAlignment="1">
      <alignment vertical="top" wrapText="1"/>
    </xf>
    <xf numFmtId="0" fontId="11" fillId="10" borderId="3" xfId="0" applyFont="1" applyFill="1" applyBorder="1" applyAlignment="1">
      <alignment vertical="top"/>
    </xf>
    <xf numFmtId="0" fontId="11" fillId="10" borderId="4" xfId="0" applyFont="1" applyFill="1" applyBorder="1" applyAlignment="1">
      <alignment vertical="top" wrapText="1"/>
    </xf>
    <xf numFmtId="0" fontId="11" fillId="15" borderId="14" xfId="0" applyFont="1" applyFill="1" applyBorder="1" applyAlignment="1">
      <alignment vertical="top"/>
    </xf>
    <xf numFmtId="0" fontId="11" fillId="23" borderId="5" xfId="0" applyFont="1" applyFill="1" applyBorder="1" applyAlignment="1"/>
    <xf numFmtId="0" fontId="11" fillId="23" borderId="6" xfId="0" applyFont="1" applyFill="1" applyBorder="1" applyAlignment="1"/>
    <xf numFmtId="0" fontId="11" fillId="23" borderId="7" xfId="0" applyFont="1" applyFill="1" applyBorder="1" applyAlignment="1"/>
    <xf numFmtId="0" fontId="11" fillId="23" borderId="1" xfId="0" applyFont="1" applyFill="1" applyBorder="1" applyAlignment="1">
      <alignment horizontal="left"/>
    </xf>
    <xf numFmtId="49" fontId="11" fillId="23" borderId="1" xfId="0" applyNumberFormat="1" applyFont="1" applyFill="1" applyBorder="1" applyAlignment="1">
      <alignment horizontal="left"/>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5" borderId="11" xfId="0" applyFont="1" applyFill="1" applyBorder="1" applyAlignment="1">
      <alignment horizontal="center" vertical="top"/>
    </xf>
    <xf numFmtId="0" fontId="11" fillId="18" borderId="0" xfId="0" applyFont="1" applyFill="1" applyAlignment="1">
      <alignment horizontal="left"/>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3" borderId="6" xfId="0" applyFont="1" applyFill="1" applyBorder="1" applyAlignment="1">
      <alignment horizontal="center"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5" borderId="6" xfId="0" applyFont="1" applyFill="1" applyBorder="1" applyAlignment="1">
      <alignment horizontal="center"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3">
    <cellStyle name="Currency"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75"/>
  <sheetViews>
    <sheetView tabSelected="1" topLeftCell="A234" zoomScale="64" zoomScaleNormal="64" workbookViewId="0">
      <selection activeCell="D278" sqref="D278"/>
    </sheetView>
  </sheetViews>
  <sheetFormatPr defaultRowHeight="14.5" x14ac:dyDescent="0.35"/>
  <cols>
    <col min="1" max="1" width="24.6328125" customWidth="1" collapsed="1"/>
    <col min="2" max="2" width="39" customWidth="1" collapsed="1"/>
    <col min="3" max="16" width="24.6328125" customWidth="1" collapsed="1"/>
    <col min="21" max="21" width="10.90625" bestFit="1" customWidth="1" collapsed="1"/>
    <col min="48" max="48" width="10.453125" bestFit="1"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8797366188</v>
      </c>
      <c r="B4" s="28"/>
      <c r="C4" s="28" t="s">
        <v>463</v>
      </c>
      <c r="D4" s="28" t="s">
        <v>139</v>
      </c>
      <c r="E4" s="28" t="s">
        <v>140</v>
      </c>
      <c r="F4" s="28"/>
      <c r="G4" s="28"/>
      <c r="H4" s="28"/>
      <c r="I4" s="28" t="s">
        <v>141</v>
      </c>
      <c r="J4" s="28" t="s">
        <v>464</v>
      </c>
    </row>
    <row r="5" spans="1:118" x14ac:dyDescent="0.35">
      <c r="A5" s="28" t="s">
        <v>483</v>
      </c>
      <c r="B5" s="28"/>
      <c r="C5" s="28" t="s">
        <v>474</v>
      </c>
      <c r="D5" s="28" t="s">
        <v>139</v>
      </c>
      <c r="E5" s="28" t="s">
        <v>140</v>
      </c>
      <c r="F5" s="28"/>
      <c r="G5" s="28"/>
      <c r="H5" s="28"/>
      <c r="I5" s="28" t="s">
        <v>141</v>
      </c>
      <c r="J5" s="28" t="s">
        <v>475</v>
      </c>
    </row>
    <row r="6" spans="1:118" x14ac:dyDescent="0.35">
      <c r="A6" s="28" t="s">
        <v>484</v>
      </c>
      <c r="B6" s="28"/>
      <c r="C6" s="28" t="s">
        <v>476</v>
      </c>
      <c r="D6" s="28" t="s">
        <v>139</v>
      </c>
      <c r="E6" s="28" t="s">
        <v>140</v>
      </c>
      <c r="F6" s="28"/>
      <c r="G6" s="28"/>
      <c r="H6" s="28"/>
      <c r="I6" s="28" t="s">
        <v>141</v>
      </c>
      <c r="J6" s="28" t="s">
        <v>477</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8797366188</v>
      </c>
      <c r="B10" s="28" t="str">
        <f>C4</f>
        <v>BANK_82_EPER_001,IND</v>
      </c>
      <c r="C10" s="28">
        <v>2131846854</v>
      </c>
      <c r="D10" s="28" t="s">
        <v>152</v>
      </c>
      <c r="E10" s="28" t="s">
        <v>153</v>
      </c>
      <c r="F10" s="28" t="s">
        <v>154</v>
      </c>
      <c r="G10" s="28" t="s">
        <v>155</v>
      </c>
      <c r="H10" s="28" t="s">
        <v>156</v>
      </c>
      <c r="I10" s="28" t="s">
        <v>157</v>
      </c>
      <c r="J10" s="28" t="s">
        <v>465</v>
      </c>
      <c r="K10" s="28"/>
    </row>
    <row r="11" spans="1:118" x14ac:dyDescent="0.35">
      <c r="A11" s="28" t="s">
        <v>483</v>
      </c>
      <c r="B11" s="28" t="str">
        <f>C5</f>
        <v>BANK_82_PRSPCH1_001</v>
      </c>
      <c r="C11" s="28"/>
      <c r="D11" s="28" t="s">
        <v>152</v>
      </c>
      <c r="E11" s="28" t="s">
        <v>153</v>
      </c>
      <c r="F11" s="28" t="s">
        <v>154</v>
      </c>
      <c r="G11" s="28" t="s">
        <v>155</v>
      </c>
      <c r="H11" s="28" t="s">
        <v>156</v>
      </c>
      <c r="I11" s="28" t="s">
        <v>157</v>
      </c>
      <c r="J11" s="28" t="s">
        <v>478</v>
      </c>
      <c r="K11" s="28"/>
    </row>
    <row r="12" spans="1:118" x14ac:dyDescent="0.35">
      <c r="A12" s="28" t="s">
        <v>484</v>
      </c>
      <c r="B12" s="28" t="str">
        <f>C6</f>
        <v>BANK_82_PRSPCH1CH1_001</v>
      </c>
      <c r="C12" s="28"/>
      <c r="D12" s="28" t="s">
        <v>152</v>
      </c>
      <c r="E12" s="28" t="s">
        <v>153</v>
      </c>
      <c r="F12" s="28" t="s">
        <v>154</v>
      </c>
      <c r="G12" s="28" t="s">
        <v>155</v>
      </c>
      <c r="H12" s="28" t="s">
        <v>156</v>
      </c>
      <c r="I12" s="28" t="s">
        <v>157</v>
      </c>
      <c r="J12" s="28" t="s">
        <v>479</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f>C10</f>
        <v>2131846854</v>
      </c>
      <c r="C16" s="41" t="s">
        <v>485</v>
      </c>
      <c r="D16" s="31" t="s">
        <v>153</v>
      </c>
      <c r="E16" s="32" t="s">
        <v>164</v>
      </c>
      <c r="F16" s="31" t="s">
        <v>154</v>
      </c>
      <c r="G16" s="32"/>
      <c r="H16" s="31" t="s">
        <v>165</v>
      </c>
      <c r="I16" s="14"/>
    </row>
    <row r="18" spans="1:117" ht="18.5" x14ac:dyDescent="0.35">
      <c r="A18" s="177" t="s">
        <v>172</v>
      </c>
      <c r="B18" s="177"/>
      <c r="C18" s="177"/>
    </row>
    <row r="19" spans="1:117" ht="15.5" x14ac:dyDescent="0.35">
      <c r="A19" s="26" t="s">
        <v>173</v>
      </c>
      <c r="B19" s="26" t="s">
        <v>174</v>
      </c>
      <c r="C19" s="27" t="s">
        <v>175</v>
      </c>
      <c r="D19" s="24" t="s">
        <v>130</v>
      </c>
      <c r="E19" s="24" t="s">
        <v>4</v>
      </c>
    </row>
    <row r="20" spans="1:117" x14ac:dyDescent="0.35">
      <c r="A20" s="33"/>
      <c r="B20" s="34" t="s">
        <v>176</v>
      </c>
      <c r="C20" s="34" t="s">
        <v>154</v>
      </c>
      <c r="D20" s="34" t="s">
        <v>153</v>
      </c>
      <c r="E20" s="34" t="s">
        <v>177</v>
      </c>
    </row>
    <row r="21" spans="1:117" x14ac:dyDescent="0.35">
      <c r="A21" s="34" t="s">
        <v>178</v>
      </c>
      <c r="B21" s="34" t="s">
        <v>179</v>
      </c>
      <c r="C21" s="34" t="s">
        <v>154</v>
      </c>
      <c r="D21" s="34" t="s">
        <v>153</v>
      </c>
      <c r="E21" s="34"/>
    </row>
    <row r="23" spans="1:117" s="14" customFormat="1" ht="18" customHeight="1" x14ac:dyDescent="0.35">
      <c r="A23" s="178" t="s">
        <v>180</v>
      </c>
      <c r="B23" s="179"/>
      <c r="C23" s="179"/>
      <c r="D23" s="179"/>
      <c r="E23" s="179"/>
      <c r="F23" s="179"/>
      <c r="G23" s="179"/>
      <c r="H23" s="179"/>
      <c r="I23" s="179"/>
      <c r="J23" s="179"/>
      <c r="K23" s="179"/>
      <c r="L23" s="179"/>
      <c r="M23" s="179"/>
      <c r="N23" s="179"/>
      <c r="O23" s="179"/>
      <c r="P23" s="179"/>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5" t="s">
        <v>182</v>
      </c>
      <c r="E24" s="35" t="s">
        <v>183</v>
      </c>
      <c r="F24" s="35" t="s">
        <v>184</v>
      </c>
      <c r="G24" s="35" t="s">
        <v>185</v>
      </c>
      <c r="H24" s="35" t="s">
        <v>186</v>
      </c>
      <c r="I24" s="36" t="s">
        <v>187</v>
      </c>
      <c r="J24" s="37" t="s">
        <v>188</v>
      </c>
      <c r="K24" s="37" t="s">
        <v>189</v>
      </c>
      <c r="L24" s="37" t="s">
        <v>190</v>
      </c>
      <c r="M24" s="37" t="s">
        <v>166</v>
      </c>
      <c r="N24" s="37" t="s">
        <v>191</v>
      </c>
      <c r="O24" s="37" t="s">
        <v>192</v>
      </c>
      <c r="P24" s="37"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178</v>
      </c>
      <c r="B25" s="31" t="s">
        <v>179</v>
      </c>
      <c r="C25" s="31" t="s">
        <v>194</v>
      </c>
      <c r="D25" s="31" t="s">
        <v>195</v>
      </c>
      <c r="E25" s="31" t="s">
        <v>196</v>
      </c>
      <c r="F25" s="31"/>
      <c r="G25" s="31" t="s">
        <v>155</v>
      </c>
      <c r="H25" s="31" t="s">
        <v>197</v>
      </c>
      <c r="I25" s="34" t="s">
        <v>198</v>
      </c>
      <c r="J25" s="31"/>
      <c r="K25" s="31"/>
      <c r="L25" s="38"/>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4" t="s">
        <v>201</v>
      </c>
      <c r="J26" s="31"/>
      <c r="K26" s="31"/>
      <c r="L26" s="38"/>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8"/>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4" t="s">
        <v>201</v>
      </c>
      <c r="J28" s="31"/>
      <c r="K28" s="31"/>
      <c r="L28" s="38"/>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8">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8">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8"/>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8">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8">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8"/>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8"/>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8">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8">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8"/>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8">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8">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4" t="s">
        <v>221</v>
      </c>
      <c r="J41" s="31"/>
      <c r="K41" s="31"/>
      <c r="L41" s="38"/>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4" t="s">
        <v>223</v>
      </c>
      <c r="J42" s="31"/>
      <c r="K42" s="31"/>
      <c r="L42" s="38"/>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8"/>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4" t="s">
        <v>226</v>
      </c>
      <c r="J44" s="31"/>
      <c r="K44" s="31"/>
      <c r="L44" s="38"/>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4" t="s">
        <v>228</v>
      </c>
      <c r="J45" s="31"/>
      <c r="K45" s="31"/>
      <c r="L45" s="38"/>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4" t="s">
        <v>230</v>
      </c>
      <c r="J46" s="31"/>
      <c r="K46" s="31"/>
      <c r="L46" s="38"/>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8"/>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8"/>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234</v>
      </c>
      <c r="B49" s="39" t="s">
        <v>176</v>
      </c>
      <c r="C49" s="31" t="s">
        <v>167</v>
      </c>
      <c r="D49" s="31" t="s">
        <v>195</v>
      </c>
      <c r="E49" s="31" t="s">
        <v>235</v>
      </c>
      <c r="F49" s="31"/>
      <c r="G49" s="31" t="s">
        <v>155</v>
      </c>
      <c r="H49" s="31" t="s">
        <v>197</v>
      </c>
      <c r="I49" s="31" t="s">
        <v>236</v>
      </c>
      <c r="J49" s="31"/>
      <c r="K49" s="31"/>
      <c r="L49" s="38"/>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8"/>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8"/>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8"/>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4" t="s">
        <v>246</v>
      </c>
      <c r="J53" s="31"/>
      <c r="K53" s="31"/>
      <c r="L53" s="38"/>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8">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8">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8"/>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80" t="s">
        <v>259</v>
      </c>
      <c r="B58" s="181"/>
      <c r="C58" s="181"/>
      <c r="D58" s="182"/>
    </row>
    <row r="59" spans="1:117" ht="15.5" x14ac:dyDescent="0.35">
      <c r="A59" s="26" t="s">
        <v>173</v>
      </c>
      <c r="B59" s="26" t="s">
        <v>174</v>
      </c>
      <c r="C59" s="27" t="s">
        <v>254</v>
      </c>
      <c r="D59" s="26" t="s">
        <v>253</v>
      </c>
      <c r="E59" s="24" t="s">
        <v>183</v>
      </c>
    </row>
    <row r="60" spans="1:117" x14ac:dyDescent="0.35">
      <c r="A60" s="34"/>
      <c r="B60" s="34" t="s">
        <v>176</v>
      </c>
      <c r="C60" s="28" t="str">
        <f>C4</f>
        <v>BANK_82_EPER_001,IND</v>
      </c>
      <c r="D60" s="31" t="s">
        <v>256</v>
      </c>
      <c r="E60" s="31" t="s">
        <v>235</v>
      </c>
    </row>
    <row r="62" spans="1:117" ht="18.5" x14ac:dyDescent="0.35">
      <c r="A62" s="180" t="s">
        <v>252</v>
      </c>
      <c r="B62" s="181"/>
      <c r="C62" s="181"/>
      <c r="D62" s="182"/>
    </row>
    <row r="63" spans="1:117" ht="15.5" x14ac:dyDescent="0.35">
      <c r="A63" s="26" t="s">
        <v>253</v>
      </c>
      <c r="B63" s="27" t="s">
        <v>254</v>
      </c>
      <c r="C63" s="27" t="s">
        <v>240</v>
      </c>
      <c r="D63" s="26" t="s">
        <v>255</v>
      </c>
      <c r="E63" s="26" t="s">
        <v>187</v>
      </c>
      <c r="F63" s="25" t="s">
        <v>166</v>
      </c>
      <c r="G63" s="25"/>
    </row>
    <row r="64" spans="1:117" x14ac:dyDescent="0.35">
      <c r="A64" s="31" t="s">
        <v>256</v>
      </c>
      <c r="B64" s="28" t="s">
        <v>463</v>
      </c>
      <c r="C64" s="31" t="s">
        <v>171</v>
      </c>
      <c r="D64" s="31" t="s">
        <v>195</v>
      </c>
      <c r="E64" s="31" t="s">
        <v>257</v>
      </c>
      <c r="F64" s="31" t="s">
        <v>168</v>
      </c>
      <c r="G64" s="31"/>
    </row>
    <row r="65" spans="1:14" x14ac:dyDescent="0.35">
      <c r="A65" s="31" t="s">
        <v>256</v>
      </c>
      <c r="B65" s="28" t="s">
        <v>463</v>
      </c>
      <c r="C65" s="31" t="s">
        <v>248</v>
      </c>
      <c r="D65" s="31" t="s">
        <v>195</v>
      </c>
      <c r="E65" s="31" t="s">
        <v>258</v>
      </c>
      <c r="F65" s="31" t="s">
        <v>168</v>
      </c>
      <c r="G65" s="31"/>
    </row>
    <row r="66" spans="1:14" x14ac:dyDescent="0.35">
      <c r="A66" s="31" t="s">
        <v>256</v>
      </c>
      <c r="B66" s="28" t="s">
        <v>463</v>
      </c>
      <c r="C66" s="31" t="s">
        <v>247</v>
      </c>
      <c r="D66" s="31" t="s">
        <v>195</v>
      </c>
      <c r="E66" s="31" t="s">
        <v>258</v>
      </c>
      <c r="F66" s="31" t="s">
        <v>168</v>
      </c>
      <c r="G66" s="31"/>
    </row>
    <row r="68" spans="1:14" ht="18.5" x14ac:dyDescent="0.35">
      <c r="A68" s="180" t="s">
        <v>237</v>
      </c>
      <c r="B68" s="181"/>
      <c r="C68" s="181"/>
      <c r="D68" s="181"/>
      <c r="E68" s="181"/>
      <c r="F68" s="181"/>
      <c r="G68" s="181"/>
      <c r="H68" s="181"/>
      <c r="I68" s="182"/>
    </row>
    <row r="69" spans="1:14" ht="15.5" x14ac:dyDescent="0.35">
      <c r="A69" s="25" t="s">
        <v>131</v>
      </c>
      <c r="B69" s="25" t="s">
        <v>143</v>
      </c>
      <c r="C69" s="25" t="s">
        <v>238</v>
      </c>
      <c r="D69" s="25" t="s">
        <v>239</v>
      </c>
      <c r="E69" s="25" t="s">
        <v>240</v>
      </c>
      <c r="F69" s="25" t="s">
        <v>263</v>
      </c>
      <c r="G69" s="25" t="s">
        <v>265</v>
      </c>
      <c r="H69" s="25" t="s">
        <v>264</v>
      </c>
      <c r="I69" s="25" t="s">
        <v>266</v>
      </c>
      <c r="J69" s="25" t="s">
        <v>241</v>
      </c>
      <c r="K69" s="25" t="s">
        <v>242</v>
      </c>
      <c r="L69" s="25" t="s">
        <v>243</v>
      </c>
      <c r="M69" s="25" t="s">
        <v>244</v>
      </c>
      <c r="N69" s="25" t="s">
        <v>245</v>
      </c>
    </row>
    <row r="70" spans="1:14" x14ac:dyDescent="0.35">
      <c r="A70" s="28" t="s">
        <v>463</v>
      </c>
      <c r="B70" s="28">
        <f>C10</f>
        <v>2131846854</v>
      </c>
      <c r="C70" s="28" t="s">
        <v>465</v>
      </c>
      <c r="D70" s="41" t="str">
        <f>C16</f>
        <v>2131846279</v>
      </c>
      <c r="E70" s="31" t="s">
        <v>171</v>
      </c>
      <c r="F70" s="31"/>
      <c r="G70" s="31"/>
      <c r="H70" s="31"/>
      <c r="I70" s="31"/>
      <c r="J70" s="42" t="str">
        <f ca="1">TEXT(TODAY()-60,"MM-DD-YYYY")</f>
        <v>06-12-2023</v>
      </c>
      <c r="K70" s="42" t="str">
        <f ca="1">TEXT(TODAY()-30,"MM-DD-YYYY")</f>
        <v>07-12-2023</v>
      </c>
      <c r="L70" s="32" t="s">
        <v>168</v>
      </c>
      <c r="M70" s="32">
        <v>12</v>
      </c>
      <c r="N70" s="40"/>
    </row>
    <row r="71" spans="1:14" x14ac:dyDescent="0.35">
      <c r="A71" s="28" t="s">
        <v>463</v>
      </c>
      <c r="B71" s="28">
        <f>C10</f>
        <v>2131846854</v>
      </c>
      <c r="C71" s="28" t="s">
        <v>465</v>
      </c>
      <c r="D71" s="41" t="str">
        <f>C16</f>
        <v>2131846279</v>
      </c>
      <c r="E71" s="31" t="s">
        <v>171</v>
      </c>
      <c r="F71" s="31"/>
      <c r="G71" s="31"/>
      <c r="H71" s="31"/>
      <c r="I71" s="31"/>
      <c r="J71" s="42" t="str">
        <f ca="1">TEXT(TODAY()-90,"MM-DD-YYYY")</f>
        <v>05-13-2023</v>
      </c>
      <c r="K71" s="42" t="str">
        <f ca="1">TEXT(TODAY()-61,"MM-DD-YYYY")</f>
        <v>06-11-2023</v>
      </c>
      <c r="L71" s="32" t="s">
        <v>168</v>
      </c>
      <c r="M71" s="32">
        <v>13</v>
      </c>
      <c r="N71" s="40"/>
    </row>
    <row r="72" spans="1:14" x14ac:dyDescent="0.35">
      <c r="A72" s="28" t="s">
        <v>463</v>
      </c>
      <c r="B72" s="28">
        <f>C10</f>
        <v>2131846854</v>
      </c>
      <c r="C72" s="28" t="s">
        <v>465</v>
      </c>
      <c r="D72" s="41" t="str">
        <f>C16</f>
        <v>2131846279</v>
      </c>
      <c r="E72" s="31" t="s">
        <v>248</v>
      </c>
      <c r="F72" s="31"/>
      <c r="G72" s="31"/>
      <c r="H72" s="31"/>
      <c r="I72" s="31"/>
      <c r="J72" s="42" t="str">
        <f ca="1">TEXT(TODAY()-120,"MM-DD-YYYY")</f>
        <v>04-13-2023</v>
      </c>
      <c r="K72" s="42" t="str">
        <f ca="1">TEXT(TODAY()-91,"MM-DD-YYYY")</f>
        <v>05-12-2023</v>
      </c>
      <c r="L72" s="32" t="s">
        <v>168</v>
      </c>
      <c r="M72" s="32">
        <v>6</v>
      </c>
      <c r="N72" s="40"/>
    </row>
    <row r="73" spans="1:14" x14ac:dyDescent="0.35">
      <c r="A73" s="28" t="s">
        <v>463</v>
      </c>
      <c r="B73" s="28">
        <f>C10</f>
        <v>2131846854</v>
      </c>
      <c r="C73" s="28" t="s">
        <v>465</v>
      </c>
      <c r="D73" s="41" t="str">
        <f>C16</f>
        <v>2131846279</v>
      </c>
      <c r="E73" s="31" t="s">
        <v>247</v>
      </c>
      <c r="F73" s="31" t="s">
        <v>260</v>
      </c>
      <c r="G73" s="31" t="s">
        <v>153</v>
      </c>
      <c r="H73" s="31" t="s">
        <v>261</v>
      </c>
      <c r="I73" s="31" t="s">
        <v>262</v>
      </c>
      <c r="J73" s="42" t="str">
        <f ca="1">TEXT(TODAY()-150,"MM-DD-YYYY")</f>
        <v>03-14-2023</v>
      </c>
      <c r="K73" s="42" t="str">
        <f ca="1">TEXT(TODAY()-121,"MM-DD-YYYY")</f>
        <v>04-12-2023</v>
      </c>
      <c r="L73" s="32" t="s">
        <v>168</v>
      </c>
      <c r="M73" s="32">
        <v>7</v>
      </c>
      <c r="N73" s="40"/>
    </row>
    <row r="74" spans="1:14" x14ac:dyDescent="0.35">
      <c r="A74" s="28" t="s">
        <v>463</v>
      </c>
      <c r="B74" s="41">
        <f>C10</f>
        <v>2131846854</v>
      </c>
      <c r="C74" s="28" t="s">
        <v>465</v>
      </c>
      <c r="D74" s="41" t="str">
        <f>C16</f>
        <v>2131846279</v>
      </c>
      <c r="E74" s="31" t="s">
        <v>247</v>
      </c>
      <c r="F74" s="31" t="s">
        <v>260</v>
      </c>
      <c r="G74" s="31" t="s">
        <v>153</v>
      </c>
      <c r="H74" s="31" t="s">
        <v>261</v>
      </c>
      <c r="I74" s="31" t="s">
        <v>267</v>
      </c>
      <c r="J74" s="42" t="str">
        <f ca="1">TEXT(TODAY()-180,"MM-DD-YYYY")</f>
        <v>02-12-2023</v>
      </c>
      <c r="K74" s="42" t="str">
        <f ca="1">TEXT(TODAY()-151,"MM-DD-YYYY")</f>
        <v>03-13-2023</v>
      </c>
      <c r="L74" s="32" t="s">
        <v>168</v>
      </c>
      <c r="M74" s="32">
        <v>10</v>
      </c>
      <c r="N74" s="40"/>
    </row>
    <row r="76" spans="1:14" ht="50.4" customHeight="1" x14ac:dyDescent="0.35">
      <c r="A76" s="183" t="s">
        <v>268</v>
      </c>
      <c r="B76" s="183"/>
      <c r="C76" s="183"/>
      <c r="D76" s="183"/>
      <c r="E76" s="183"/>
      <c r="F76" s="183"/>
      <c r="G76" s="183"/>
      <c r="H76" s="183"/>
      <c r="I76" s="183"/>
      <c r="J76" s="183"/>
      <c r="K76" s="183"/>
    </row>
    <row r="78" spans="1:14" ht="16.75" customHeight="1" x14ac:dyDescent="0.35">
      <c r="A78" s="184" t="s">
        <v>269</v>
      </c>
      <c r="B78" s="184"/>
      <c r="C78" s="184"/>
      <c r="D78" s="184"/>
    </row>
    <row r="79" spans="1:14" x14ac:dyDescent="0.35">
      <c r="A79" s="43" t="s">
        <v>270</v>
      </c>
      <c r="B79" s="43" t="s">
        <v>271</v>
      </c>
      <c r="C79" s="43" t="s">
        <v>130</v>
      </c>
      <c r="D79" s="43" t="s">
        <v>272</v>
      </c>
    </row>
    <row r="80" spans="1:14" x14ac:dyDescent="0.35">
      <c r="A80" s="32" t="s">
        <v>273</v>
      </c>
      <c r="B80" s="28">
        <v>2049157035</v>
      </c>
      <c r="C80" s="44" t="s">
        <v>274</v>
      </c>
      <c r="D80" s="28" t="s">
        <v>481</v>
      </c>
    </row>
    <row r="82" spans="1:78" x14ac:dyDescent="0.35">
      <c r="A82" s="45" t="s">
        <v>275</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276</v>
      </c>
      <c r="B83" s="47" t="s">
        <v>277</v>
      </c>
      <c r="C83" s="47" t="s">
        <v>278</v>
      </c>
      <c r="D83" s="47" t="s">
        <v>279</v>
      </c>
      <c r="E83" s="47" t="s">
        <v>280</v>
      </c>
      <c r="F83" s="47" t="s">
        <v>281</v>
      </c>
      <c r="G83" s="47" t="s">
        <v>282</v>
      </c>
      <c r="H83" s="47" t="s">
        <v>283</v>
      </c>
      <c r="I83" s="47" t="s">
        <v>284</v>
      </c>
      <c r="J83" s="47" t="s">
        <v>285</v>
      </c>
      <c r="K83" s="47" t="s">
        <v>286</v>
      </c>
      <c r="L83" s="47" t="s">
        <v>287</v>
      </c>
      <c r="M83" s="47" t="s">
        <v>288</v>
      </c>
      <c r="N83" s="47" t="s">
        <v>289</v>
      </c>
      <c r="O83" s="47" t="s">
        <v>290</v>
      </c>
      <c r="P83" s="47" t="s">
        <v>291</v>
      </c>
      <c r="Q83" s="47" t="s">
        <v>292</v>
      </c>
      <c r="R83" s="47" t="s">
        <v>293</v>
      </c>
      <c r="S83" s="48" t="s">
        <v>294</v>
      </c>
      <c r="T83" s="172" t="s">
        <v>295</v>
      </c>
      <c r="U83" s="173"/>
      <c r="V83" s="174"/>
      <c r="W83" s="172" t="s">
        <v>296</v>
      </c>
      <c r="X83" s="174"/>
      <c r="Y83" s="49"/>
      <c r="Z83" s="169" t="s">
        <v>297</v>
      </c>
      <c r="AA83" s="170"/>
      <c r="AB83" s="170"/>
      <c r="AC83" s="170"/>
      <c r="AD83" s="170"/>
      <c r="AE83" s="170"/>
      <c r="AF83" s="171"/>
      <c r="AG83" s="169" t="s">
        <v>298</v>
      </c>
      <c r="AH83" s="170"/>
      <c r="AI83" s="170"/>
      <c r="AJ83" s="170"/>
      <c r="AK83" s="170"/>
      <c r="AL83" s="171"/>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299</v>
      </c>
      <c r="U84" s="54" t="s">
        <v>300</v>
      </c>
      <c r="V84" s="54" t="s">
        <v>301</v>
      </c>
      <c r="W84" s="54" t="s">
        <v>302</v>
      </c>
      <c r="X84" s="54" t="s">
        <v>303</v>
      </c>
      <c r="Y84" s="54" t="s">
        <v>304</v>
      </c>
      <c r="Z84" s="54" t="s">
        <v>305</v>
      </c>
      <c r="AA84" s="54" t="s">
        <v>306</v>
      </c>
      <c r="AB84" s="54" t="s">
        <v>307</v>
      </c>
      <c r="AC84" s="54" t="s">
        <v>308</v>
      </c>
      <c r="AD84" s="54" t="s">
        <v>309</v>
      </c>
      <c r="AE84" s="54" t="s">
        <v>310</v>
      </c>
      <c r="AF84" s="54" t="s">
        <v>311</v>
      </c>
      <c r="AG84" s="54" t="s">
        <v>312</v>
      </c>
      <c r="AH84" s="54" t="s">
        <v>313</v>
      </c>
      <c r="AI84" s="54" t="s">
        <v>314</v>
      </c>
      <c r="AJ84" s="54" t="s">
        <v>315</v>
      </c>
      <c r="AK84" s="54" t="s">
        <v>316</v>
      </c>
      <c r="AL84" s="54" t="s">
        <v>317</v>
      </c>
      <c r="AM84" s="53" t="s">
        <v>318</v>
      </c>
      <c r="AN84" s="54" t="s">
        <v>319</v>
      </c>
      <c r="AO84" s="54" t="s">
        <v>320</v>
      </c>
      <c r="AP84" s="55" t="s">
        <v>321</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482</v>
      </c>
      <c r="B85" s="28" t="s">
        <v>483</v>
      </c>
      <c r="C85" s="56" t="s">
        <v>471</v>
      </c>
      <c r="D85" s="57" t="s">
        <v>342</v>
      </c>
      <c r="E85" s="41" t="s">
        <v>155</v>
      </c>
      <c r="F85" s="56" t="s">
        <v>322</v>
      </c>
      <c r="G85" s="58" t="str">
        <f ca="1">TEXT(TODAY(),"YYYY-MM-DD")</f>
        <v>2023-08-11</v>
      </c>
      <c r="H85" s="58" t="str">
        <f ca="1">TEXT(TODAY(),"YYYY-MM-DD")</f>
        <v>2023-08-11</v>
      </c>
      <c r="I85" s="56">
        <v>12</v>
      </c>
      <c r="J85" s="56">
        <v>12</v>
      </c>
      <c r="K85" s="56">
        <v>12</v>
      </c>
      <c r="L85" s="56" t="s">
        <v>472</v>
      </c>
      <c r="M85" s="56" t="s">
        <v>473</v>
      </c>
      <c r="N85" s="30" t="s">
        <v>324</v>
      </c>
      <c r="O85" s="30" t="s">
        <v>323</v>
      </c>
      <c r="P85" s="30" t="s">
        <v>324</v>
      </c>
      <c r="Q85" s="30" t="s">
        <v>324</v>
      </c>
      <c r="R85" s="30" t="s">
        <v>323</v>
      </c>
      <c r="S85" s="41"/>
      <c r="T85" s="41" t="s">
        <v>325</v>
      </c>
      <c r="U85" s="41" t="s">
        <v>326</v>
      </c>
      <c r="V85" s="41"/>
      <c r="W85" s="41" t="s">
        <v>327</v>
      </c>
      <c r="X85" s="41" t="s">
        <v>328</v>
      </c>
      <c r="Y85" s="41"/>
      <c r="Z85" s="41" t="s">
        <v>447</v>
      </c>
      <c r="AA85" s="41"/>
      <c r="AB85" s="41"/>
      <c r="AC85" s="41" t="s">
        <v>448</v>
      </c>
      <c r="AD85" s="41" t="s">
        <v>323</v>
      </c>
      <c r="AE85" s="41" t="s">
        <v>323</v>
      </c>
      <c r="AF85" s="41" t="s">
        <v>324</v>
      </c>
      <c r="AG85" s="41"/>
      <c r="AH85" s="41"/>
      <c r="AI85" s="41"/>
      <c r="AJ85" s="41" t="s">
        <v>324</v>
      </c>
      <c r="AK85" s="41" t="s">
        <v>324</v>
      </c>
      <c r="AL85" s="41" t="s">
        <v>324</v>
      </c>
      <c r="AM85" s="56"/>
      <c r="AN85" s="56">
        <v>21</v>
      </c>
      <c r="AO85" s="56">
        <v>22</v>
      </c>
      <c r="AP85" s="56">
        <v>5</v>
      </c>
      <c r="AS85" s="52"/>
      <c r="AT85" s="52"/>
      <c r="AU85" s="52"/>
      <c r="AV85" s="87"/>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row>
    <row r="87" spans="1:78" ht="18.5" x14ac:dyDescent="0.35">
      <c r="A87" s="60" t="s">
        <v>329</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173</v>
      </c>
      <c r="B88" s="24" t="s">
        <v>174</v>
      </c>
      <c r="C88" s="24" t="s">
        <v>175</v>
      </c>
      <c r="D88" s="24" t="s">
        <v>130</v>
      </c>
      <c r="E88" s="24" t="s">
        <v>4</v>
      </c>
      <c r="F88" s="24" t="s">
        <v>330</v>
      </c>
      <c r="G88" s="24" t="s">
        <v>331</v>
      </c>
      <c r="H88" s="24" t="s">
        <v>332</v>
      </c>
      <c r="I88" s="24" t="s">
        <v>333</v>
      </c>
      <c r="J88" s="24" t="s">
        <v>334</v>
      </c>
      <c r="K88" s="24" t="s">
        <v>335</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178</v>
      </c>
      <c r="B89" s="34" t="s">
        <v>179</v>
      </c>
      <c r="C89" s="34" t="str">
        <f ca="1">TEXT(TODAY(),"YYYY-MM-DD")</f>
        <v>2023-08-11</v>
      </c>
      <c r="D89" s="34" t="s">
        <v>153</v>
      </c>
      <c r="E89" s="34" t="s">
        <v>340</v>
      </c>
      <c r="F89" s="62" t="str">
        <f ca="1">TEXT(TODAY()+365,"YYYY-MM-DD")</f>
        <v>2024-08-10</v>
      </c>
      <c r="G89" s="58" t="s">
        <v>324</v>
      </c>
      <c r="H89" s="28">
        <f>B80</f>
        <v>2049157035</v>
      </c>
      <c r="I89" s="34" t="s">
        <v>336</v>
      </c>
      <c r="J89" s="34" t="s">
        <v>341</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338</v>
      </c>
      <c r="B90" s="34" t="s">
        <v>339</v>
      </c>
      <c r="C90" s="34" t="str">
        <f ca="1">TEXT(TODAY(),"YYYY-MM-DD")</f>
        <v>2023-08-11</v>
      </c>
      <c r="D90" s="34" t="s">
        <v>153</v>
      </c>
      <c r="E90" s="34" t="s">
        <v>177</v>
      </c>
      <c r="F90" s="62" t="str">
        <f ca="1">TEXT(TODAY()+365,"YYYY-MM-DD")</f>
        <v>2024-08-10</v>
      </c>
      <c r="G90" s="58" t="s">
        <v>324</v>
      </c>
      <c r="H90" s="28">
        <f>B80</f>
        <v>2049157035</v>
      </c>
      <c r="I90" s="34" t="s">
        <v>336</v>
      </c>
      <c r="J90" s="34" t="s">
        <v>337</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t="19" customHeight="1" x14ac:dyDescent="0.35">
      <c r="A91" s="52"/>
      <c r="B91" s="52"/>
      <c r="C91" s="52"/>
      <c r="D91" s="52"/>
      <c r="E91" s="52"/>
      <c r="F91" s="52"/>
      <c r="G91" s="52"/>
      <c r="H91" s="52"/>
      <c r="I91" s="52"/>
      <c r="J91" s="52"/>
      <c r="K91" s="52"/>
      <c r="L91" s="59"/>
      <c r="M91" s="59"/>
    </row>
    <row r="92" spans="1:78" x14ac:dyDescent="0.35">
      <c r="A92" s="162" t="s">
        <v>428</v>
      </c>
      <c r="B92" s="163"/>
      <c r="C92" s="163"/>
      <c r="D92" s="163"/>
      <c r="E92" s="163"/>
      <c r="F92" s="163"/>
      <c r="G92" s="163"/>
      <c r="H92" s="163"/>
      <c r="I92" s="163"/>
      <c r="J92" s="163"/>
      <c r="K92" s="163"/>
      <c r="L92" s="163"/>
      <c r="M92" s="163"/>
      <c r="N92" s="163"/>
      <c r="O92" s="163"/>
      <c r="P92" s="163"/>
      <c r="Q92" s="163"/>
      <c r="R92" s="163"/>
      <c r="S92" s="84"/>
      <c r="AE92" s="52"/>
      <c r="AF92" s="52"/>
      <c r="AG92" s="52"/>
    </row>
    <row r="93" spans="1:78" x14ac:dyDescent="0.35">
      <c r="A93" s="85" t="s">
        <v>391</v>
      </c>
      <c r="B93" s="85" t="s">
        <v>392</v>
      </c>
      <c r="C93" s="85" t="s">
        <v>393</v>
      </c>
      <c r="D93" s="88" t="s">
        <v>282</v>
      </c>
      <c r="E93" s="88" t="s">
        <v>294</v>
      </c>
      <c r="F93" s="88" t="s">
        <v>187</v>
      </c>
      <c r="G93" s="85" t="s">
        <v>394</v>
      </c>
      <c r="H93" s="89" t="s">
        <v>395</v>
      </c>
      <c r="I93" s="88" t="s">
        <v>166</v>
      </c>
      <c r="J93" s="88" t="s">
        <v>396</v>
      </c>
      <c r="K93" s="90" t="s">
        <v>351</v>
      </c>
      <c r="L93" s="88" t="s">
        <v>397</v>
      </c>
      <c r="M93" s="90" t="s">
        <v>352</v>
      </c>
      <c r="N93" s="88" t="s">
        <v>398</v>
      </c>
      <c r="O93" s="88" t="s">
        <v>399</v>
      </c>
      <c r="P93" s="88" t="s">
        <v>359</v>
      </c>
      <c r="Q93" s="88" t="s">
        <v>400</v>
      </c>
      <c r="R93" s="88" t="s">
        <v>401</v>
      </c>
      <c r="S93" s="86"/>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row>
    <row r="94" spans="1:78" x14ac:dyDescent="0.35">
      <c r="A94" s="91" t="s">
        <v>167</v>
      </c>
      <c r="B94" s="79"/>
      <c r="C94" s="92" t="s">
        <v>416</v>
      </c>
      <c r="D94" s="92"/>
      <c r="E94" s="92"/>
      <c r="F94" s="92">
        <v>21.33</v>
      </c>
      <c r="G94" s="92" t="str">
        <f>CONCATENATE("USD,FLAT ",TEXT(F94,"0.00"))</f>
        <v>USD,FLAT 21.33</v>
      </c>
      <c r="H94" s="94" t="str">
        <f>TEXT(21.33,"0.00")</f>
        <v>21.33</v>
      </c>
      <c r="I94" s="92" t="s">
        <v>168</v>
      </c>
      <c r="J94" s="118">
        <v>2</v>
      </c>
      <c r="K94" s="94" t="str">
        <f>TEXT(42.66,"0.00")</f>
        <v>42.66</v>
      </c>
      <c r="L94" s="92"/>
      <c r="M94" s="94" t="str">
        <f>TEXT(26,"0")</f>
        <v>26</v>
      </c>
      <c r="N94" s="92"/>
      <c r="O94" s="92" t="s">
        <v>414</v>
      </c>
      <c r="P94" s="92" t="s">
        <v>413</v>
      </c>
      <c r="Q94" s="92"/>
      <c r="R94" s="92"/>
      <c r="S94" s="95"/>
      <c r="U94" s="52"/>
      <c r="V94" s="52"/>
      <c r="W94" s="52"/>
      <c r="X94" s="52"/>
      <c r="Y94" s="52"/>
      <c r="Z94" s="52"/>
      <c r="AA94" s="52"/>
      <c r="AB94" s="52"/>
      <c r="AC94" s="52"/>
      <c r="AD94" s="52"/>
      <c r="AE94" s="52"/>
      <c r="AF94" s="52"/>
      <c r="AG94" s="52"/>
      <c r="AH94" s="52"/>
      <c r="AI94" s="52"/>
      <c r="AJ94" s="52"/>
      <c r="AK94" s="52"/>
      <c r="AL94" s="52"/>
      <c r="AN94" s="52"/>
      <c r="AO94" s="52"/>
      <c r="AP94" s="52"/>
      <c r="AQ94" s="52"/>
      <c r="AR94" s="52"/>
    </row>
    <row r="95" spans="1:78" x14ac:dyDescent="0.35">
      <c r="A95" s="79"/>
      <c r="B95" s="79"/>
      <c r="C95" s="96" t="s">
        <v>429</v>
      </c>
      <c r="D95" s="96"/>
      <c r="E95" s="96"/>
      <c r="F95" s="96"/>
      <c r="G95" s="96"/>
      <c r="H95" s="113"/>
      <c r="I95" s="96"/>
      <c r="J95" s="119"/>
      <c r="K95" s="97"/>
      <c r="L95" s="96"/>
      <c r="M95" s="98"/>
      <c r="N95" s="96"/>
      <c r="O95" s="96"/>
      <c r="P95" s="96"/>
      <c r="Q95" s="96"/>
      <c r="R95" s="96"/>
      <c r="S95" s="99"/>
      <c r="U95" s="52"/>
      <c r="V95" s="52"/>
      <c r="W95" s="52"/>
      <c r="X95" s="52"/>
      <c r="Y95" s="52"/>
      <c r="Z95" s="52"/>
      <c r="AA95" s="52"/>
      <c r="AB95" s="52"/>
      <c r="AC95" s="52"/>
      <c r="AD95" s="52"/>
      <c r="AE95" s="52"/>
      <c r="AF95" s="52"/>
      <c r="AG95" s="52"/>
      <c r="AH95" s="52"/>
      <c r="AI95" s="52"/>
      <c r="AJ95" s="52"/>
      <c r="AK95" s="52"/>
      <c r="AL95" s="52"/>
      <c r="AN95" s="52"/>
      <c r="AO95" s="52"/>
      <c r="AP95" s="52"/>
      <c r="AQ95" s="52"/>
      <c r="AR95" s="52"/>
    </row>
    <row r="96" spans="1:78" x14ac:dyDescent="0.35">
      <c r="A96" s="79"/>
      <c r="B96" s="79"/>
      <c r="C96" s="82" t="s">
        <v>415</v>
      </c>
      <c r="D96" s="82"/>
      <c r="E96" s="82"/>
      <c r="F96" s="82"/>
      <c r="G96" s="82"/>
      <c r="H96" s="82"/>
      <c r="I96" s="82"/>
      <c r="J96" s="82"/>
      <c r="K96" s="100"/>
      <c r="L96" s="82"/>
      <c r="M96" s="101"/>
      <c r="N96" s="82"/>
      <c r="O96" s="82"/>
      <c r="P96" s="82"/>
      <c r="Q96" s="82"/>
      <c r="R96" s="82"/>
      <c r="S96" s="102"/>
    </row>
    <row r="97" spans="1:19" x14ac:dyDescent="0.35">
      <c r="A97" s="79"/>
      <c r="B97" s="79"/>
      <c r="C97" s="103" t="s">
        <v>430</v>
      </c>
      <c r="D97" s="103"/>
      <c r="E97" s="103"/>
      <c r="F97" s="103"/>
      <c r="G97" s="103"/>
      <c r="H97" s="103"/>
      <c r="I97" s="103"/>
      <c r="J97" s="103"/>
      <c r="K97" s="104"/>
      <c r="L97" s="103"/>
      <c r="M97" s="105"/>
      <c r="N97" s="103"/>
      <c r="O97" s="103"/>
      <c r="P97" s="103"/>
      <c r="Q97" s="103"/>
      <c r="R97" s="103"/>
      <c r="S97" s="106"/>
    </row>
    <row r="98" spans="1:19" x14ac:dyDescent="0.35">
      <c r="A98" s="91" t="s">
        <v>169</v>
      </c>
      <c r="B98" s="79"/>
      <c r="C98" s="92" t="s">
        <v>416</v>
      </c>
      <c r="D98" s="92"/>
      <c r="E98" s="92"/>
      <c r="F98" s="92">
        <v>25</v>
      </c>
      <c r="G98" s="92" t="str">
        <f>CONCATENATE("USD,FLAT ",TEXT(F98,"0.00"))</f>
        <v>USD,FLAT 25.00</v>
      </c>
      <c r="H98" s="94" t="str">
        <f>TEXT(25,"0")</f>
        <v>25</v>
      </c>
      <c r="I98" s="92" t="s">
        <v>168</v>
      </c>
      <c r="J98" s="118">
        <v>2</v>
      </c>
      <c r="K98" s="94" t="str">
        <f>TEXT(50,"0")</f>
        <v>50</v>
      </c>
      <c r="L98" s="92"/>
      <c r="M98" s="94" t="str">
        <f>TEXT(26,"0")</f>
        <v>26</v>
      </c>
      <c r="N98" s="92" t="s">
        <v>339</v>
      </c>
      <c r="O98" s="92" t="s">
        <v>418</v>
      </c>
      <c r="P98" s="92" t="s">
        <v>413</v>
      </c>
      <c r="Q98" s="92"/>
      <c r="R98" s="92"/>
      <c r="S98" s="95"/>
    </row>
    <row r="99" spans="1:19" x14ac:dyDescent="0.35">
      <c r="A99" s="79"/>
      <c r="B99" s="79"/>
      <c r="C99" s="96" t="s">
        <v>429</v>
      </c>
      <c r="D99" s="96"/>
      <c r="E99" s="96"/>
      <c r="F99" s="96"/>
      <c r="G99" s="96"/>
      <c r="H99" s="113"/>
      <c r="I99" s="96"/>
      <c r="J99" s="119"/>
      <c r="K99" s="97"/>
      <c r="L99" s="96"/>
      <c r="M99" s="98"/>
      <c r="N99" s="96"/>
      <c r="O99" s="96"/>
      <c r="P99" s="96"/>
      <c r="Q99" s="96"/>
      <c r="R99" s="96"/>
      <c r="S99" s="99"/>
    </row>
    <row r="100" spans="1:19" x14ac:dyDescent="0.35">
      <c r="A100" s="79"/>
      <c r="B100" s="79"/>
      <c r="C100" s="82" t="s">
        <v>415</v>
      </c>
      <c r="D100" s="82"/>
      <c r="E100" s="82"/>
      <c r="F100" s="82"/>
      <c r="G100" s="82"/>
      <c r="H100" s="82"/>
      <c r="I100" s="82"/>
      <c r="J100" s="82"/>
      <c r="K100" s="100"/>
      <c r="L100" s="82"/>
      <c r="M100" s="101"/>
      <c r="N100" s="82"/>
      <c r="O100" s="82"/>
      <c r="P100" s="82"/>
      <c r="Q100" s="82"/>
      <c r="R100" s="82"/>
      <c r="S100" s="102"/>
    </row>
    <row r="101" spans="1:19" x14ac:dyDescent="0.35">
      <c r="A101" s="79"/>
      <c r="B101" s="79"/>
      <c r="C101" s="103" t="s">
        <v>430</v>
      </c>
      <c r="D101" s="103"/>
      <c r="E101" s="103"/>
      <c r="F101" s="103"/>
      <c r="G101" s="103"/>
      <c r="H101" s="103"/>
      <c r="I101" s="103"/>
      <c r="J101" s="103"/>
      <c r="K101" s="104"/>
      <c r="L101" s="103"/>
      <c r="M101" s="105"/>
      <c r="N101" s="103"/>
      <c r="O101" s="103"/>
      <c r="P101" s="103"/>
      <c r="Q101" s="103"/>
      <c r="R101" s="103"/>
      <c r="S101" s="106"/>
    </row>
    <row r="102" spans="1:19" x14ac:dyDescent="0.35">
      <c r="A102" s="91" t="s">
        <v>170</v>
      </c>
      <c r="B102" s="79"/>
      <c r="C102" s="92" t="s">
        <v>416</v>
      </c>
      <c r="D102" s="92"/>
      <c r="E102" s="92"/>
      <c r="F102" s="92">
        <v>23</v>
      </c>
      <c r="G102" s="92" t="str">
        <f>CONCATENATE("USD,FLAT ",TEXT(F102,"0.00"))</f>
        <v>USD,FLAT 23.00</v>
      </c>
      <c r="H102" s="94" t="str">
        <f>TEXT(25,"0")</f>
        <v>25</v>
      </c>
      <c r="I102" s="92" t="s">
        <v>168</v>
      </c>
      <c r="J102" s="118">
        <v>2</v>
      </c>
      <c r="K102" s="94" t="str">
        <f>TEXT(50,"0")</f>
        <v>50</v>
      </c>
      <c r="L102" s="92"/>
      <c r="M102" s="94" t="str">
        <f>TEXT(26,"0")</f>
        <v>26</v>
      </c>
      <c r="N102" s="92" t="s">
        <v>339</v>
      </c>
      <c r="O102" s="92" t="s">
        <v>418</v>
      </c>
      <c r="P102" s="92" t="s">
        <v>413</v>
      </c>
      <c r="Q102" s="92"/>
      <c r="R102" s="92"/>
      <c r="S102" s="95"/>
    </row>
    <row r="103" spans="1:19" x14ac:dyDescent="0.35">
      <c r="A103" s="79"/>
      <c r="B103" s="79"/>
      <c r="C103" s="96" t="s">
        <v>429</v>
      </c>
      <c r="D103" s="96"/>
      <c r="E103" s="96"/>
      <c r="F103" s="96"/>
      <c r="G103" s="96"/>
      <c r="H103" s="113"/>
      <c r="I103" s="96"/>
      <c r="J103" s="119"/>
      <c r="K103" s="97"/>
      <c r="L103" s="96"/>
      <c r="M103" s="98"/>
      <c r="N103" s="96"/>
      <c r="O103" s="96"/>
      <c r="P103" s="96"/>
      <c r="Q103" s="96"/>
      <c r="R103" s="96"/>
      <c r="S103" s="99"/>
    </row>
    <row r="104" spans="1:19" x14ac:dyDescent="0.35">
      <c r="A104" s="79"/>
      <c r="B104" s="79"/>
      <c r="C104" s="82" t="s">
        <v>415</v>
      </c>
      <c r="D104" s="82"/>
      <c r="E104" s="82"/>
      <c r="F104" s="82"/>
      <c r="G104" s="82"/>
      <c r="H104" s="82"/>
      <c r="I104" s="82"/>
      <c r="J104" s="82"/>
      <c r="K104" s="100"/>
      <c r="L104" s="82"/>
      <c r="M104" s="101"/>
      <c r="N104" s="82"/>
      <c r="O104" s="82"/>
      <c r="P104" s="82"/>
      <c r="Q104" s="82"/>
      <c r="R104" s="82"/>
      <c r="S104" s="102"/>
    </row>
    <row r="105" spans="1:19" x14ac:dyDescent="0.35">
      <c r="A105" s="79"/>
      <c r="B105" s="79"/>
      <c r="C105" s="103" t="s">
        <v>430</v>
      </c>
      <c r="D105" s="103"/>
      <c r="E105" s="103"/>
      <c r="F105" s="103"/>
      <c r="G105" s="103"/>
      <c r="H105" s="103"/>
      <c r="I105" s="103"/>
      <c r="J105" s="103"/>
      <c r="K105" s="104"/>
      <c r="L105" s="103"/>
      <c r="M105" s="105"/>
      <c r="N105" s="103"/>
      <c r="O105" s="103"/>
      <c r="P105" s="103"/>
      <c r="Q105" s="103"/>
      <c r="R105" s="103"/>
      <c r="S105" s="106"/>
    </row>
    <row r="106" spans="1:19" x14ac:dyDescent="0.35">
      <c r="A106" s="91" t="s">
        <v>171</v>
      </c>
      <c r="B106" s="79"/>
      <c r="C106" s="92" t="s">
        <v>416</v>
      </c>
      <c r="D106" s="92"/>
      <c r="E106" s="92"/>
      <c r="F106" s="92">
        <v>25</v>
      </c>
      <c r="G106" s="92" t="str">
        <f>CONCATENATE("USD,FLAT ",TEXT(F106,"0.00"))</f>
        <v>USD,FLAT 25.00</v>
      </c>
      <c r="H106" s="94" t="str">
        <f>TEXT(25,"0")</f>
        <v>25</v>
      </c>
      <c r="I106" s="92" t="s">
        <v>168</v>
      </c>
      <c r="J106" s="118" t="str">
        <f>TEXT(66,"0")</f>
        <v>66</v>
      </c>
      <c r="K106" s="94" t="str">
        <f>TEXT(1650,"0")</f>
        <v>1650</v>
      </c>
      <c r="L106" s="92"/>
      <c r="M106" s="94" t="str">
        <f>TEXT(218,"0")</f>
        <v>218</v>
      </c>
      <c r="N106" s="92" t="s">
        <v>339</v>
      </c>
      <c r="O106" s="92" t="s">
        <v>418</v>
      </c>
      <c r="P106" s="92" t="s">
        <v>413</v>
      </c>
      <c r="Q106" s="92"/>
      <c r="R106" s="92"/>
      <c r="S106" s="95"/>
    </row>
    <row r="107" spans="1:19" x14ac:dyDescent="0.35">
      <c r="A107" s="79"/>
      <c r="B107" s="79"/>
      <c r="C107" s="96" t="s">
        <v>429</v>
      </c>
      <c r="D107" s="96"/>
      <c r="E107" s="96"/>
      <c r="F107" s="96"/>
      <c r="G107" s="96"/>
      <c r="H107" s="113"/>
      <c r="I107" s="96"/>
      <c r="J107" s="119"/>
      <c r="K107" s="97"/>
      <c r="L107" s="96"/>
      <c r="M107" s="97"/>
      <c r="N107" s="96"/>
      <c r="O107" s="96"/>
      <c r="P107" s="96"/>
      <c r="Q107" s="96"/>
      <c r="R107" s="96"/>
      <c r="S107" s="99"/>
    </row>
    <row r="108" spans="1:19" x14ac:dyDescent="0.35">
      <c r="A108" s="79"/>
      <c r="B108" s="79"/>
      <c r="C108" s="82" t="s">
        <v>415</v>
      </c>
      <c r="D108" s="82"/>
      <c r="E108" s="82"/>
      <c r="F108" s="82"/>
      <c r="G108" s="82"/>
      <c r="H108" s="82"/>
      <c r="I108" s="82"/>
      <c r="J108" s="82"/>
      <c r="K108" s="100"/>
      <c r="L108" s="82"/>
      <c r="M108" s="100"/>
      <c r="N108" s="82"/>
      <c r="O108" s="82"/>
      <c r="P108" s="82"/>
      <c r="Q108" s="82"/>
      <c r="R108" s="82"/>
      <c r="S108" s="102"/>
    </row>
    <row r="109" spans="1:19" x14ac:dyDescent="0.35">
      <c r="A109" s="79"/>
      <c r="B109" s="79"/>
      <c r="C109" s="103" t="s">
        <v>430</v>
      </c>
      <c r="D109" s="103"/>
      <c r="E109" s="103"/>
      <c r="F109" s="103"/>
      <c r="G109" s="103"/>
      <c r="H109" s="103"/>
      <c r="I109" s="103"/>
      <c r="J109" s="103"/>
      <c r="K109" s="104"/>
      <c r="L109" s="103"/>
      <c r="M109" s="104"/>
      <c r="N109" s="103"/>
      <c r="O109" s="103"/>
      <c r="P109" s="103"/>
      <c r="Q109" s="103"/>
      <c r="R109" s="103"/>
      <c r="S109" s="106"/>
    </row>
    <row r="110" spans="1:19" x14ac:dyDescent="0.35">
      <c r="A110" s="107" t="s">
        <v>431</v>
      </c>
      <c r="B110" s="107"/>
      <c r="C110" s="107" t="s">
        <v>416</v>
      </c>
      <c r="D110" s="107"/>
      <c r="E110" s="107"/>
      <c r="F110" s="107"/>
      <c r="G110" s="107"/>
      <c r="H110" s="107"/>
      <c r="I110" s="107"/>
      <c r="J110" s="120"/>
      <c r="K110" s="108"/>
      <c r="L110" s="107"/>
      <c r="M110" s="108"/>
      <c r="N110" s="107"/>
      <c r="O110" s="107"/>
      <c r="P110" s="107"/>
      <c r="Q110" s="107"/>
      <c r="R110" s="107"/>
      <c r="S110" s="109"/>
    </row>
    <row r="111" spans="1:19" x14ac:dyDescent="0.35">
      <c r="A111" s="107" t="s">
        <v>431</v>
      </c>
      <c r="B111" s="107"/>
      <c r="C111" s="107" t="s">
        <v>429</v>
      </c>
      <c r="D111" s="107"/>
      <c r="E111" s="107"/>
      <c r="F111" s="107"/>
      <c r="G111" s="107"/>
      <c r="H111" s="107"/>
      <c r="I111" s="107"/>
      <c r="J111" s="120"/>
      <c r="K111" s="108"/>
      <c r="L111" s="107"/>
      <c r="M111" s="108"/>
      <c r="N111" s="107"/>
      <c r="O111" s="107"/>
      <c r="P111" s="107"/>
      <c r="Q111" s="107"/>
      <c r="R111" s="107"/>
      <c r="S111" s="109"/>
    </row>
    <row r="112" spans="1:19" x14ac:dyDescent="0.35">
      <c r="A112" s="110" t="s">
        <v>432</v>
      </c>
      <c r="B112" s="110"/>
      <c r="C112" s="110" t="s">
        <v>416</v>
      </c>
      <c r="D112" s="110"/>
      <c r="E112" s="110"/>
      <c r="F112" s="110"/>
      <c r="G112" s="110"/>
      <c r="H112" s="110"/>
      <c r="I112" s="110"/>
      <c r="J112" s="121"/>
      <c r="K112" s="111"/>
      <c r="L112" s="110"/>
      <c r="M112" s="111"/>
      <c r="N112" s="110"/>
      <c r="O112" s="110"/>
      <c r="P112" s="110"/>
      <c r="Q112" s="110"/>
      <c r="R112" s="110"/>
      <c r="S112" s="112"/>
    </row>
    <row r="113" spans="1:19" x14ac:dyDescent="0.35">
      <c r="A113" s="110" t="s">
        <v>432</v>
      </c>
      <c r="B113" s="110"/>
      <c r="C113" s="110" t="s">
        <v>429</v>
      </c>
      <c r="D113" s="110"/>
      <c r="E113" s="110"/>
      <c r="F113" s="110"/>
      <c r="G113" s="110"/>
      <c r="H113" s="110"/>
      <c r="I113" s="110"/>
      <c r="J113" s="121"/>
      <c r="K113" s="111"/>
      <c r="L113" s="110"/>
      <c r="M113" s="111"/>
      <c r="N113" s="110"/>
      <c r="O113" s="110"/>
      <c r="P113" s="110"/>
      <c r="Q113" s="110"/>
      <c r="R113" s="110"/>
      <c r="S113" s="112"/>
    </row>
    <row r="114" spans="1:19" x14ac:dyDescent="0.35">
      <c r="A114" s="91" t="s">
        <v>194</v>
      </c>
      <c r="B114" s="79"/>
      <c r="C114" s="92" t="s">
        <v>416</v>
      </c>
      <c r="D114" s="92"/>
      <c r="E114" s="92"/>
      <c r="F114" s="122">
        <v>0.25</v>
      </c>
      <c r="G114" s="92" t="str">
        <f>CONCATENATE("USD,FLAT ",TEXT(F114,"0.00"))</f>
        <v>USD,FLAT 0.25</v>
      </c>
      <c r="H114" s="92">
        <v>0.25</v>
      </c>
      <c r="I114" s="92" t="s">
        <v>168</v>
      </c>
      <c r="J114" s="118">
        <v>2</v>
      </c>
      <c r="K114" s="94" t="str">
        <f>TEXT(0.5,"0.0")</f>
        <v>0.5</v>
      </c>
      <c r="L114" s="92"/>
      <c r="M114" s="94" t="str">
        <f>TEXT(26,"0")</f>
        <v>26</v>
      </c>
      <c r="N114" s="92" t="s">
        <v>179</v>
      </c>
      <c r="O114" s="92" t="s">
        <v>418</v>
      </c>
      <c r="P114" s="92" t="s">
        <v>433</v>
      </c>
      <c r="Q114" s="92"/>
      <c r="R114" s="92"/>
      <c r="S114" s="95"/>
    </row>
    <row r="115" spans="1:19" x14ac:dyDescent="0.35">
      <c r="A115" s="79"/>
      <c r="B115" s="79"/>
      <c r="C115" s="96" t="s">
        <v>429</v>
      </c>
      <c r="D115" s="96"/>
      <c r="E115" s="96"/>
      <c r="F115" s="96"/>
      <c r="G115" s="96"/>
      <c r="H115" s="96"/>
      <c r="I115" s="113"/>
      <c r="J115" s="119"/>
      <c r="K115" s="97"/>
      <c r="L115" s="96"/>
      <c r="M115" s="98"/>
      <c r="N115" s="96"/>
      <c r="O115" s="96"/>
      <c r="P115" s="96"/>
      <c r="Q115" s="96"/>
      <c r="R115" s="96"/>
      <c r="S115" s="99"/>
    </row>
    <row r="116" spans="1:19" x14ac:dyDescent="0.35">
      <c r="A116" s="79"/>
      <c r="B116" s="79"/>
      <c r="C116" s="82" t="s">
        <v>415</v>
      </c>
      <c r="D116" s="82"/>
      <c r="E116" s="82"/>
      <c r="F116" s="82"/>
      <c r="G116" s="82"/>
      <c r="H116" s="82"/>
      <c r="I116" s="82"/>
      <c r="J116" s="82"/>
      <c r="K116" s="100"/>
      <c r="L116" s="82"/>
      <c r="M116" s="101"/>
      <c r="N116" s="82"/>
      <c r="O116" s="82"/>
      <c r="P116" s="82"/>
      <c r="Q116" s="82"/>
      <c r="R116" s="82"/>
      <c r="S116" s="102"/>
    </row>
    <row r="117" spans="1:19" x14ac:dyDescent="0.35">
      <c r="A117" s="79"/>
      <c r="B117" s="79"/>
      <c r="C117" s="103" t="s">
        <v>430</v>
      </c>
      <c r="D117" s="103"/>
      <c r="E117" s="103"/>
      <c r="F117" s="103"/>
      <c r="G117" s="103"/>
      <c r="H117" s="103"/>
      <c r="I117" s="103"/>
      <c r="J117" s="103"/>
      <c r="K117" s="104"/>
      <c r="L117" s="103"/>
      <c r="M117" s="105"/>
      <c r="N117" s="103"/>
      <c r="O117" s="103"/>
      <c r="P117" s="103"/>
      <c r="Q117" s="103"/>
      <c r="R117" s="103"/>
      <c r="S117" s="106"/>
    </row>
    <row r="118" spans="1:19" x14ac:dyDescent="0.35">
      <c r="A118" s="91" t="s">
        <v>200</v>
      </c>
      <c r="B118" s="79"/>
      <c r="C118" s="92" t="s">
        <v>416</v>
      </c>
      <c r="D118" s="92"/>
      <c r="E118" s="92"/>
      <c r="F118" s="122">
        <v>112.04</v>
      </c>
      <c r="G118" s="92" t="str">
        <f>CONCATENATE("USD,FLAT ",TEXT(F118,"0.00"))</f>
        <v>USD,FLAT 112.04</v>
      </c>
      <c r="H118" s="92" t="str">
        <f>TEXT(112.04,"0.00")</f>
        <v>112.04</v>
      </c>
      <c r="I118" s="92" t="s">
        <v>168</v>
      </c>
      <c r="J118" s="118">
        <v>2</v>
      </c>
      <c r="K118" s="94" t="str">
        <f>TEXT(224.08,"0.00")</f>
        <v>224.08</v>
      </c>
      <c r="L118" s="92"/>
      <c r="M118" s="94" t="str">
        <f>TEXT(26,"0")</f>
        <v>26</v>
      </c>
      <c r="N118" s="92" t="s">
        <v>179</v>
      </c>
      <c r="O118" s="92" t="s">
        <v>418</v>
      </c>
      <c r="P118" s="92" t="s">
        <v>433</v>
      </c>
      <c r="Q118" s="92"/>
      <c r="R118" s="92"/>
      <c r="S118" s="95"/>
    </row>
    <row r="119" spans="1:19" x14ac:dyDescent="0.35">
      <c r="A119" s="79"/>
      <c r="B119" s="79"/>
      <c r="C119" s="96" t="s">
        <v>429</v>
      </c>
      <c r="D119" s="96"/>
      <c r="E119" s="96"/>
      <c r="F119" s="96"/>
      <c r="G119" s="96"/>
      <c r="H119" s="96"/>
      <c r="I119" s="113"/>
      <c r="J119" s="119"/>
      <c r="K119" s="97"/>
      <c r="L119" s="96"/>
      <c r="M119" s="97"/>
      <c r="N119" s="96"/>
      <c r="O119" s="96"/>
      <c r="P119" s="96"/>
      <c r="Q119" s="96"/>
      <c r="R119" s="96"/>
      <c r="S119" s="99"/>
    </row>
    <row r="120" spans="1:19" x14ac:dyDescent="0.35">
      <c r="A120" s="79"/>
      <c r="B120" s="79"/>
      <c r="C120" s="82" t="s">
        <v>415</v>
      </c>
      <c r="D120" s="82"/>
      <c r="E120" s="82"/>
      <c r="F120" s="82"/>
      <c r="G120" s="82"/>
      <c r="H120" s="82"/>
      <c r="I120" s="82"/>
      <c r="J120" s="82"/>
      <c r="K120" s="100"/>
      <c r="L120" s="82"/>
      <c r="M120" s="100"/>
      <c r="N120" s="82"/>
      <c r="O120" s="82"/>
      <c r="P120" s="82"/>
      <c r="Q120" s="82"/>
      <c r="R120" s="82"/>
      <c r="S120" s="102"/>
    </row>
    <row r="121" spans="1:19" x14ac:dyDescent="0.35">
      <c r="A121" s="79"/>
      <c r="B121" s="79"/>
      <c r="C121" s="103" t="s">
        <v>430</v>
      </c>
      <c r="D121" s="103"/>
      <c r="E121" s="103"/>
      <c r="F121" s="103"/>
      <c r="G121" s="103"/>
      <c r="H121" s="103"/>
      <c r="I121" s="103"/>
      <c r="J121" s="103"/>
      <c r="K121" s="104"/>
      <c r="L121" s="103"/>
      <c r="M121" s="104"/>
      <c r="N121" s="103"/>
      <c r="O121" s="103"/>
      <c r="P121" s="103"/>
      <c r="Q121" s="103"/>
      <c r="R121" s="103"/>
      <c r="S121" s="106"/>
    </row>
    <row r="122" spans="1:19" x14ac:dyDescent="0.35">
      <c r="A122" s="91" t="s">
        <v>203</v>
      </c>
      <c r="B122" s="79"/>
      <c r="C122" s="92" t="s">
        <v>416</v>
      </c>
      <c r="D122" s="92"/>
      <c r="E122" s="92"/>
      <c r="F122" s="122">
        <v>276.25</v>
      </c>
      <c r="G122" s="92" t="str">
        <f>CONCATENATE("USD,FLAT ",TEXT(F122,"0.00"))</f>
        <v>USD,FLAT 276.25</v>
      </c>
      <c r="H122" s="92" t="str">
        <f>TEXT(276.25,"0.00")</f>
        <v>276.25</v>
      </c>
      <c r="I122" s="92" t="s">
        <v>168</v>
      </c>
      <c r="J122" s="118"/>
      <c r="K122" s="94" t="str">
        <f>TEXT(13812.5,"0.0")</f>
        <v>13812.5</v>
      </c>
      <c r="L122" s="92"/>
      <c r="M122" s="93">
        <v>0</v>
      </c>
      <c r="N122" s="92" t="s">
        <v>179</v>
      </c>
      <c r="O122" s="92" t="s">
        <v>418</v>
      </c>
      <c r="P122" s="92" t="s">
        <v>413</v>
      </c>
      <c r="Q122" s="92"/>
      <c r="R122" s="92"/>
      <c r="S122" s="95"/>
    </row>
    <row r="123" spans="1:19" x14ac:dyDescent="0.35">
      <c r="A123" s="79"/>
      <c r="B123" s="79"/>
      <c r="C123" s="96" t="s">
        <v>429</v>
      </c>
      <c r="D123" s="96"/>
      <c r="E123" s="96"/>
      <c r="F123" s="96"/>
      <c r="G123" s="96"/>
      <c r="H123" s="96"/>
      <c r="I123" s="113"/>
      <c r="J123" s="119"/>
      <c r="K123" s="97"/>
      <c r="L123" s="113"/>
      <c r="M123" s="97"/>
      <c r="N123" s="96"/>
      <c r="O123" s="96"/>
      <c r="P123" s="96"/>
      <c r="Q123" s="96"/>
      <c r="R123" s="96"/>
      <c r="S123" s="99"/>
    </row>
    <row r="124" spans="1:19" x14ac:dyDescent="0.35">
      <c r="A124" s="79"/>
      <c r="B124" s="79"/>
      <c r="C124" s="82" t="s">
        <v>415</v>
      </c>
      <c r="D124" s="82"/>
      <c r="E124" s="82"/>
      <c r="F124" s="82"/>
      <c r="G124" s="82"/>
      <c r="H124" s="82"/>
      <c r="I124" s="82"/>
      <c r="J124" s="82"/>
      <c r="K124" s="93"/>
      <c r="L124" s="82"/>
      <c r="M124" s="100"/>
      <c r="N124" s="82"/>
      <c r="O124" s="82"/>
      <c r="P124" s="82"/>
      <c r="Q124" s="92"/>
      <c r="R124" s="82"/>
      <c r="S124" s="102"/>
    </row>
    <row r="125" spans="1:19" x14ac:dyDescent="0.35">
      <c r="A125" s="79"/>
      <c r="B125" s="79"/>
      <c r="C125" s="103" t="s">
        <v>430</v>
      </c>
      <c r="D125" s="103"/>
      <c r="E125" s="103"/>
      <c r="F125" s="103"/>
      <c r="G125" s="103"/>
      <c r="H125" s="103"/>
      <c r="I125" s="103"/>
      <c r="J125" s="103"/>
      <c r="K125" s="104"/>
      <c r="L125" s="103"/>
      <c r="M125" s="104"/>
      <c r="N125" s="103"/>
      <c r="O125" s="103"/>
      <c r="P125" s="103"/>
      <c r="Q125" s="103"/>
      <c r="R125" s="103"/>
      <c r="S125" s="106"/>
    </row>
    <row r="126" spans="1:19" x14ac:dyDescent="0.35">
      <c r="A126" s="91" t="s">
        <v>206</v>
      </c>
      <c r="B126" s="79"/>
      <c r="C126" s="92" t="s">
        <v>416</v>
      </c>
      <c r="D126" s="92"/>
      <c r="E126" s="92"/>
      <c r="F126" s="122">
        <v>112.04</v>
      </c>
      <c r="G126" s="92" t="str">
        <f>CONCATENATE("USD,FLAT ",TEXT(F126,"0.00"))</f>
        <v>USD,FLAT 112.04</v>
      </c>
      <c r="H126" s="92" t="str">
        <f>TEXT(112.04,"0.00")</f>
        <v>112.04</v>
      </c>
      <c r="I126" s="92" t="s">
        <v>168</v>
      </c>
      <c r="J126" s="118"/>
      <c r="K126" s="94" t="str">
        <f>TEXT(5602,"0")</f>
        <v>5602</v>
      </c>
      <c r="L126" s="92"/>
      <c r="M126" s="93">
        <v>0</v>
      </c>
      <c r="N126" s="92" t="s">
        <v>179</v>
      </c>
      <c r="O126" s="92" t="s">
        <v>418</v>
      </c>
      <c r="P126" s="92" t="s">
        <v>413</v>
      </c>
      <c r="Q126" s="92"/>
      <c r="R126" s="92"/>
      <c r="S126" s="95"/>
    </row>
    <row r="127" spans="1:19" x14ac:dyDescent="0.35">
      <c r="A127" s="79"/>
      <c r="B127" s="79"/>
      <c r="C127" s="96" t="s">
        <v>429</v>
      </c>
      <c r="D127" s="96"/>
      <c r="E127" s="96"/>
      <c r="F127" s="96"/>
      <c r="G127" s="96"/>
      <c r="H127" s="96"/>
      <c r="I127" s="113"/>
      <c r="J127" s="113"/>
      <c r="K127" s="97"/>
      <c r="L127" s="113"/>
      <c r="M127" s="97"/>
      <c r="N127" s="96"/>
      <c r="O127" s="96"/>
      <c r="P127" s="96"/>
      <c r="Q127" s="96"/>
      <c r="R127" s="96"/>
      <c r="S127" s="99"/>
    </row>
    <row r="128" spans="1:19" x14ac:dyDescent="0.35">
      <c r="A128" s="79"/>
      <c r="B128" s="79"/>
      <c r="C128" s="82" t="s">
        <v>415</v>
      </c>
      <c r="D128" s="82"/>
      <c r="E128" s="82"/>
      <c r="F128" s="82"/>
      <c r="G128" s="82"/>
      <c r="H128" s="82"/>
      <c r="I128" s="82"/>
      <c r="J128" s="82"/>
      <c r="K128" s="100"/>
      <c r="L128" s="82"/>
      <c r="M128" s="100"/>
      <c r="N128" s="82"/>
      <c r="O128" s="82"/>
      <c r="P128" s="82"/>
      <c r="Q128" s="82"/>
      <c r="R128" s="82"/>
      <c r="S128" s="102"/>
    </row>
    <row r="129" spans="1:19" x14ac:dyDescent="0.35">
      <c r="A129" s="79"/>
      <c r="B129" s="79"/>
      <c r="C129" s="103" t="s">
        <v>430</v>
      </c>
      <c r="D129" s="103"/>
      <c r="E129" s="103"/>
      <c r="F129" s="103"/>
      <c r="G129" s="103"/>
      <c r="H129" s="103"/>
      <c r="I129" s="103"/>
      <c r="J129" s="103"/>
      <c r="K129" s="104"/>
      <c r="L129" s="103"/>
      <c r="M129" s="104"/>
      <c r="N129" s="103"/>
      <c r="O129" s="103"/>
      <c r="P129" s="103"/>
      <c r="Q129" s="103"/>
      <c r="R129" s="103"/>
      <c r="S129" s="106"/>
    </row>
    <row r="130" spans="1:19" x14ac:dyDescent="0.35">
      <c r="A130" s="110" t="s">
        <v>434</v>
      </c>
      <c r="B130" s="110"/>
      <c r="C130" s="110" t="s">
        <v>416</v>
      </c>
      <c r="D130" s="110"/>
      <c r="E130" s="110"/>
      <c r="F130" s="110"/>
      <c r="G130" s="110"/>
      <c r="H130" s="110"/>
      <c r="I130" s="110"/>
      <c r="J130" s="121"/>
      <c r="K130" s="111"/>
      <c r="L130" s="110"/>
      <c r="M130" s="111"/>
      <c r="N130" s="110"/>
      <c r="O130" s="110"/>
      <c r="P130" s="110"/>
      <c r="Q130" s="110"/>
      <c r="R130" s="110"/>
      <c r="S130" s="112"/>
    </row>
    <row r="131" spans="1:19" x14ac:dyDescent="0.35">
      <c r="A131" s="110" t="s">
        <v>434</v>
      </c>
      <c r="B131" s="110"/>
      <c r="C131" s="110" t="s">
        <v>429</v>
      </c>
      <c r="D131" s="110"/>
      <c r="E131" s="110"/>
      <c r="F131" s="110"/>
      <c r="G131" s="110"/>
      <c r="H131" s="110"/>
      <c r="I131" s="110"/>
      <c r="J131" s="121"/>
      <c r="K131" s="111"/>
      <c r="L131" s="110"/>
      <c r="M131" s="111"/>
      <c r="N131" s="110"/>
      <c r="O131" s="110"/>
      <c r="P131" s="110"/>
      <c r="Q131" s="110"/>
      <c r="R131" s="110"/>
      <c r="S131" s="112"/>
    </row>
    <row r="132" spans="1:19" ht="21.5" customHeight="1" x14ac:dyDescent="0.35">
      <c r="A132" s="91" t="s">
        <v>207</v>
      </c>
      <c r="B132" s="79"/>
      <c r="C132" s="92" t="s">
        <v>416</v>
      </c>
      <c r="D132" s="92"/>
      <c r="E132" s="92"/>
      <c r="F132" s="123" t="s">
        <v>444</v>
      </c>
      <c r="G132" s="94" t="s">
        <v>409</v>
      </c>
      <c r="H132" s="123" t="str">
        <f>TEXT(24.33,"0.00")</f>
        <v>24.33</v>
      </c>
      <c r="I132" s="92" t="s">
        <v>168</v>
      </c>
      <c r="J132" s="118">
        <v>2</v>
      </c>
      <c r="K132" s="94" t="str">
        <f>TEXT(48.66,"0.00")</f>
        <v>48.66</v>
      </c>
      <c r="L132" s="92"/>
      <c r="M132" s="94" t="str">
        <f>TEXT(26,"0")</f>
        <v>26</v>
      </c>
      <c r="N132" s="92"/>
      <c r="O132" s="92" t="s">
        <v>414</v>
      </c>
      <c r="P132" s="92" t="s">
        <v>417</v>
      </c>
      <c r="Q132" s="92"/>
      <c r="R132" s="92"/>
      <c r="S132" s="95"/>
    </row>
    <row r="133" spans="1:19" x14ac:dyDescent="0.35">
      <c r="A133" s="79"/>
      <c r="B133" s="79"/>
      <c r="C133" s="96" t="s">
        <v>429</v>
      </c>
      <c r="D133" s="96"/>
      <c r="E133" s="96"/>
      <c r="F133" s="96"/>
      <c r="G133" s="96"/>
      <c r="H133" s="96"/>
      <c r="I133" s="96"/>
      <c r="J133" s="119"/>
      <c r="K133" s="97"/>
      <c r="L133" s="96"/>
      <c r="M133" s="98"/>
      <c r="N133" s="96"/>
      <c r="O133" s="96"/>
      <c r="P133" s="96"/>
      <c r="Q133" s="96"/>
      <c r="R133" s="96"/>
      <c r="S133" s="99"/>
    </row>
    <row r="134" spans="1:19" x14ac:dyDescent="0.35">
      <c r="A134" s="79"/>
      <c r="B134" s="79"/>
      <c r="C134" s="82" t="s">
        <v>415</v>
      </c>
      <c r="D134" s="82"/>
      <c r="E134" s="82"/>
      <c r="F134" s="82"/>
      <c r="G134" s="82"/>
      <c r="H134" s="82"/>
      <c r="I134" s="82"/>
      <c r="J134" s="82"/>
      <c r="K134" s="100"/>
      <c r="L134" s="82"/>
      <c r="M134" s="101"/>
      <c r="N134" s="82"/>
      <c r="O134" s="82"/>
      <c r="P134" s="82"/>
      <c r="Q134" s="82"/>
      <c r="R134" s="82"/>
      <c r="S134" s="102"/>
    </row>
    <row r="135" spans="1:19" x14ac:dyDescent="0.35">
      <c r="A135" s="79"/>
      <c r="B135" s="79"/>
      <c r="C135" s="103" t="s">
        <v>430</v>
      </c>
      <c r="D135" s="103"/>
      <c r="E135" s="103"/>
      <c r="F135" s="103"/>
      <c r="G135" s="103"/>
      <c r="H135" s="103"/>
      <c r="I135" s="103"/>
      <c r="J135" s="103"/>
      <c r="K135" s="104"/>
      <c r="L135" s="103"/>
      <c r="M135" s="105"/>
      <c r="N135" s="103"/>
      <c r="O135" s="103"/>
      <c r="P135" s="103"/>
      <c r="Q135" s="103"/>
      <c r="R135" s="103"/>
      <c r="S135" s="106"/>
    </row>
    <row r="136" spans="1:19" ht="23.5" customHeight="1" x14ac:dyDescent="0.35">
      <c r="A136" s="91" t="s">
        <v>214</v>
      </c>
      <c r="B136" s="79"/>
      <c r="C136" s="92" t="s">
        <v>416</v>
      </c>
      <c r="D136" s="92"/>
      <c r="E136" s="92"/>
      <c r="F136" s="123" t="s">
        <v>445</v>
      </c>
      <c r="G136" s="94" t="s">
        <v>419</v>
      </c>
      <c r="H136" s="123" t="str">
        <f>TEXT(25.33,"0.00")</f>
        <v>25.33</v>
      </c>
      <c r="I136" s="92" t="s">
        <v>168</v>
      </c>
      <c r="J136" s="118">
        <v>2</v>
      </c>
      <c r="K136" s="94" t="str">
        <f>TEXT(50.66,"0.00")</f>
        <v>50.66</v>
      </c>
      <c r="L136" s="92"/>
      <c r="M136" s="94" t="str">
        <f>TEXT(26,"0")</f>
        <v>26</v>
      </c>
      <c r="N136" s="92"/>
      <c r="O136" s="92" t="s">
        <v>414</v>
      </c>
      <c r="P136" s="92" t="s">
        <v>417</v>
      </c>
      <c r="Q136" s="92"/>
      <c r="R136" s="92"/>
      <c r="S136" s="95"/>
    </row>
    <row r="137" spans="1:19" x14ac:dyDescent="0.35">
      <c r="A137" s="79"/>
      <c r="B137" s="79"/>
      <c r="C137" s="96" t="s">
        <v>429</v>
      </c>
      <c r="D137" s="96"/>
      <c r="E137" s="96"/>
      <c r="F137" s="96"/>
      <c r="G137" s="96"/>
      <c r="H137" s="96"/>
      <c r="I137" s="96"/>
      <c r="J137" s="119"/>
      <c r="K137" s="97"/>
      <c r="L137" s="96"/>
      <c r="M137" s="98"/>
      <c r="N137" s="96"/>
      <c r="O137" s="96"/>
      <c r="P137" s="96"/>
      <c r="Q137" s="96"/>
      <c r="R137" s="96"/>
      <c r="S137" s="99"/>
    </row>
    <row r="138" spans="1:19" x14ac:dyDescent="0.35">
      <c r="A138" s="79"/>
      <c r="B138" s="79"/>
      <c r="C138" s="82" t="s">
        <v>415</v>
      </c>
      <c r="D138" s="82"/>
      <c r="E138" s="82"/>
      <c r="F138" s="82"/>
      <c r="G138" s="82"/>
      <c r="H138" s="82"/>
      <c r="I138" s="82"/>
      <c r="J138" s="82"/>
      <c r="K138" s="100"/>
      <c r="L138" s="82"/>
      <c r="M138" s="101"/>
      <c r="N138" s="82"/>
      <c r="O138" s="82"/>
      <c r="P138" s="82"/>
      <c r="Q138" s="82"/>
      <c r="R138" s="82"/>
      <c r="S138" s="102"/>
    </row>
    <row r="139" spans="1:19" x14ac:dyDescent="0.35">
      <c r="A139" s="79"/>
      <c r="B139" s="79"/>
      <c r="C139" s="103" t="s">
        <v>430</v>
      </c>
      <c r="D139" s="103"/>
      <c r="E139" s="103"/>
      <c r="F139" s="103"/>
      <c r="G139" s="103"/>
      <c r="H139" s="103"/>
      <c r="I139" s="103"/>
      <c r="J139" s="103"/>
      <c r="K139" s="104"/>
      <c r="L139" s="103"/>
      <c r="M139" s="105"/>
      <c r="N139" s="103"/>
      <c r="O139" s="103"/>
      <c r="P139" s="103"/>
      <c r="Q139" s="103"/>
      <c r="R139" s="103"/>
      <c r="S139" s="106"/>
    </row>
    <row r="140" spans="1:19" ht="21" customHeight="1" x14ac:dyDescent="0.35">
      <c r="A140" s="91" t="s">
        <v>216</v>
      </c>
      <c r="B140" s="79"/>
      <c r="C140" s="92" t="s">
        <v>416</v>
      </c>
      <c r="D140" s="92"/>
      <c r="E140" s="92"/>
      <c r="F140" s="123" t="s">
        <v>446</v>
      </c>
      <c r="G140" s="94" t="s">
        <v>435</v>
      </c>
      <c r="H140" s="123" t="str">
        <f>TEXT(38.12,"0.00")</f>
        <v>38.12</v>
      </c>
      <c r="I140" s="92" t="s">
        <v>168</v>
      </c>
      <c r="J140" s="118">
        <v>2</v>
      </c>
      <c r="K140" s="94" t="str">
        <f>TEXT(76.24,"0.00")</f>
        <v>76.24</v>
      </c>
      <c r="L140" s="92"/>
      <c r="M140" s="94" t="str">
        <f>TEXT(26,"0")</f>
        <v>26</v>
      </c>
      <c r="N140" s="92" t="s">
        <v>179</v>
      </c>
      <c r="O140" s="92" t="s">
        <v>418</v>
      </c>
      <c r="P140" s="92" t="s">
        <v>417</v>
      </c>
      <c r="Q140" s="92"/>
      <c r="R140" s="92"/>
      <c r="S140" s="95"/>
    </row>
    <row r="141" spans="1:19" x14ac:dyDescent="0.35">
      <c r="A141" s="79"/>
      <c r="B141" s="79"/>
      <c r="C141" s="96" t="s">
        <v>429</v>
      </c>
      <c r="D141" s="96"/>
      <c r="E141" s="96"/>
      <c r="F141" s="96"/>
      <c r="G141" s="96"/>
      <c r="H141" s="96"/>
      <c r="I141" s="96"/>
      <c r="J141" s="119"/>
      <c r="K141" s="97"/>
      <c r="L141" s="96"/>
      <c r="M141" s="97"/>
      <c r="N141" s="96"/>
      <c r="O141" s="96"/>
      <c r="P141" s="96"/>
      <c r="Q141" s="96"/>
      <c r="R141" s="96"/>
      <c r="S141" s="99"/>
    </row>
    <row r="142" spans="1:19" x14ac:dyDescent="0.35">
      <c r="A142" s="79"/>
      <c r="B142" s="79"/>
      <c r="C142" s="82" t="s">
        <v>415</v>
      </c>
      <c r="D142" s="82"/>
      <c r="E142" s="82"/>
      <c r="F142" s="82"/>
      <c r="G142" s="82"/>
      <c r="H142" s="82"/>
      <c r="I142" s="82"/>
      <c r="J142" s="82"/>
      <c r="K142" s="100"/>
      <c r="L142" s="82"/>
      <c r="M142" s="100"/>
      <c r="N142" s="82"/>
      <c r="O142" s="82"/>
      <c r="P142" s="82"/>
      <c r="Q142" s="82"/>
      <c r="R142" s="82"/>
      <c r="S142" s="102"/>
    </row>
    <row r="143" spans="1:19" x14ac:dyDescent="0.35">
      <c r="A143" s="79"/>
      <c r="B143" s="79"/>
      <c r="C143" s="103" t="s">
        <v>430</v>
      </c>
      <c r="D143" s="103"/>
      <c r="E143" s="103"/>
      <c r="F143" s="103"/>
      <c r="G143" s="103"/>
      <c r="H143" s="103"/>
      <c r="I143" s="103"/>
      <c r="J143" s="103"/>
      <c r="K143" s="104"/>
      <c r="L143" s="103"/>
      <c r="M143" s="104"/>
      <c r="N143" s="103"/>
      <c r="O143" s="103"/>
      <c r="P143" s="103"/>
      <c r="Q143" s="103"/>
      <c r="R143" s="103"/>
      <c r="S143" s="106"/>
    </row>
    <row r="144" spans="1:19" x14ac:dyDescent="0.35">
      <c r="A144" s="110" t="s">
        <v>436</v>
      </c>
      <c r="B144" s="110"/>
      <c r="C144" s="110" t="s">
        <v>416</v>
      </c>
      <c r="D144" s="110"/>
      <c r="E144" s="110"/>
      <c r="F144" s="110"/>
      <c r="G144" s="110"/>
      <c r="H144" s="110"/>
      <c r="I144" s="110"/>
      <c r="J144" s="121"/>
      <c r="K144" s="111"/>
      <c r="L144" s="110"/>
      <c r="M144" s="111"/>
      <c r="N144" s="110"/>
      <c r="O144" s="110"/>
      <c r="P144" s="110"/>
      <c r="Q144" s="110"/>
      <c r="R144" s="110"/>
      <c r="S144" s="112"/>
    </row>
    <row r="145" spans="1:19" x14ac:dyDescent="0.35">
      <c r="A145" s="110" t="s">
        <v>436</v>
      </c>
      <c r="B145" s="110"/>
      <c r="C145" s="110" t="s">
        <v>429</v>
      </c>
      <c r="D145" s="110"/>
      <c r="E145" s="110"/>
      <c r="F145" s="110"/>
      <c r="G145" s="110"/>
      <c r="H145" s="110"/>
      <c r="I145" s="110"/>
      <c r="J145" s="121"/>
      <c r="K145" s="111"/>
      <c r="L145" s="110"/>
      <c r="M145" s="111"/>
      <c r="N145" s="110"/>
      <c r="O145" s="110"/>
      <c r="P145" s="110"/>
      <c r="Q145" s="110"/>
      <c r="R145" s="110"/>
      <c r="S145" s="112"/>
    </row>
    <row r="146" spans="1:19" x14ac:dyDescent="0.35">
      <c r="A146" s="91" t="s">
        <v>219</v>
      </c>
      <c r="B146" s="79"/>
      <c r="C146" s="92" t="s">
        <v>416</v>
      </c>
      <c r="D146" s="92"/>
      <c r="E146" s="92"/>
      <c r="F146" s="114">
        <v>0.15</v>
      </c>
      <c r="G146" s="92" t="str">
        <f>CONCATENATE("USD,FLAT ",TEXT(F146,"0.00"))</f>
        <v>USD,FLAT 0.15</v>
      </c>
      <c r="H146" s="114" t="str">
        <f>TEXT(3000.15,"0.00")</f>
        <v>3000.15</v>
      </c>
      <c r="I146" s="92" t="s">
        <v>168</v>
      </c>
      <c r="J146" s="118">
        <v>2</v>
      </c>
      <c r="K146" s="124" t="str">
        <f>TEXT(6000.3,"0.0")</f>
        <v>6000.3</v>
      </c>
      <c r="L146" s="92"/>
      <c r="M146" s="94" t="str">
        <f>TEXT(26,"0")</f>
        <v>26</v>
      </c>
      <c r="N146" s="92" t="s">
        <v>179</v>
      </c>
      <c r="O146" s="92" t="s">
        <v>418</v>
      </c>
      <c r="P146" s="92" t="s">
        <v>417</v>
      </c>
      <c r="Q146" s="92"/>
      <c r="R146" s="92"/>
      <c r="S146" s="95"/>
    </row>
    <row r="147" spans="1:19" x14ac:dyDescent="0.35">
      <c r="A147" s="79"/>
      <c r="B147" s="79"/>
      <c r="C147" s="96" t="s">
        <v>429</v>
      </c>
      <c r="D147" s="96"/>
      <c r="E147" s="96"/>
      <c r="F147" s="96"/>
      <c r="G147" s="96"/>
      <c r="H147" s="96"/>
      <c r="I147" s="96"/>
      <c r="J147" s="119"/>
      <c r="K147" s="97"/>
      <c r="L147" s="96"/>
      <c r="M147" s="98"/>
      <c r="N147" s="96"/>
      <c r="O147" s="96"/>
      <c r="P147" s="96"/>
      <c r="Q147" s="96"/>
      <c r="R147" s="96"/>
      <c r="S147" s="99"/>
    </row>
    <row r="148" spans="1:19" x14ac:dyDescent="0.35">
      <c r="A148" s="79"/>
      <c r="B148" s="79"/>
      <c r="C148" s="82" t="s">
        <v>415</v>
      </c>
      <c r="D148" s="82"/>
      <c r="E148" s="82"/>
      <c r="F148" s="82"/>
      <c r="G148" s="82"/>
      <c r="H148" s="82"/>
      <c r="I148" s="82"/>
      <c r="J148" s="82"/>
      <c r="K148" s="100"/>
      <c r="L148" s="82"/>
      <c r="M148" s="101"/>
      <c r="N148" s="82"/>
      <c r="O148" s="82"/>
      <c r="P148" s="82"/>
      <c r="Q148" s="82"/>
      <c r="R148" s="82"/>
      <c r="S148" s="102"/>
    </row>
    <row r="149" spans="1:19" x14ac:dyDescent="0.35">
      <c r="A149" s="79"/>
      <c r="B149" s="79"/>
      <c r="C149" s="103" t="s">
        <v>430</v>
      </c>
      <c r="D149" s="103"/>
      <c r="E149" s="103"/>
      <c r="F149" s="103"/>
      <c r="G149" s="103"/>
      <c r="H149" s="103"/>
      <c r="I149" s="103"/>
      <c r="J149" s="103"/>
      <c r="K149" s="104"/>
      <c r="L149" s="103"/>
      <c r="M149" s="105"/>
      <c r="N149" s="103"/>
      <c r="O149" s="103"/>
      <c r="P149" s="103"/>
      <c r="Q149" s="103"/>
      <c r="R149" s="103"/>
      <c r="S149" s="106"/>
    </row>
    <row r="150" spans="1:19" x14ac:dyDescent="0.35">
      <c r="A150" s="91" t="s">
        <v>222</v>
      </c>
      <c r="B150" s="79"/>
      <c r="C150" s="92" t="s">
        <v>416</v>
      </c>
      <c r="D150" s="92"/>
      <c r="E150" s="92"/>
      <c r="F150" s="114">
        <v>2.0499999999999998</v>
      </c>
      <c r="G150" s="92" t="str">
        <f>CONCATENATE("USD,FLAT ",TEXT(F150,"0.00"))</f>
        <v>USD,FLAT 2.05</v>
      </c>
      <c r="H150" s="114" t="str">
        <f>TEXT(28.33,"0.00")</f>
        <v>28.33</v>
      </c>
      <c r="I150" s="92" t="s">
        <v>168</v>
      </c>
      <c r="J150" s="118">
        <v>2</v>
      </c>
      <c r="K150" s="94" t="str">
        <f>TEXT(56.66,"0.00")</f>
        <v>56.66</v>
      </c>
      <c r="L150" s="92"/>
      <c r="M150" s="94" t="str">
        <f>TEXT(26,"0")</f>
        <v>26</v>
      </c>
      <c r="N150" s="92"/>
      <c r="O150" s="92" t="s">
        <v>414</v>
      </c>
      <c r="P150" s="92" t="s">
        <v>417</v>
      </c>
      <c r="Q150" s="92"/>
      <c r="R150" s="92"/>
      <c r="S150" s="95"/>
    </row>
    <row r="151" spans="1:19" x14ac:dyDescent="0.35">
      <c r="A151" s="79"/>
      <c r="B151" s="79"/>
      <c r="C151" s="96" t="s">
        <v>429</v>
      </c>
      <c r="D151" s="96"/>
      <c r="E151" s="96"/>
      <c r="F151" s="96"/>
      <c r="G151" s="96"/>
      <c r="H151" s="96"/>
      <c r="I151" s="96"/>
      <c r="J151" s="119"/>
      <c r="K151" s="97"/>
      <c r="L151" s="96"/>
      <c r="M151" s="97"/>
      <c r="N151" s="96"/>
      <c r="O151" s="96"/>
      <c r="P151" s="96"/>
      <c r="Q151" s="96"/>
      <c r="R151" s="96"/>
      <c r="S151" s="99"/>
    </row>
    <row r="152" spans="1:19" x14ac:dyDescent="0.35">
      <c r="A152" s="79"/>
      <c r="B152" s="79"/>
      <c r="C152" s="82" t="s">
        <v>415</v>
      </c>
      <c r="D152" s="82"/>
      <c r="E152" s="82"/>
      <c r="F152" s="82"/>
      <c r="G152" s="82"/>
      <c r="H152" s="82"/>
      <c r="I152" s="82"/>
      <c r="J152" s="82"/>
      <c r="K152" s="100"/>
      <c r="L152" s="82"/>
      <c r="M152" s="100"/>
      <c r="N152" s="82"/>
      <c r="O152" s="82"/>
      <c r="P152" s="82"/>
      <c r="Q152" s="82"/>
      <c r="R152" s="82"/>
      <c r="S152" s="102"/>
    </row>
    <row r="153" spans="1:19" x14ac:dyDescent="0.35">
      <c r="A153" s="79"/>
      <c r="B153" s="79"/>
      <c r="C153" s="103" t="s">
        <v>430</v>
      </c>
      <c r="D153" s="103"/>
      <c r="E153" s="103"/>
      <c r="F153" s="103"/>
      <c r="G153" s="103"/>
      <c r="H153" s="103"/>
      <c r="I153" s="103"/>
      <c r="J153" s="103"/>
      <c r="K153" s="104"/>
      <c r="L153" s="103"/>
      <c r="M153" s="104"/>
      <c r="N153" s="103"/>
      <c r="O153" s="103"/>
      <c r="P153" s="103"/>
      <c r="Q153" s="103"/>
      <c r="R153" s="103"/>
      <c r="S153" s="106"/>
    </row>
    <row r="154" spans="1:19" x14ac:dyDescent="0.35">
      <c r="A154" s="91" t="s">
        <v>222</v>
      </c>
      <c r="B154" s="79" t="s">
        <v>437</v>
      </c>
      <c r="C154" s="92" t="s">
        <v>416</v>
      </c>
      <c r="D154" s="92"/>
      <c r="E154" s="92"/>
      <c r="F154" s="114">
        <v>0.75</v>
      </c>
      <c r="G154" s="92" t="str">
        <f>CONCATENATE("USD,FLAT ",TEXT(F154,"0.00"))</f>
        <v>USD,FLAT 0.75</v>
      </c>
      <c r="H154" s="114" t="str">
        <f>TEXT(0.75,"0.00")</f>
        <v>0.75</v>
      </c>
      <c r="I154" s="92" t="s">
        <v>168</v>
      </c>
      <c r="J154" s="118">
        <v>2</v>
      </c>
      <c r="K154" s="94" t="str">
        <f>TEXT(1.5,"0.0")</f>
        <v>1.5</v>
      </c>
      <c r="L154" s="92"/>
      <c r="M154" s="94" t="str">
        <f>TEXT(26,"0")</f>
        <v>26</v>
      </c>
      <c r="N154" s="92" t="s">
        <v>179</v>
      </c>
      <c r="O154" s="92" t="s">
        <v>418</v>
      </c>
      <c r="P154" s="92" t="s">
        <v>417</v>
      </c>
      <c r="Q154" s="92"/>
      <c r="R154" s="92"/>
      <c r="S154" s="95"/>
    </row>
    <row r="155" spans="1:19" x14ac:dyDescent="0.35">
      <c r="A155" s="79"/>
      <c r="B155" s="79"/>
      <c r="C155" s="96" t="s">
        <v>429</v>
      </c>
      <c r="D155" s="96"/>
      <c r="E155" s="96"/>
      <c r="F155" s="96"/>
      <c r="G155" s="96"/>
      <c r="H155" s="96"/>
      <c r="I155" s="96"/>
      <c r="J155" s="119"/>
      <c r="K155" s="97"/>
      <c r="L155" s="96"/>
      <c r="M155" s="98"/>
      <c r="N155" s="96"/>
      <c r="O155" s="96"/>
      <c r="P155" s="96"/>
      <c r="Q155" s="96"/>
      <c r="R155" s="96"/>
      <c r="S155" s="99"/>
    </row>
    <row r="156" spans="1:19" x14ac:dyDescent="0.35">
      <c r="A156" s="79"/>
      <c r="B156" s="79"/>
      <c r="C156" s="82" t="s">
        <v>415</v>
      </c>
      <c r="D156" s="82"/>
      <c r="E156" s="82"/>
      <c r="F156" s="82"/>
      <c r="G156" s="82"/>
      <c r="H156" s="82"/>
      <c r="I156" s="82"/>
      <c r="J156" s="82"/>
      <c r="K156" s="100"/>
      <c r="L156" s="82"/>
      <c r="M156" s="101"/>
      <c r="N156" s="82"/>
      <c r="O156" s="82"/>
      <c r="P156" s="82"/>
      <c r="Q156" s="82"/>
      <c r="R156" s="82"/>
      <c r="S156" s="102"/>
    </row>
    <row r="157" spans="1:19" x14ac:dyDescent="0.35">
      <c r="A157" s="79"/>
      <c r="B157" s="79"/>
      <c r="C157" s="103" t="s">
        <v>430</v>
      </c>
      <c r="D157" s="103"/>
      <c r="E157" s="103"/>
      <c r="F157" s="103"/>
      <c r="G157" s="103"/>
      <c r="H157" s="103"/>
      <c r="I157" s="103"/>
      <c r="J157" s="103"/>
      <c r="K157" s="104"/>
      <c r="L157" s="103"/>
      <c r="M157" s="105"/>
      <c r="N157" s="103"/>
      <c r="O157" s="103"/>
      <c r="P157" s="103"/>
      <c r="Q157" s="103"/>
      <c r="R157" s="103"/>
      <c r="S157" s="106"/>
    </row>
    <row r="158" spans="1:19" x14ac:dyDescent="0.35">
      <c r="A158" s="91" t="s">
        <v>222</v>
      </c>
      <c r="B158" s="79" t="s">
        <v>420</v>
      </c>
      <c r="C158" s="92" t="s">
        <v>416</v>
      </c>
      <c r="D158" s="92"/>
      <c r="E158" s="92"/>
      <c r="F158" s="114" t="str">
        <f>TEXT(28.34,"0.00")</f>
        <v>28.34</v>
      </c>
      <c r="G158" s="92" t="str">
        <f>CONCATENATE("USD,FLAT ",TEXT(F158,"0.00"))</f>
        <v>USD,FLAT 28.34</v>
      </c>
      <c r="H158" s="114" t="str">
        <f>TEXT(28.34,"0.00")</f>
        <v>28.34</v>
      </c>
      <c r="I158" s="92" t="s">
        <v>168</v>
      </c>
      <c r="J158" s="118">
        <v>2</v>
      </c>
      <c r="K158" s="94" t="str">
        <f>TEXT(56.68,"0.00")</f>
        <v>56.68</v>
      </c>
      <c r="L158" s="92"/>
      <c r="M158" s="94" t="str">
        <f>TEXT(26,"0")</f>
        <v>26</v>
      </c>
      <c r="N158" s="92"/>
      <c r="O158" s="92" t="s">
        <v>414</v>
      </c>
      <c r="P158" s="92" t="s">
        <v>417</v>
      </c>
      <c r="Q158" s="92"/>
      <c r="R158" s="92"/>
      <c r="S158" s="95"/>
    </row>
    <row r="159" spans="1:19" x14ac:dyDescent="0.35">
      <c r="A159" s="79"/>
      <c r="B159" s="79"/>
      <c r="C159" s="96" t="s">
        <v>429</v>
      </c>
      <c r="D159" s="96"/>
      <c r="E159" s="96"/>
      <c r="F159" s="96"/>
      <c r="G159" s="96"/>
      <c r="H159" s="96"/>
      <c r="I159" s="96"/>
      <c r="J159" s="119"/>
      <c r="K159" s="97"/>
      <c r="L159" s="96"/>
      <c r="M159" s="97"/>
      <c r="N159" s="96"/>
      <c r="O159" s="96"/>
      <c r="P159" s="96"/>
      <c r="Q159" s="96"/>
      <c r="R159" s="96"/>
      <c r="S159" s="99"/>
    </row>
    <row r="160" spans="1:19" x14ac:dyDescent="0.35">
      <c r="A160" s="79"/>
      <c r="B160" s="79"/>
      <c r="C160" s="82" t="s">
        <v>415</v>
      </c>
      <c r="D160" s="82"/>
      <c r="E160" s="82"/>
      <c r="F160" s="82"/>
      <c r="G160" s="82"/>
      <c r="H160" s="82"/>
      <c r="I160" s="82"/>
      <c r="J160" s="82"/>
      <c r="K160" s="100"/>
      <c r="L160" s="82"/>
      <c r="M160" s="100"/>
      <c r="N160" s="82"/>
      <c r="O160" s="82"/>
      <c r="P160" s="82"/>
      <c r="Q160" s="82"/>
      <c r="R160" s="82"/>
      <c r="S160" s="102"/>
    </row>
    <row r="161" spans="1:19" x14ac:dyDescent="0.35">
      <c r="A161" s="79"/>
      <c r="B161" s="79"/>
      <c r="C161" s="103" t="s">
        <v>430</v>
      </c>
      <c r="D161" s="103"/>
      <c r="E161" s="103"/>
      <c r="F161" s="103"/>
      <c r="G161" s="103"/>
      <c r="H161" s="103"/>
      <c r="I161" s="103"/>
      <c r="J161" s="103"/>
      <c r="K161" s="104"/>
      <c r="L161" s="103"/>
      <c r="M161" s="104"/>
      <c r="N161" s="103"/>
      <c r="O161" s="103"/>
      <c r="P161" s="103"/>
      <c r="Q161" s="103"/>
      <c r="R161" s="103"/>
      <c r="S161" s="106"/>
    </row>
    <row r="162" spans="1:19" x14ac:dyDescent="0.35">
      <c r="A162" s="91" t="s">
        <v>222</v>
      </c>
      <c r="B162" s="79" t="s">
        <v>438</v>
      </c>
      <c r="C162" s="92" t="s">
        <v>416</v>
      </c>
      <c r="D162" s="92"/>
      <c r="E162" s="92"/>
      <c r="F162" s="114">
        <v>6.67</v>
      </c>
      <c r="G162" s="92" t="str">
        <f>CONCATENATE("USD,FLAT ",TEXT(F162,"0.00"))</f>
        <v>USD,FLAT 6.67</v>
      </c>
      <c r="H162" s="114" t="str">
        <f>TEXT(6.67,"0.00")</f>
        <v>6.67</v>
      </c>
      <c r="I162" s="92" t="s">
        <v>168</v>
      </c>
      <c r="J162" s="118">
        <v>2</v>
      </c>
      <c r="K162" s="94" t="str">
        <f>TEXT(13.34,"0.00")</f>
        <v>13.34</v>
      </c>
      <c r="L162" s="114"/>
      <c r="M162" s="94" t="str">
        <f>TEXT(26,"0")</f>
        <v>26</v>
      </c>
      <c r="N162" s="92" t="s">
        <v>179</v>
      </c>
      <c r="O162" s="92" t="s">
        <v>418</v>
      </c>
      <c r="P162" s="92" t="s">
        <v>417</v>
      </c>
      <c r="Q162" s="92"/>
      <c r="R162" s="92"/>
      <c r="S162" s="95"/>
    </row>
    <row r="163" spans="1:19" x14ac:dyDescent="0.35">
      <c r="A163" s="79"/>
      <c r="B163" s="79"/>
      <c r="C163" s="96" t="s">
        <v>429</v>
      </c>
      <c r="D163" s="96"/>
      <c r="E163" s="96"/>
      <c r="F163" s="96"/>
      <c r="G163" s="96"/>
      <c r="H163" s="96"/>
      <c r="I163" s="96"/>
      <c r="J163" s="119"/>
      <c r="K163" s="97"/>
      <c r="L163" s="96"/>
      <c r="M163" s="98"/>
      <c r="N163" s="96"/>
      <c r="O163" s="96"/>
      <c r="P163" s="96"/>
      <c r="Q163" s="96"/>
      <c r="R163" s="96"/>
      <c r="S163" s="99"/>
    </row>
    <row r="164" spans="1:19" x14ac:dyDescent="0.35">
      <c r="A164" s="79"/>
      <c r="B164" s="79"/>
      <c r="C164" s="82" t="s">
        <v>415</v>
      </c>
      <c r="D164" s="82"/>
      <c r="E164" s="82"/>
      <c r="F164" s="82"/>
      <c r="G164" s="82"/>
      <c r="H164" s="82"/>
      <c r="I164" s="82"/>
      <c r="J164" s="82"/>
      <c r="K164" s="100"/>
      <c r="L164" s="82"/>
      <c r="M164" s="101"/>
      <c r="N164" s="82"/>
      <c r="O164" s="82"/>
      <c r="P164" s="82"/>
      <c r="Q164" s="82"/>
      <c r="R164" s="82"/>
      <c r="S164" s="102"/>
    </row>
    <row r="165" spans="1:19" x14ac:dyDescent="0.35">
      <c r="A165" s="79"/>
      <c r="B165" s="79"/>
      <c r="C165" s="103" t="s">
        <v>430</v>
      </c>
      <c r="D165" s="103"/>
      <c r="E165" s="103"/>
      <c r="F165" s="103"/>
      <c r="G165" s="103"/>
      <c r="H165" s="103"/>
      <c r="I165" s="103"/>
      <c r="J165" s="103"/>
      <c r="K165" s="104"/>
      <c r="L165" s="103"/>
      <c r="M165" s="105"/>
      <c r="N165" s="103"/>
      <c r="O165" s="103"/>
      <c r="P165" s="103"/>
      <c r="Q165" s="103"/>
      <c r="R165" s="103"/>
      <c r="S165" s="106"/>
    </row>
    <row r="166" spans="1:19" x14ac:dyDescent="0.35">
      <c r="A166" s="91" t="s">
        <v>229</v>
      </c>
      <c r="B166" s="79"/>
      <c r="C166" s="92" t="s">
        <v>416</v>
      </c>
      <c r="D166" s="92"/>
      <c r="E166" s="92"/>
      <c r="F166" s="114">
        <v>0.4</v>
      </c>
      <c r="G166" s="92" t="str">
        <f>CONCATENATE("USD,FLAT ",TEXT(F166,"0.00"))</f>
        <v>USD,FLAT 0.40</v>
      </c>
      <c r="H166" s="114" t="str">
        <f>TEXT(0.4,"0.0")</f>
        <v>0.4</v>
      </c>
      <c r="I166" s="92" t="s">
        <v>168</v>
      </c>
      <c r="J166" s="118">
        <v>2</v>
      </c>
      <c r="K166" s="94" t="str">
        <f>TEXT(0.8,"0.0")</f>
        <v>0.8</v>
      </c>
      <c r="L166" s="92"/>
      <c r="M166" s="94" t="str">
        <f>TEXT(26,"0")</f>
        <v>26</v>
      </c>
      <c r="N166" s="92" t="s">
        <v>179</v>
      </c>
      <c r="O166" s="92" t="s">
        <v>418</v>
      </c>
      <c r="P166" s="92" t="s">
        <v>417</v>
      </c>
      <c r="Q166" s="92"/>
      <c r="R166" s="92"/>
      <c r="S166" s="95"/>
    </row>
    <row r="167" spans="1:19" x14ac:dyDescent="0.35">
      <c r="A167" s="79"/>
      <c r="B167" s="79"/>
      <c r="C167" s="96" t="s">
        <v>429</v>
      </c>
      <c r="D167" s="96"/>
      <c r="E167" s="96"/>
      <c r="F167" s="96"/>
      <c r="G167" s="96"/>
      <c r="H167" s="96"/>
      <c r="I167" s="96"/>
      <c r="J167" s="119"/>
      <c r="K167" s="97"/>
      <c r="L167" s="96"/>
      <c r="M167" s="97"/>
      <c r="N167" s="96"/>
      <c r="O167" s="96"/>
      <c r="P167" s="96"/>
      <c r="Q167" s="96"/>
      <c r="R167" s="96"/>
      <c r="S167" s="99"/>
    </row>
    <row r="168" spans="1:19" x14ac:dyDescent="0.35">
      <c r="A168" s="79"/>
      <c r="B168" s="79"/>
      <c r="C168" s="82" t="s">
        <v>415</v>
      </c>
      <c r="D168" s="82"/>
      <c r="E168" s="82"/>
      <c r="F168" s="82"/>
      <c r="G168" s="82"/>
      <c r="H168" s="82"/>
      <c r="I168" s="82"/>
      <c r="J168" s="82"/>
      <c r="K168" s="100"/>
      <c r="L168" s="82"/>
      <c r="M168" s="100"/>
      <c r="N168" s="82"/>
      <c r="O168" s="82"/>
      <c r="P168" s="82"/>
      <c r="Q168" s="82"/>
      <c r="R168" s="82"/>
      <c r="S168" s="102"/>
    </row>
    <row r="169" spans="1:19" x14ac:dyDescent="0.35">
      <c r="A169" s="79"/>
      <c r="B169" s="79"/>
      <c r="C169" s="103" t="s">
        <v>430</v>
      </c>
      <c r="D169" s="103"/>
      <c r="E169" s="103"/>
      <c r="F169" s="103"/>
      <c r="G169" s="103"/>
      <c r="H169" s="103"/>
      <c r="I169" s="103"/>
      <c r="J169" s="103"/>
      <c r="K169" s="104"/>
      <c r="L169" s="103"/>
      <c r="M169" s="104"/>
      <c r="N169" s="103"/>
      <c r="O169" s="103"/>
      <c r="P169" s="103"/>
      <c r="Q169" s="103"/>
      <c r="R169" s="103"/>
      <c r="S169" s="106"/>
    </row>
    <row r="170" spans="1:19" x14ac:dyDescent="0.35">
      <c r="A170" s="91" t="s">
        <v>231</v>
      </c>
      <c r="B170" s="79"/>
      <c r="C170" s="92" t="s">
        <v>416</v>
      </c>
      <c r="D170" s="92"/>
      <c r="E170" s="92"/>
      <c r="F170" s="114">
        <v>0.6</v>
      </c>
      <c r="G170" s="92" t="str">
        <f>CONCATENATE("USD,FLAT ",TEXT(F170,"0.00"))</f>
        <v>USD,FLAT 0.60</v>
      </c>
      <c r="H170" s="114" t="str">
        <f>TEXT(0.6,"0.0")</f>
        <v>0.6</v>
      </c>
      <c r="I170" s="92" t="s">
        <v>168</v>
      </c>
      <c r="J170" s="118">
        <v>2</v>
      </c>
      <c r="K170" s="94" t="str">
        <f>TEXT(1.2,"0.0")</f>
        <v>1.2</v>
      </c>
      <c r="L170" s="92"/>
      <c r="M170" s="94" t="str">
        <f>TEXT(26,"0")</f>
        <v>26</v>
      </c>
      <c r="N170" s="92" t="s">
        <v>179</v>
      </c>
      <c r="O170" s="92" t="s">
        <v>418</v>
      </c>
      <c r="P170" s="92" t="s">
        <v>417</v>
      </c>
      <c r="Q170" s="92"/>
      <c r="R170" s="92"/>
      <c r="S170" s="95"/>
    </row>
    <row r="171" spans="1:19" x14ac:dyDescent="0.35">
      <c r="A171" s="79"/>
      <c r="B171" s="79"/>
      <c r="C171" s="96" t="s">
        <v>429</v>
      </c>
      <c r="D171" s="96"/>
      <c r="E171" s="96"/>
      <c r="F171" s="96"/>
      <c r="G171" s="96"/>
      <c r="H171" s="96"/>
      <c r="I171" s="96"/>
      <c r="J171" s="119"/>
      <c r="K171" s="97"/>
      <c r="L171" s="96"/>
      <c r="M171" s="98"/>
      <c r="N171" s="96"/>
      <c r="O171" s="96"/>
      <c r="P171" s="96"/>
      <c r="Q171" s="96"/>
      <c r="R171" s="96"/>
      <c r="S171" s="99"/>
    </row>
    <row r="172" spans="1:19" x14ac:dyDescent="0.35">
      <c r="A172" s="79"/>
      <c r="B172" s="79"/>
      <c r="C172" s="82" t="s">
        <v>415</v>
      </c>
      <c r="D172" s="82"/>
      <c r="E172" s="82"/>
      <c r="F172" s="82"/>
      <c r="G172" s="82"/>
      <c r="H172" s="82"/>
      <c r="I172" s="82"/>
      <c r="J172" s="82"/>
      <c r="K172" s="100"/>
      <c r="L172" s="82"/>
      <c r="M172" s="101"/>
      <c r="N172" s="82"/>
      <c r="O172" s="82"/>
      <c r="P172" s="82"/>
      <c r="Q172" s="82"/>
      <c r="R172" s="82"/>
      <c r="S172" s="102"/>
    </row>
    <row r="173" spans="1:19" x14ac:dyDescent="0.35">
      <c r="A173" s="79"/>
      <c r="B173" s="79"/>
      <c r="C173" s="103" t="s">
        <v>430</v>
      </c>
      <c r="D173" s="103"/>
      <c r="E173" s="103"/>
      <c r="F173" s="103"/>
      <c r="G173" s="103"/>
      <c r="H173" s="103"/>
      <c r="I173" s="103"/>
      <c r="J173" s="103"/>
      <c r="K173" s="104"/>
      <c r="L173" s="103"/>
      <c r="M173" s="105"/>
      <c r="N173" s="103"/>
      <c r="O173" s="103"/>
      <c r="P173" s="103"/>
      <c r="Q173" s="103"/>
      <c r="R173" s="103"/>
      <c r="S173" s="106"/>
    </row>
    <row r="174" spans="1:19" x14ac:dyDescent="0.35">
      <c r="A174" s="91" t="s">
        <v>423</v>
      </c>
      <c r="B174" s="115"/>
      <c r="C174" s="92" t="s">
        <v>416</v>
      </c>
      <c r="D174" s="92"/>
      <c r="E174" s="92"/>
      <c r="F174" s="92">
        <v>16.66</v>
      </c>
      <c r="G174" s="92" t="str">
        <f>CONCATENATE("USD,FLAT ",TEXT(F174,"0.00"))</f>
        <v>USD,FLAT 16.66</v>
      </c>
      <c r="H174" s="92" t="str">
        <f>TEXT(16.66,"0.00")</f>
        <v>16.66</v>
      </c>
      <c r="I174" s="92" t="s">
        <v>168</v>
      </c>
      <c r="J174" s="118">
        <v>2</v>
      </c>
      <c r="K174" s="94" t="str">
        <f>TEXT(33.32,"0.00")</f>
        <v>33.32</v>
      </c>
      <c r="L174" s="92"/>
      <c r="M174" s="94" t="str">
        <f>TEXT(26,"0")</f>
        <v>26</v>
      </c>
      <c r="N174" s="92" t="s">
        <v>179</v>
      </c>
      <c r="O174" s="92" t="s">
        <v>418</v>
      </c>
      <c r="P174" s="92" t="s">
        <v>417</v>
      </c>
      <c r="Q174" s="92"/>
      <c r="R174" s="92"/>
      <c r="S174" s="95"/>
    </row>
    <row r="175" spans="1:19" x14ac:dyDescent="0.35">
      <c r="A175" s="79"/>
      <c r="B175" s="115"/>
      <c r="C175" s="96" t="s">
        <v>429</v>
      </c>
      <c r="D175" s="96"/>
      <c r="E175" s="96"/>
      <c r="F175" s="96"/>
      <c r="G175" s="96"/>
      <c r="H175" s="96"/>
      <c r="I175" s="96"/>
      <c r="J175" s="119"/>
      <c r="K175" s="97"/>
      <c r="L175" s="96"/>
      <c r="M175" s="96"/>
      <c r="N175" s="96"/>
      <c r="O175" s="96"/>
      <c r="P175" s="96"/>
      <c r="Q175" s="96"/>
      <c r="R175" s="96"/>
      <c r="S175" s="99"/>
    </row>
    <row r="176" spans="1:19" x14ac:dyDescent="0.35">
      <c r="A176" s="79"/>
      <c r="B176" s="79"/>
      <c r="C176" s="82" t="s">
        <v>415</v>
      </c>
      <c r="D176" s="82"/>
      <c r="E176" s="82"/>
      <c r="F176" s="82"/>
      <c r="G176" s="82"/>
      <c r="H176" s="82"/>
      <c r="I176" s="82"/>
      <c r="J176" s="82"/>
      <c r="K176" s="116"/>
      <c r="L176" s="82"/>
      <c r="M176" s="82"/>
      <c r="N176" s="82"/>
      <c r="O176" s="82"/>
      <c r="P176" s="82"/>
      <c r="Q176" s="82"/>
      <c r="R176" s="82"/>
      <c r="S176" s="102"/>
    </row>
    <row r="177" spans="1:19" x14ac:dyDescent="0.35">
      <c r="A177" s="79"/>
      <c r="B177" s="79"/>
      <c r="C177" s="103" t="s">
        <v>430</v>
      </c>
      <c r="D177" s="103"/>
      <c r="E177" s="103"/>
      <c r="F177" s="103"/>
      <c r="G177" s="103"/>
      <c r="H177" s="103"/>
      <c r="I177" s="103"/>
      <c r="J177" s="103"/>
      <c r="K177" s="125"/>
      <c r="L177" s="103"/>
      <c r="M177" s="103"/>
      <c r="N177" s="103"/>
      <c r="O177" s="103"/>
      <c r="P177" s="103"/>
      <c r="Q177" s="103"/>
      <c r="R177" s="103"/>
      <c r="S177" s="106"/>
    </row>
    <row r="179" spans="1:19" x14ac:dyDescent="0.35">
      <c r="A179" s="176" t="s">
        <v>441</v>
      </c>
      <c r="B179" s="176"/>
      <c r="C179" s="176"/>
      <c r="D179" s="176"/>
      <c r="E179" s="176"/>
    </row>
    <row r="181" spans="1:19" x14ac:dyDescent="0.35">
      <c r="A181" s="164" t="s">
        <v>343</v>
      </c>
      <c r="B181" s="165"/>
      <c r="C181" s="165"/>
      <c r="D181" s="165"/>
      <c r="E181" s="165"/>
      <c r="F181" s="165"/>
      <c r="G181" s="165"/>
      <c r="H181" s="165"/>
      <c r="I181" s="165"/>
      <c r="J181" s="165"/>
    </row>
    <row r="182" spans="1:19" x14ac:dyDescent="0.35">
      <c r="A182" s="63"/>
      <c r="B182" s="64"/>
      <c r="C182" s="175" t="s">
        <v>344</v>
      </c>
      <c r="D182" s="175"/>
      <c r="E182" s="175"/>
      <c r="F182" s="175"/>
      <c r="G182" s="175"/>
      <c r="H182" s="175"/>
      <c r="I182" s="175"/>
      <c r="J182" s="175"/>
      <c r="K182" s="175"/>
    </row>
    <row r="183" spans="1:19" x14ac:dyDescent="0.35">
      <c r="A183" s="160" t="s">
        <v>345</v>
      </c>
      <c r="B183" s="160" t="s">
        <v>346</v>
      </c>
      <c r="C183" s="185" t="s">
        <v>347</v>
      </c>
      <c r="D183" s="186"/>
      <c r="E183" s="186"/>
      <c r="F183" s="187"/>
      <c r="G183" s="188" t="s">
        <v>348</v>
      </c>
      <c r="H183" s="189"/>
      <c r="I183" s="189"/>
      <c r="J183" s="190"/>
      <c r="K183" s="160" t="s">
        <v>349</v>
      </c>
      <c r="L183" s="160" t="s">
        <v>350</v>
      </c>
    </row>
    <row r="184" spans="1:19" x14ac:dyDescent="0.35">
      <c r="A184" s="161"/>
      <c r="B184" s="161"/>
      <c r="C184" s="65" t="s">
        <v>351</v>
      </c>
      <c r="D184" s="65" t="s">
        <v>352</v>
      </c>
      <c r="E184" s="65" t="s">
        <v>353</v>
      </c>
      <c r="F184" s="65" t="s">
        <v>354</v>
      </c>
      <c r="G184" s="66" t="s">
        <v>351</v>
      </c>
      <c r="H184" s="66" t="s">
        <v>352</v>
      </c>
      <c r="I184" s="66" t="s">
        <v>353</v>
      </c>
      <c r="J184" s="66" t="s">
        <v>354</v>
      </c>
      <c r="K184" s="161"/>
      <c r="L184" s="161"/>
    </row>
    <row r="185" spans="1:19" x14ac:dyDescent="0.35">
      <c r="A185" s="41" t="s">
        <v>355</v>
      </c>
      <c r="B185" s="41" t="s">
        <v>356</v>
      </c>
      <c r="C185" s="30" t="str">
        <f>TEXT(23060.8,"0.0")</f>
        <v>23060.8</v>
      </c>
      <c r="D185" s="30" t="str">
        <f>TEXT(660,"0")</f>
        <v>660</v>
      </c>
      <c r="E185" s="30" t="str">
        <f>TEXT(22400.8,"0.0")</f>
        <v>22400.8</v>
      </c>
      <c r="F185" s="30" t="str">
        <f>TEXT(97.14,"0.00")</f>
        <v>97.14</v>
      </c>
      <c r="G185" s="136" t="s">
        <v>486</v>
      </c>
      <c r="H185" s="136" t="s">
        <v>488</v>
      </c>
      <c r="I185" s="136" t="s">
        <v>486</v>
      </c>
      <c r="J185" s="136" t="s">
        <v>489</v>
      </c>
      <c r="K185" s="30" t="str">
        <f>TEXT(1656.93,"0.00")</f>
        <v>1656.93</v>
      </c>
      <c r="L185" s="41" t="s">
        <v>155</v>
      </c>
    </row>
    <row r="187" spans="1:19" ht="13.25" customHeight="1" x14ac:dyDescent="0.35">
      <c r="A187" s="164" t="s">
        <v>357</v>
      </c>
      <c r="B187" s="165"/>
      <c r="C187" s="165"/>
      <c r="D187" s="165"/>
      <c r="E187" s="165"/>
      <c r="F187" s="165"/>
      <c r="G187" s="165"/>
      <c r="H187" s="165"/>
      <c r="I187" s="165"/>
      <c r="J187" s="165"/>
      <c r="K187" s="165"/>
      <c r="L187" s="165"/>
    </row>
    <row r="188" spans="1:19" x14ac:dyDescent="0.35">
      <c r="A188" s="166" t="s">
        <v>131</v>
      </c>
      <c r="B188" s="166" t="s">
        <v>358</v>
      </c>
      <c r="C188" s="192" t="s">
        <v>359</v>
      </c>
      <c r="D188" s="196" t="s">
        <v>360</v>
      </c>
      <c r="E188" s="195" t="s">
        <v>344</v>
      </c>
      <c r="F188" s="195"/>
      <c r="G188" s="195"/>
      <c r="H188" s="195"/>
      <c r="I188" s="191" t="s">
        <v>361</v>
      </c>
      <c r="J188" s="191"/>
      <c r="K188" s="191"/>
      <c r="L188" s="191"/>
    </row>
    <row r="189" spans="1:19" x14ac:dyDescent="0.35">
      <c r="A189" s="167"/>
      <c r="B189" s="167"/>
      <c r="C189" s="193"/>
      <c r="D189" s="197"/>
      <c r="E189" s="185" t="s">
        <v>362</v>
      </c>
      <c r="F189" s="187"/>
      <c r="G189" s="188" t="s">
        <v>348</v>
      </c>
      <c r="H189" s="190"/>
      <c r="I189" s="185" t="s">
        <v>362</v>
      </c>
      <c r="J189" s="187"/>
      <c r="K189" s="188" t="s">
        <v>348</v>
      </c>
      <c r="L189" s="190"/>
    </row>
    <row r="190" spans="1:19" x14ac:dyDescent="0.35">
      <c r="A190" s="168"/>
      <c r="B190" s="168" t="s">
        <v>130</v>
      </c>
      <c r="C190" s="194"/>
      <c r="D190" s="198"/>
      <c r="E190" s="65" t="s">
        <v>363</v>
      </c>
      <c r="F190" s="65" t="s">
        <v>364</v>
      </c>
      <c r="G190" s="66" t="s">
        <v>365</v>
      </c>
      <c r="H190" s="66" t="s">
        <v>366</v>
      </c>
      <c r="I190" s="65" t="s">
        <v>363</v>
      </c>
      <c r="J190" s="65" t="s">
        <v>364</v>
      </c>
      <c r="K190" s="66" t="s">
        <v>365</v>
      </c>
      <c r="L190" s="66" t="s">
        <v>366</v>
      </c>
    </row>
    <row r="191" spans="1:19" x14ac:dyDescent="0.35">
      <c r="A191" s="41" t="str">
        <f>C5</f>
        <v>BANK_82_PRSPCH1_001</v>
      </c>
      <c r="B191" s="41" t="s">
        <v>355</v>
      </c>
      <c r="C191" s="56" t="s">
        <v>367</v>
      </c>
      <c r="D191" s="67" t="str">
        <f>TEXT(0,"0.00")</f>
        <v>0.00</v>
      </c>
      <c r="E191" s="68" t="str">
        <f>"$"&amp;TEXT(23060.8,"0.00")</f>
        <v>$23060.80</v>
      </c>
      <c r="F191" s="68" t="str">
        <f>"$"&amp;TEXT(660,"0.00")</f>
        <v>$660.00</v>
      </c>
      <c r="G191" s="134" t="s">
        <v>486</v>
      </c>
      <c r="H191" s="68" t="str">
        <f>"$"&amp;TEXT(0,"0.00")</f>
        <v>$0.00</v>
      </c>
      <c r="I191" s="69" t="str">
        <f>"$"&amp;TEXT(23060.8,"0.00")</f>
        <v>$23060.80</v>
      </c>
      <c r="J191" s="69" t="str">
        <f>"$"&amp;TEXT(660,"0.00")</f>
        <v>$660.00</v>
      </c>
      <c r="K191" s="135" t="s">
        <v>486</v>
      </c>
      <c r="L191" s="69" t="str">
        <f>"$"&amp;TEXT(0,"0.00")</f>
        <v>$0.00</v>
      </c>
    </row>
    <row r="192" spans="1:19" x14ac:dyDescent="0.35">
      <c r="A192" s="56" t="s">
        <v>466</v>
      </c>
      <c r="B192" s="41" t="s">
        <v>355</v>
      </c>
      <c r="C192" s="56" t="s">
        <v>367</v>
      </c>
      <c r="D192" s="67" t="str">
        <f t="shared" ref="D192:D194" si="0">TEXT(0,"0.00")</f>
        <v>0.00</v>
      </c>
      <c r="E192" s="68" t="str">
        <f>"$"&amp;TEXT(11530.4,"0.00")</f>
        <v>$11530.40</v>
      </c>
      <c r="F192" s="68" t="str">
        <f>"$"&amp;TEXT(330,"0.00")</f>
        <v>$330.00</v>
      </c>
      <c r="G192" s="134" t="s">
        <v>487</v>
      </c>
      <c r="H192" s="68" t="str">
        <f t="shared" ref="H192:H194" si="1">"$"&amp;TEXT(0,"0.00")</f>
        <v>$0.00</v>
      </c>
      <c r="I192" s="69" t="str">
        <f>"$"&amp;TEXT(11530.4,"0.00")</f>
        <v>$11530.40</v>
      </c>
      <c r="J192" s="69" t="str">
        <f>"$"&amp;TEXT(330,"0.00")</f>
        <v>$330.00</v>
      </c>
      <c r="K192" s="135" t="s">
        <v>487</v>
      </c>
      <c r="L192" s="69" t="str">
        <f>"$"&amp;TEXT(0,"0.00")</f>
        <v>$0.00</v>
      </c>
    </row>
    <row r="193" spans="1:19" x14ac:dyDescent="0.35">
      <c r="A193" s="41" t="str">
        <f>C6</f>
        <v>BANK_82_PRSPCH1CH1_001</v>
      </c>
      <c r="B193" s="41" t="s">
        <v>355</v>
      </c>
      <c r="C193" s="56" t="s">
        <v>367</v>
      </c>
      <c r="D193" s="67" t="str">
        <f t="shared" si="0"/>
        <v>0.00</v>
      </c>
      <c r="E193" s="68" t="str">
        <f t="shared" ref="E193:E194" si="2">"$"&amp;TEXT(11530.4,"0.00")</f>
        <v>$11530.40</v>
      </c>
      <c r="F193" s="68" t="str">
        <f t="shared" ref="F193:F194" si="3">"$"&amp;TEXT(330,"0.00")</f>
        <v>$330.00</v>
      </c>
      <c r="G193" s="134" t="s">
        <v>487</v>
      </c>
      <c r="H193" s="68" t="str">
        <f t="shared" si="1"/>
        <v>$0.00</v>
      </c>
      <c r="I193" s="69" t="str">
        <f t="shared" ref="I193:I194" si="4">"$"&amp;TEXT(11530.4,"0.00")</f>
        <v>$11530.40</v>
      </c>
      <c r="J193" s="69" t="str">
        <f t="shared" ref="J193:J194" si="5">"$"&amp;TEXT(330,"0.00")</f>
        <v>$330.00</v>
      </c>
      <c r="K193" s="135" t="s">
        <v>487</v>
      </c>
      <c r="L193" s="69" t="str">
        <f>"$"&amp;TEXT(0,"0.00")</f>
        <v>$0.00</v>
      </c>
    </row>
    <row r="194" spans="1:19" x14ac:dyDescent="0.35">
      <c r="A194" s="56" t="s">
        <v>480</v>
      </c>
      <c r="B194" s="41" t="s">
        <v>355</v>
      </c>
      <c r="C194" s="56" t="s">
        <v>367</v>
      </c>
      <c r="D194" s="67" t="str">
        <f t="shared" si="0"/>
        <v>0.00</v>
      </c>
      <c r="E194" s="68" t="str">
        <f t="shared" si="2"/>
        <v>$11530.40</v>
      </c>
      <c r="F194" s="68" t="str">
        <f t="shared" si="3"/>
        <v>$330.00</v>
      </c>
      <c r="G194" s="134" t="s">
        <v>487</v>
      </c>
      <c r="H194" s="68" t="str">
        <f t="shared" si="1"/>
        <v>$0.00</v>
      </c>
      <c r="I194" s="69" t="str">
        <f t="shared" si="4"/>
        <v>$11530.40</v>
      </c>
      <c r="J194" s="69" t="str">
        <f t="shared" si="5"/>
        <v>$330.00</v>
      </c>
      <c r="K194" s="135" t="s">
        <v>487</v>
      </c>
      <c r="L194" s="69" t="str">
        <f>"$"&amp;TEXT(0,"0.00")</f>
        <v>$0.00</v>
      </c>
    </row>
    <row r="196" spans="1:19" x14ac:dyDescent="0.35">
      <c r="A196" s="139" t="s">
        <v>368</v>
      </c>
      <c r="B196" s="140"/>
      <c r="C196" s="140"/>
      <c r="D196" s="140"/>
      <c r="E196" s="140"/>
      <c r="F196" s="140"/>
      <c r="G196" s="140"/>
      <c r="H196" s="140"/>
      <c r="I196" s="140"/>
      <c r="J196" s="140"/>
      <c r="K196" s="46"/>
      <c r="L196" s="46"/>
      <c r="M196" s="46"/>
      <c r="N196" s="46"/>
      <c r="O196" s="46"/>
      <c r="P196" s="46"/>
      <c r="Q196" s="46"/>
      <c r="R196" s="46"/>
      <c r="S196" s="46"/>
    </row>
    <row r="197" spans="1:19" x14ac:dyDescent="0.35">
      <c r="A197" s="132"/>
      <c r="B197" s="133"/>
      <c r="C197" s="141" t="s">
        <v>344</v>
      </c>
      <c r="D197" s="141"/>
      <c r="E197" s="141"/>
      <c r="F197" s="141"/>
      <c r="G197" s="141"/>
      <c r="H197" s="141"/>
      <c r="I197" s="141"/>
      <c r="J197" s="141"/>
      <c r="K197" s="141"/>
      <c r="L197" s="141"/>
      <c r="M197" s="141"/>
      <c r="N197" s="141"/>
      <c r="O197" s="152"/>
      <c r="P197" s="153" t="s">
        <v>490</v>
      </c>
      <c r="Q197" s="154"/>
      <c r="R197" s="154"/>
      <c r="S197" s="154"/>
    </row>
    <row r="198" spans="1:19" ht="29" x14ac:dyDescent="0.35">
      <c r="A198" s="142" t="s">
        <v>345</v>
      </c>
      <c r="B198" s="142" t="s">
        <v>346</v>
      </c>
      <c r="C198" s="143" t="s">
        <v>347</v>
      </c>
      <c r="D198" s="144"/>
      <c r="E198" s="144"/>
      <c r="F198" s="145"/>
      <c r="G198" s="146" t="s">
        <v>348</v>
      </c>
      <c r="H198" s="147"/>
      <c r="I198" s="147"/>
      <c r="J198" s="148"/>
      <c r="K198" s="149" t="s">
        <v>491</v>
      </c>
      <c r="L198" s="149" t="s">
        <v>492</v>
      </c>
      <c r="M198" s="149" t="s">
        <v>493</v>
      </c>
      <c r="N198" s="149" t="s">
        <v>494</v>
      </c>
      <c r="O198" s="142" t="s">
        <v>350</v>
      </c>
      <c r="P198" s="153" t="s">
        <v>344</v>
      </c>
      <c r="Q198" s="154"/>
      <c r="R198" s="155"/>
      <c r="S198" s="155"/>
    </row>
    <row r="199" spans="1:19" x14ac:dyDescent="0.35">
      <c r="A199" s="150"/>
      <c r="B199" s="150"/>
      <c r="C199" s="65" t="s">
        <v>351</v>
      </c>
      <c r="D199" s="65" t="s">
        <v>352</v>
      </c>
      <c r="E199" s="65" t="s">
        <v>353</v>
      </c>
      <c r="F199" s="65" t="s">
        <v>354</v>
      </c>
      <c r="G199" s="66" t="s">
        <v>351</v>
      </c>
      <c r="H199" s="66" t="s">
        <v>352</v>
      </c>
      <c r="I199" s="66" t="s">
        <v>353</v>
      </c>
      <c r="J199" s="66" t="s">
        <v>354</v>
      </c>
      <c r="K199" s="151"/>
      <c r="L199" s="151"/>
      <c r="M199" s="151"/>
      <c r="N199" s="151"/>
      <c r="O199" s="150"/>
      <c r="P199" s="156" t="s">
        <v>351</v>
      </c>
      <c r="Q199" s="156" t="s">
        <v>352</v>
      </c>
      <c r="R199" s="156" t="s">
        <v>353</v>
      </c>
      <c r="S199" s="156" t="s">
        <v>354</v>
      </c>
    </row>
    <row r="200" spans="1:19" x14ac:dyDescent="0.35">
      <c r="A200" s="56" t="s">
        <v>355</v>
      </c>
      <c r="B200" s="71"/>
      <c r="C200" s="136" t="str">
        <f>"$"&amp;TEXT(23060.8,"0.00")</f>
        <v>$23060.80</v>
      </c>
      <c r="D200" s="136" t="str">
        <f>"$"&amp;TEXT(660,"0.00")</f>
        <v>$660.00</v>
      </c>
      <c r="E200" s="136" t="str">
        <f>"$"&amp;TEXT(22400.8,"0.00")</f>
        <v>$22400.80</v>
      </c>
      <c r="F200" s="136" t="str">
        <f>TEXT(97.14,"0.00")</f>
        <v>97.14</v>
      </c>
      <c r="G200" s="136" t="str">
        <f>"$"&amp;TEXT(1275,"0.00")</f>
        <v>$1275.00</v>
      </c>
      <c r="H200" s="136" t="str">
        <f>"$"&amp;TEXT(0,"0.00")</f>
        <v>$0.00</v>
      </c>
      <c r="I200" s="136" t="str">
        <f>"$"&amp;TEXT(1275,"0.00")</f>
        <v>$1275.00</v>
      </c>
      <c r="J200" s="136" t="str">
        <f>TEXT(100,"0.00")</f>
        <v>100.00</v>
      </c>
      <c r="K200" s="136" t="str">
        <f>TEXT(1708.69,"0.00")</f>
        <v>1708.69</v>
      </c>
      <c r="L200" s="136" t="str">
        <f>TEXT(0,"0.00")</f>
        <v>0.00</v>
      </c>
      <c r="M200" s="136" t="str">
        <f>TEXT(1656.93,"0.00")</f>
        <v>1656.93</v>
      </c>
      <c r="N200" s="136" t="str">
        <f>TEXT(0,"0.00")</f>
        <v>0.00</v>
      </c>
      <c r="O200" s="41" t="s">
        <v>155</v>
      </c>
      <c r="P200" s="136"/>
      <c r="Q200" s="157"/>
      <c r="R200" s="136"/>
      <c r="S200" s="136"/>
    </row>
    <row r="202" spans="1:19" x14ac:dyDescent="0.35">
      <c r="A202" s="45" t="s">
        <v>369</v>
      </c>
      <c r="B202" s="46"/>
      <c r="C202" s="46"/>
    </row>
    <row r="203" spans="1:19" x14ac:dyDescent="0.35">
      <c r="A203" s="43" t="s">
        <v>369</v>
      </c>
      <c r="B203" s="43" t="s">
        <v>370</v>
      </c>
      <c r="C203" s="43" t="s">
        <v>371</v>
      </c>
      <c r="D203" s="43" t="s">
        <v>372</v>
      </c>
      <c r="E203" s="43" t="s">
        <v>285</v>
      </c>
      <c r="F203" s="43" t="s">
        <v>183</v>
      </c>
      <c r="G203" s="43" t="s">
        <v>184</v>
      </c>
      <c r="H203" s="43" t="s">
        <v>373</v>
      </c>
      <c r="I203" s="43" t="s">
        <v>374</v>
      </c>
      <c r="J203" s="43" t="s">
        <v>375</v>
      </c>
      <c r="K203" s="43" t="s">
        <v>282</v>
      </c>
      <c r="L203" s="43" t="s">
        <v>280</v>
      </c>
    </row>
    <row r="204" spans="1:19" ht="72.5" x14ac:dyDescent="0.35">
      <c r="A204" s="72" t="s">
        <v>376</v>
      </c>
      <c r="B204" s="73" t="s">
        <v>377</v>
      </c>
      <c r="C204" s="73" t="s">
        <v>377</v>
      </c>
      <c r="D204" s="73" t="s">
        <v>378</v>
      </c>
      <c r="E204" s="73" t="s">
        <v>379</v>
      </c>
      <c r="F204" s="73"/>
      <c r="G204" s="73"/>
      <c r="H204" s="73"/>
      <c r="I204" s="73"/>
      <c r="J204" s="74">
        <f ca="1">TODAY()</f>
        <v>45149</v>
      </c>
      <c r="K204" s="74">
        <v>234</v>
      </c>
      <c r="L204" s="73" t="s">
        <v>155</v>
      </c>
    </row>
    <row r="206" spans="1:19" x14ac:dyDescent="0.35">
      <c r="A206" s="45" t="s">
        <v>380</v>
      </c>
      <c r="B206" s="46"/>
      <c r="C206" s="46"/>
    </row>
    <row r="207" spans="1:19" x14ac:dyDescent="0.35">
      <c r="A207" s="43" t="s">
        <v>381</v>
      </c>
      <c r="B207" s="43" t="s">
        <v>382</v>
      </c>
      <c r="C207" s="43" t="s">
        <v>383</v>
      </c>
      <c r="D207" s="43" t="s">
        <v>384</v>
      </c>
    </row>
    <row r="208" spans="1:19" x14ac:dyDescent="0.35">
      <c r="A208" s="75" t="str">
        <f ca="1">TEXT(TODAY(),"YYYY-MM-DD")</f>
        <v>2023-08-11</v>
      </c>
      <c r="B208" s="76" t="s">
        <v>387</v>
      </c>
      <c r="C208" s="76" t="s">
        <v>385</v>
      </c>
      <c r="D208" s="76" t="s">
        <v>386</v>
      </c>
    </row>
    <row r="209" spans="1:48" x14ac:dyDescent="0.35">
      <c r="A209" s="75" t="str">
        <f ca="1">TEXT(TODAY(),"YYYY-MM-DD")</f>
        <v>2023-08-11</v>
      </c>
      <c r="B209" s="76" t="s">
        <v>388</v>
      </c>
      <c r="C209" s="76" t="s">
        <v>385</v>
      </c>
      <c r="D209" s="76" t="s">
        <v>386</v>
      </c>
    </row>
    <row r="210" spans="1:48" x14ac:dyDescent="0.35">
      <c r="A210" s="75" t="str">
        <f ca="1">TEXT(TODAY(),"YYYY-MM-DD")</f>
        <v>2023-08-11</v>
      </c>
      <c r="B210" s="76" t="s">
        <v>389</v>
      </c>
      <c r="C210" s="76" t="s">
        <v>385</v>
      </c>
      <c r="D210" s="76" t="s">
        <v>390</v>
      </c>
    </row>
    <row r="211" spans="1:48" x14ac:dyDescent="0.35">
      <c r="A211" s="75" t="str">
        <f ca="1">TEXT(TODAY(),"YYYY-MM-DD")</f>
        <v>2023-08-11</v>
      </c>
      <c r="B211" s="76" t="s">
        <v>439</v>
      </c>
      <c r="C211" s="76" t="s">
        <v>385</v>
      </c>
      <c r="D211" s="76" t="s">
        <v>440</v>
      </c>
    </row>
    <row r="213" spans="1:48" x14ac:dyDescent="0.35">
      <c r="A213" s="162" t="s">
        <v>442</v>
      </c>
      <c r="B213" s="163"/>
      <c r="C213" s="163"/>
      <c r="D213" s="163"/>
      <c r="E213" s="163"/>
      <c r="F213" s="163"/>
      <c r="G213" s="163"/>
      <c r="H213" s="163"/>
      <c r="I213" s="163"/>
      <c r="J213" s="163"/>
      <c r="K213" s="163"/>
      <c r="L213" s="163"/>
      <c r="M213" s="163"/>
      <c r="N213" s="163"/>
      <c r="O213" s="163"/>
      <c r="P213" s="163"/>
      <c r="Q213" s="163"/>
      <c r="R213" s="163"/>
      <c r="S213" s="117"/>
      <c r="T213" s="117"/>
      <c r="U213" s="117"/>
      <c r="V213" s="117"/>
      <c r="W213" s="117"/>
      <c r="X213" s="117"/>
      <c r="Y213" s="117"/>
      <c r="Z213" s="117"/>
    </row>
    <row r="214" spans="1:48" x14ac:dyDescent="0.35">
      <c r="A214" s="77" t="s">
        <v>391</v>
      </c>
      <c r="B214" s="77" t="s">
        <v>392</v>
      </c>
      <c r="C214" s="77" t="s">
        <v>393</v>
      </c>
      <c r="D214" s="77" t="s">
        <v>282</v>
      </c>
      <c r="E214" s="77" t="s">
        <v>294</v>
      </c>
      <c r="F214" s="77" t="s">
        <v>187</v>
      </c>
      <c r="G214" s="77" t="s">
        <v>394</v>
      </c>
      <c r="H214" s="77" t="s">
        <v>395</v>
      </c>
      <c r="I214" s="77" t="s">
        <v>166</v>
      </c>
      <c r="J214" s="77" t="s">
        <v>396</v>
      </c>
      <c r="K214" s="77" t="s">
        <v>351</v>
      </c>
      <c r="L214" s="77" t="s">
        <v>397</v>
      </c>
      <c r="M214" s="77" t="s">
        <v>352</v>
      </c>
      <c r="N214" s="77" t="s">
        <v>398</v>
      </c>
      <c r="O214" s="77" t="s">
        <v>399</v>
      </c>
      <c r="P214" s="77" t="s">
        <v>359</v>
      </c>
      <c r="Q214" s="77" t="s">
        <v>400</v>
      </c>
      <c r="R214" s="77" t="s">
        <v>401</v>
      </c>
      <c r="S214" s="77" t="s">
        <v>402</v>
      </c>
      <c r="T214" s="77" t="s">
        <v>333</v>
      </c>
      <c r="U214" s="77" t="s">
        <v>332</v>
      </c>
      <c r="V214" s="77" t="s">
        <v>403</v>
      </c>
      <c r="W214" s="77" t="s">
        <v>404</v>
      </c>
      <c r="X214" s="77" t="s">
        <v>405</v>
      </c>
      <c r="Y214" s="77" t="s">
        <v>406</v>
      </c>
      <c r="Z214" s="77" t="s">
        <v>407</v>
      </c>
    </row>
    <row r="215" spans="1:48" ht="19" customHeight="1" x14ac:dyDescent="0.35">
      <c r="A215" s="78" t="s">
        <v>194</v>
      </c>
      <c r="B215" s="79"/>
      <c r="C215" s="80" t="s">
        <v>408</v>
      </c>
      <c r="D215" s="81" t="str">
        <f ca="1">TEXT(TODAY(),"YYYY-MM-DD")</f>
        <v>2023-08-11</v>
      </c>
      <c r="E215" s="80"/>
      <c r="F215" s="81">
        <v>13</v>
      </c>
      <c r="G215" s="81" t="s">
        <v>409</v>
      </c>
      <c r="H215" s="81">
        <f>F215</f>
        <v>13</v>
      </c>
      <c r="I215" s="80" t="s">
        <v>168</v>
      </c>
      <c r="J215" s="81"/>
      <c r="K215" s="81"/>
      <c r="L215" s="81"/>
      <c r="M215" s="81"/>
      <c r="N215" s="80"/>
      <c r="O215" s="80"/>
      <c r="P215" s="80"/>
      <c r="Q215" s="80"/>
      <c r="R215" s="80"/>
      <c r="S215" s="80" t="s">
        <v>199</v>
      </c>
      <c r="T215" s="80" t="s">
        <v>336</v>
      </c>
      <c r="U215" s="80">
        <f>B80</f>
        <v>2049157035</v>
      </c>
      <c r="V215" s="80" t="s">
        <v>410</v>
      </c>
      <c r="W215" s="80" t="s">
        <v>177</v>
      </c>
      <c r="X215" s="80" t="s">
        <v>411</v>
      </c>
      <c r="Y215" s="80" t="s">
        <v>412</v>
      </c>
      <c r="Z215" s="80"/>
      <c r="AU215" t="s">
        <v>495</v>
      </c>
      <c r="AV215" t="s">
        <v>496</v>
      </c>
    </row>
    <row r="216" spans="1:48" ht="19" customHeight="1" x14ac:dyDescent="0.35">
      <c r="A216" s="78" t="s">
        <v>194</v>
      </c>
      <c r="B216" s="79"/>
      <c r="C216" s="83" t="s">
        <v>415</v>
      </c>
      <c r="D216" s="83" t="str">
        <f ca="1">TEXT(TODAY()+30,"YYYY-MM-DD")</f>
        <v>2023-09-10</v>
      </c>
      <c r="E216" s="83"/>
      <c r="F216" s="83">
        <v>12</v>
      </c>
      <c r="G216" s="83" t="s">
        <v>409</v>
      </c>
      <c r="H216" s="83">
        <f>F216</f>
        <v>12</v>
      </c>
      <c r="I216" s="83" t="s">
        <v>168</v>
      </c>
      <c r="J216" s="83"/>
      <c r="K216" s="83"/>
      <c r="L216" s="83"/>
      <c r="M216" s="83"/>
      <c r="N216" s="83"/>
      <c r="O216" s="83"/>
      <c r="P216" s="83"/>
      <c r="Q216" s="83"/>
      <c r="R216" s="83"/>
      <c r="S216" s="83" t="s">
        <v>199</v>
      </c>
      <c r="T216" s="83" t="s">
        <v>336</v>
      </c>
      <c r="U216" s="80">
        <f>B80</f>
        <v>2049157035</v>
      </c>
      <c r="V216" s="83" t="s">
        <v>410</v>
      </c>
      <c r="W216" s="83" t="s">
        <v>177</v>
      </c>
      <c r="X216" s="83" t="s">
        <v>411</v>
      </c>
      <c r="Y216" s="83" t="s">
        <v>412</v>
      </c>
      <c r="Z216" s="83"/>
      <c r="AU216" t="s">
        <v>497</v>
      </c>
      <c r="AV216" t="s">
        <v>498</v>
      </c>
    </row>
    <row r="218" spans="1:48" ht="16" customHeight="1" x14ac:dyDescent="0.35">
      <c r="A218" s="78" t="s">
        <v>247</v>
      </c>
      <c r="B218" s="78" t="s">
        <v>422</v>
      </c>
      <c r="C218" s="80" t="s">
        <v>408</v>
      </c>
      <c r="D218" s="80" t="str">
        <f ca="1">TEXT(TODAY(),"YYYY-MM-DD")</f>
        <v>2023-08-11</v>
      </c>
      <c r="E218" s="80"/>
      <c r="F218" s="80" t="s">
        <v>424</v>
      </c>
      <c r="G218" s="80" t="s">
        <v>409</v>
      </c>
      <c r="H218" s="80"/>
      <c r="I218" s="80" t="s">
        <v>168</v>
      </c>
      <c r="J218" s="80"/>
      <c r="K218" s="80"/>
      <c r="L218" s="80"/>
      <c r="M218" s="80"/>
      <c r="N218" s="80"/>
      <c r="O218" s="80"/>
      <c r="P218" s="80"/>
      <c r="Q218" s="80"/>
      <c r="R218" s="80"/>
      <c r="S218" s="80"/>
      <c r="T218" s="80" t="s">
        <v>336</v>
      </c>
      <c r="U218" s="80">
        <f>B80</f>
        <v>2049157035</v>
      </c>
      <c r="V218" s="80" t="s">
        <v>410</v>
      </c>
      <c r="W218" s="80" t="s">
        <v>177</v>
      </c>
      <c r="X218" s="80" t="s">
        <v>411</v>
      </c>
      <c r="Y218" s="80" t="s">
        <v>412</v>
      </c>
      <c r="Z218" s="80"/>
      <c r="AU218" t="s">
        <v>499</v>
      </c>
      <c r="AV218" t="s">
        <v>500</v>
      </c>
    </row>
    <row r="219" spans="1:48" ht="16" customHeight="1" x14ac:dyDescent="0.35">
      <c r="A219" s="78" t="s">
        <v>247</v>
      </c>
      <c r="B219" s="78" t="s">
        <v>422</v>
      </c>
      <c r="C219" s="83" t="s">
        <v>415</v>
      </c>
      <c r="D219" s="83" t="str">
        <f ca="1">TEXT(TODAY()+30,"YYYY-MM-DD")</f>
        <v>2023-09-10</v>
      </c>
      <c r="E219" s="83"/>
      <c r="F219" s="83" t="s">
        <v>443</v>
      </c>
      <c r="G219" s="83" t="s">
        <v>409</v>
      </c>
      <c r="H219" s="83"/>
      <c r="I219" s="83" t="s">
        <v>168</v>
      </c>
      <c r="J219" s="83"/>
      <c r="K219" s="83"/>
      <c r="L219" s="83"/>
      <c r="M219" s="83"/>
      <c r="N219" s="83"/>
      <c r="O219" s="83"/>
      <c r="P219" s="83"/>
      <c r="Q219" s="83"/>
      <c r="R219" s="83"/>
      <c r="S219" s="83"/>
      <c r="T219" s="83" t="s">
        <v>336</v>
      </c>
      <c r="U219" s="128">
        <f>B80</f>
        <v>2049157035</v>
      </c>
      <c r="V219" s="83" t="s">
        <v>410</v>
      </c>
      <c r="W219" s="83" t="s">
        <v>177</v>
      </c>
      <c r="X219" s="83" t="s">
        <v>411</v>
      </c>
      <c r="Y219" s="83" t="s">
        <v>412</v>
      </c>
      <c r="Z219" s="83"/>
      <c r="AU219" t="s">
        <v>501</v>
      </c>
      <c r="AV219" t="s">
        <v>502</v>
      </c>
    </row>
    <row r="221" spans="1:48" ht="16" customHeight="1" x14ac:dyDescent="0.35">
      <c r="A221" s="78" t="s">
        <v>247</v>
      </c>
      <c r="B221" s="78" t="s">
        <v>421</v>
      </c>
      <c r="C221" s="80" t="s">
        <v>408</v>
      </c>
      <c r="D221" s="80" t="str">
        <f ca="1">TEXT(TODAY(),"YYYY-MM-DD")</f>
        <v>2023-08-11</v>
      </c>
      <c r="E221" s="80"/>
      <c r="F221" s="80" t="s">
        <v>425</v>
      </c>
      <c r="G221" s="80" t="s">
        <v>409</v>
      </c>
      <c r="H221" s="80"/>
      <c r="I221" s="80" t="s">
        <v>168</v>
      </c>
      <c r="J221" s="80"/>
      <c r="K221" s="80"/>
      <c r="L221" s="80"/>
      <c r="M221" s="80"/>
      <c r="N221" s="80"/>
      <c r="O221" s="80"/>
      <c r="P221" s="80"/>
      <c r="Q221" s="80"/>
      <c r="R221" s="80"/>
      <c r="S221" s="80"/>
      <c r="T221" s="80" t="s">
        <v>336</v>
      </c>
      <c r="U221" s="80">
        <f>B80</f>
        <v>2049157035</v>
      </c>
      <c r="V221" s="80" t="s">
        <v>410</v>
      </c>
      <c r="W221" s="80" t="s">
        <v>177</v>
      </c>
      <c r="X221" s="80" t="s">
        <v>411</v>
      </c>
      <c r="Y221" s="80" t="s">
        <v>412</v>
      </c>
      <c r="Z221" s="80"/>
      <c r="AU221" t="s">
        <v>503</v>
      </c>
      <c r="AV221" t="s">
        <v>504</v>
      </c>
    </row>
    <row r="222" spans="1:48" ht="16" customHeight="1" x14ac:dyDescent="0.35">
      <c r="A222" s="78" t="s">
        <v>247</v>
      </c>
      <c r="B222" s="78" t="s">
        <v>421</v>
      </c>
      <c r="C222" s="83" t="s">
        <v>415</v>
      </c>
      <c r="D222" s="83" t="str">
        <f ca="1">TEXT(TODAY()+30,"YYYY-MM-DD")</f>
        <v>2023-09-10</v>
      </c>
      <c r="E222" s="83"/>
      <c r="F222" s="83" t="s">
        <v>443</v>
      </c>
      <c r="G222" s="83" t="s">
        <v>409</v>
      </c>
      <c r="H222" s="83"/>
      <c r="I222" s="83" t="s">
        <v>168</v>
      </c>
      <c r="J222" s="83"/>
      <c r="K222" s="83"/>
      <c r="L222" s="83"/>
      <c r="M222" s="83"/>
      <c r="N222" s="83"/>
      <c r="O222" s="83"/>
      <c r="P222" s="83"/>
      <c r="Q222" s="83"/>
      <c r="R222" s="83"/>
      <c r="S222" s="83"/>
      <c r="T222" s="83" t="s">
        <v>336</v>
      </c>
      <c r="U222" s="128">
        <f>B80</f>
        <v>2049157035</v>
      </c>
      <c r="V222" s="83" t="s">
        <v>410</v>
      </c>
      <c r="W222" s="83" t="s">
        <v>177</v>
      </c>
      <c r="X222" s="83" t="s">
        <v>411</v>
      </c>
      <c r="Y222" s="83" t="s">
        <v>412</v>
      </c>
      <c r="Z222" s="83"/>
      <c r="AU222" t="s">
        <v>505</v>
      </c>
      <c r="AV222" t="s">
        <v>506</v>
      </c>
    </row>
    <row r="224" spans="1:48" x14ac:dyDescent="0.35">
      <c r="A224" s="77" t="s">
        <v>391</v>
      </c>
      <c r="B224" s="77" t="s">
        <v>392</v>
      </c>
      <c r="C224" s="77" t="s">
        <v>393</v>
      </c>
      <c r="D224" s="77" t="s">
        <v>282</v>
      </c>
      <c r="E224" s="77" t="s">
        <v>294</v>
      </c>
      <c r="F224" s="77" t="s">
        <v>187</v>
      </c>
      <c r="G224" s="77" t="s">
        <v>394</v>
      </c>
      <c r="H224" s="77" t="s">
        <v>395</v>
      </c>
      <c r="I224" s="77" t="s">
        <v>166</v>
      </c>
      <c r="J224" s="77" t="s">
        <v>396</v>
      </c>
      <c r="K224" s="77" t="s">
        <v>351</v>
      </c>
      <c r="L224" s="77" t="s">
        <v>397</v>
      </c>
      <c r="M224" s="77" t="s">
        <v>352</v>
      </c>
      <c r="N224" s="77" t="s">
        <v>398</v>
      </c>
      <c r="O224" s="77" t="s">
        <v>399</v>
      </c>
      <c r="P224" s="77" t="s">
        <v>359</v>
      </c>
      <c r="Q224" s="77" t="s">
        <v>400</v>
      </c>
      <c r="R224" s="77" t="s">
        <v>401</v>
      </c>
      <c r="S224" s="77" t="s">
        <v>402</v>
      </c>
      <c r="T224" s="77" t="s">
        <v>333</v>
      </c>
      <c r="U224" s="77" t="s">
        <v>332</v>
      </c>
      <c r="V224" s="77" t="s">
        <v>403</v>
      </c>
      <c r="W224" s="77" t="s">
        <v>404</v>
      </c>
      <c r="X224" s="77" t="s">
        <v>405</v>
      </c>
      <c r="Y224" s="77" t="s">
        <v>406</v>
      </c>
      <c r="Z224" s="77" t="s">
        <v>407</v>
      </c>
    </row>
    <row r="225" spans="1:48" x14ac:dyDescent="0.35">
      <c r="A225" s="78" t="s">
        <v>200</v>
      </c>
      <c r="B225" s="79"/>
      <c r="C225" s="80" t="s">
        <v>408</v>
      </c>
      <c r="D225" s="80" t="str">
        <f ca="1">TEXT(TODAY(),"YYYY-MM-DD")</f>
        <v>2023-08-11</v>
      </c>
      <c r="E225" s="81"/>
      <c r="F225" s="81">
        <v>11</v>
      </c>
      <c r="G225" s="81" t="s">
        <v>409</v>
      </c>
      <c r="H225" s="81">
        <f>F225</f>
        <v>11</v>
      </c>
      <c r="I225" s="80" t="s">
        <v>168</v>
      </c>
      <c r="J225" s="81" t="str">
        <f>TEXT(4,"0")</f>
        <v>4</v>
      </c>
      <c r="K225" s="81" t="str">
        <f>TEXT(H225*J225,"0")</f>
        <v>44</v>
      </c>
      <c r="L225" s="81"/>
      <c r="M225" s="81" t="str">
        <f>TEXT(52,"0")</f>
        <v>52</v>
      </c>
      <c r="N225" s="80" t="s">
        <v>179</v>
      </c>
      <c r="O225" s="80" t="s">
        <v>418</v>
      </c>
      <c r="P225" s="80" t="s">
        <v>413</v>
      </c>
      <c r="Q225" s="80" t="s">
        <v>449</v>
      </c>
      <c r="R225" s="80"/>
      <c r="S225" s="80" t="s">
        <v>199</v>
      </c>
      <c r="T225" s="80" t="s">
        <v>336</v>
      </c>
      <c r="U225" s="80">
        <f>B80</f>
        <v>2049157035</v>
      </c>
      <c r="V225" s="80" t="s">
        <v>410</v>
      </c>
      <c r="W225" s="80" t="s">
        <v>177</v>
      </c>
      <c r="X225" s="80" t="s">
        <v>411</v>
      </c>
      <c r="Y225" s="80" t="s">
        <v>412</v>
      </c>
      <c r="Z225" s="80"/>
      <c r="AU225" t="s">
        <v>507</v>
      </c>
      <c r="AV225" t="s">
        <v>508</v>
      </c>
    </row>
    <row r="226" spans="1:48" x14ac:dyDescent="0.35">
      <c r="A226" s="78" t="s">
        <v>200</v>
      </c>
      <c r="B226" s="79"/>
      <c r="C226" s="83" t="s">
        <v>415</v>
      </c>
      <c r="D226" s="83" t="str">
        <f ca="1">TEXT(TODAY()+30,"YYYY-MM-DD")</f>
        <v>2023-09-10</v>
      </c>
      <c r="E226" s="83"/>
      <c r="F226" s="83">
        <v>10</v>
      </c>
      <c r="G226" s="83" t="s">
        <v>409</v>
      </c>
      <c r="H226" s="83">
        <f>F226</f>
        <v>10</v>
      </c>
      <c r="I226" s="83" t="s">
        <v>168</v>
      </c>
      <c r="J226" s="83" t="str">
        <f>TEXT(4,"0")</f>
        <v>4</v>
      </c>
      <c r="K226" s="83" t="str">
        <f>TEXT(H226*J226,"0")</f>
        <v>40</v>
      </c>
      <c r="L226" s="83"/>
      <c r="M226" s="83" t="str">
        <f>TEXT(52,"0")</f>
        <v>52</v>
      </c>
      <c r="N226" s="83"/>
      <c r="O226" s="83" t="s">
        <v>414</v>
      </c>
      <c r="P226" s="83" t="s">
        <v>413</v>
      </c>
      <c r="Q226" s="83" t="s">
        <v>449</v>
      </c>
      <c r="R226" s="83"/>
      <c r="S226" s="83" t="s">
        <v>199</v>
      </c>
      <c r="T226" s="83" t="s">
        <v>336</v>
      </c>
      <c r="U226" s="128">
        <f>B80</f>
        <v>2049157035</v>
      </c>
      <c r="V226" s="83" t="s">
        <v>410</v>
      </c>
      <c r="W226" s="83" t="s">
        <v>177</v>
      </c>
      <c r="X226" s="83" t="s">
        <v>411</v>
      </c>
      <c r="Y226" s="83" t="s">
        <v>412</v>
      </c>
      <c r="Z226" s="83"/>
      <c r="AU226" t="s">
        <v>509</v>
      </c>
      <c r="AV226" t="s">
        <v>510</v>
      </c>
    </row>
    <row r="227" spans="1:48" x14ac:dyDescent="0.35">
      <c r="A227" s="78" t="s">
        <v>200</v>
      </c>
      <c r="B227" s="79"/>
      <c r="C227" s="82" t="s">
        <v>416</v>
      </c>
      <c r="D227" s="82" t="str">
        <f ca="1">TEXT(TODAY(),"YYYY-MM-DD")</f>
        <v>2023-08-11</v>
      </c>
      <c r="E227" s="82" t="str">
        <f ca="1">TEXT(TODAY()+29,"YYYY-MM-DD")</f>
        <v>2023-09-09</v>
      </c>
      <c r="F227" s="82">
        <v>11</v>
      </c>
      <c r="G227" s="82" t="s">
        <v>409</v>
      </c>
      <c r="H227" s="82">
        <f>F227</f>
        <v>11</v>
      </c>
      <c r="I227" s="82" t="s">
        <v>168</v>
      </c>
      <c r="J227" s="82" t="str">
        <f>TEXT(4,"0")</f>
        <v>4</v>
      </c>
      <c r="K227" s="82" t="str">
        <f>TEXT(H227*J227,"0")</f>
        <v>44</v>
      </c>
      <c r="L227" s="82"/>
      <c r="M227" s="82" t="str">
        <f>TEXT(52,"0")</f>
        <v>52</v>
      </c>
      <c r="N227" s="82"/>
      <c r="O227" s="82" t="s">
        <v>414</v>
      </c>
      <c r="P227" s="82" t="s">
        <v>413</v>
      </c>
      <c r="Q227" s="82" t="s">
        <v>449</v>
      </c>
      <c r="R227" s="82"/>
      <c r="S227" s="82" t="s">
        <v>199</v>
      </c>
      <c r="T227" s="82" t="s">
        <v>336</v>
      </c>
      <c r="U227" s="100">
        <f>B80</f>
        <v>2049157035</v>
      </c>
      <c r="V227" s="82" t="s">
        <v>410</v>
      </c>
      <c r="W227" s="82" t="s">
        <v>177</v>
      </c>
      <c r="X227" s="82" t="s">
        <v>411</v>
      </c>
      <c r="Y227" s="82" t="s">
        <v>412</v>
      </c>
      <c r="Z227" s="82"/>
      <c r="AU227" t="s">
        <v>468</v>
      </c>
    </row>
    <row r="229" spans="1:48" x14ac:dyDescent="0.35">
      <c r="A229" s="162" t="s">
        <v>450</v>
      </c>
      <c r="B229" s="163"/>
      <c r="C229" s="163"/>
      <c r="D229" s="163"/>
      <c r="E229" s="163"/>
      <c r="F229" s="163"/>
      <c r="G229" s="163"/>
      <c r="H229" s="163"/>
      <c r="I229" s="163"/>
      <c r="J229" s="163"/>
      <c r="K229" s="163"/>
      <c r="L229" s="163"/>
      <c r="M229" s="163"/>
      <c r="N229" s="163"/>
      <c r="O229" s="163"/>
      <c r="P229" s="163"/>
      <c r="Q229" s="163"/>
      <c r="R229" s="163"/>
      <c r="S229" s="126"/>
      <c r="T229" s="126"/>
      <c r="U229" s="126"/>
      <c r="V229" s="126"/>
      <c r="W229" s="126"/>
      <c r="X229" s="126"/>
      <c r="Y229" s="126"/>
      <c r="Z229" s="126"/>
    </row>
    <row r="230" spans="1:48" x14ac:dyDescent="0.35">
      <c r="A230" s="77" t="s">
        <v>391</v>
      </c>
      <c r="B230" s="77" t="s">
        <v>392</v>
      </c>
      <c r="C230" s="77" t="s">
        <v>393</v>
      </c>
      <c r="D230" s="77" t="s">
        <v>282</v>
      </c>
      <c r="E230" s="77" t="s">
        <v>294</v>
      </c>
      <c r="F230" s="77" t="s">
        <v>187</v>
      </c>
      <c r="G230" s="77" t="s">
        <v>394</v>
      </c>
      <c r="H230" s="77" t="s">
        <v>395</v>
      </c>
      <c r="I230" s="77" t="s">
        <v>166</v>
      </c>
      <c r="J230" s="77" t="s">
        <v>396</v>
      </c>
      <c r="K230" s="77" t="s">
        <v>351</v>
      </c>
      <c r="L230" s="77" t="s">
        <v>397</v>
      </c>
      <c r="M230" s="77" t="s">
        <v>352</v>
      </c>
      <c r="N230" s="77" t="s">
        <v>398</v>
      </c>
      <c r="O230" s="77" t="s">
        <v>399</v>
      </c>
      <c r="P230" s="77" t="s">
        <v>359</v>
      </c>
      <c r="Q230" s="77" t="s">
        <v>400</v>
      </c>
      <c r="R230" s="77" t="s">
        <v>401</v>
      </c>
      <c r="S230" s="77" t="s">
        <v>402</v>
      </c>
      <c r="T230" s="77" t="s">
        <v>333</v>
      </c>
      <c r="U230" s="77" t="s">
        <v>332</v>
      </c>
      <c r="V230" s="77" t="s">
        <v>403</v>
      </c>
      <c r="W230" s="77" t="s">
        <v>404</v>
      </c>
      <c r="X230" s="77" t="s">
        <v>405</v>
      </c>
      <c r="Y230" s="77" t="s">
        <v>406</v>
      </c>
      <c r="Z230" s="77" t="s">
        <v>407</v>
      </c>
    </row>
    <row r="231" spans="1:48" ht="19" customHeight="1" x14ac:dyDescent="0.35">
      <c r="A231" s="79" t="s">
        <v>207</v>
      </c>
      <c r="B231" s="79"/>
      <c r="C231" s="80" t="s">
        <v>408</v>
      </c>
      <c r="D231" s="81" t="str">
        <f ca="1">TEXT(TODAY(),"YYYY-MM-DD")</f>
        <v>2023-08-11</v>
      </c>
      <c r="E231" s="80"/>
      <c r="F231" s="80" t="s">
        <v>451</v>
      </c>
      <c r="G231" s="80" t="s">
        <v>409</v>
      </c>
      <c r="H231" s="80" t="s">
        <v>210</v>
      </c>
      <c r="I231" s="80" t="s">
        <v>168</v>
      </c>
      <c r="J231" s="80" t="s">
        <v>452</v>
      </c>
      <c r="K231" s="80" t="s">
        <v>453</v>
      </c>
      <c r="L231" s="80"/>
      <c r="M231" s="80" t="s">
        <v>454</v>
      </c>
      <c r="N231" s="80" t="s">
        <v>179</v>
      </c>
      <c r="O231" s="80" t="s">
        <v>418</v>
      </c>
      <c r="P231" s="80" t="s">
        <v>417</v>
      </c>
      <c r="Q231" s="80"/>
      <c r="R231" s="80"/>
      <c r="S231" s="127" t="s">
        <v>455</v>
      </c>
      <c r="T231" s="80" t="s">
        <v>336</v>
      </c>
      <c r="U231" s="80">
        <f>B80</f>
        <v>2049157035</v>
      </c>
      <c r="V231" s="80" t="s">
        <v>410</v>
      </c>
      <c r="W231" s="80">
        <v>1</v>
      </c>
      <c r="X231" s="80">
        <v>0</v>
      </c>
      <c r="Y231" s="80"/>
      <c r="Z231" s="80"/>
      <c r="AU231" t="s">
        <v>511</v>
      </c>
      <c r="AV231" t="s">
        <v>512</v>
      </c>
    </row>
    <row r="232" spans="1:48" ht="19" customHeight="1" x14ac:dyDescent="0.35">
      <c r="A232" s="79" t="s">
        <v>207</v>
      </c>
      <c r="B232" s="79"/>
      <c r="C232" s="83" t="s">
        <v>415</v>
      </c>
      <c r="D232" s="83" t="str">
        <f ca="1">TEXT(TODAY()+30,"YYYY-MM-DD")</f>
        <v>2023-09-10</v>
      </c>
      <c r="E232" s="83"/>
      <c r="F232" s="83" t="s">
        <v>456</v>
      </c>
      <c r="G232" s="83" t="s">
        <v>409</v>
      </c>
      <c r="H232" s="83" t="s">
        <v>210</v>
      </c>
      <c r="I232" s="83" t="s">
        <v>168</v>
      </c>
      <c r="J232" s="83" t="s">
        <v>452</v>
      </c>
      <c r="K232" s="83" t="s">
        <v>453</v>
      </c>
      <c r="L232" s="83"/>
      <c r="M232" s="83" t="s">
        <v>454</v>
      </c>
      <c r="N232" s="83" t="s">
        <v>179</v>
      </c>
      <c r="O232" s="83" t="s">
        <v>418</v>
      </c>
      <c r="P232" s="83" t="s">
        <v>417</v>
      </c>
      <c r="Q232" s="83"/>
      <c r="R232" s="83"/>
      <c r="S232" s="83" t="s">
        <v>455</v>
      </c>
      <c r="T232" s="83" t="s">
        <v>336</v>
      </c>
      <c r="U232" s="128">
        <f>B80</f>
        <v>2049157035</v>
      </c>
      <c r="V232" s="83" t="s">
        <v>410</v>
      </c>
      <c r="W232" s="83">
        <v>1</v>
      </c>
      <c r="X232" s="83">
        <v>0</v>
      </c>
      <c r="Y232" s="83"/>
      <c r="Z232" s="83"/>
      <c r="AU232" t="s">
        <v>513</v>
      </c>
      <c r="AV232" t="s">
        <v>514</v>
      </c>
    </row>
    <row r="233" spans="1:48" ht="19" customHeight="1" x14ac:dyDescent="0.35">
      <c r="A233" s="79" t="s">
        <v>207</v>
      </c>
      <c r="B233" s="79"/>
      <c r="C233" s="82" t="s">
        <v>416</v>
      </c>
      <c r="D233" s="82" t="str">
        <f ca="1">TEXT(TODAY(),"YYYY-MM-DD")</f>
        <v>2023-08-11</v>
      </c>
      <c r="E233" s="82" t="str">
        <f ca="1">TEXT(TODAY()+29,"YYYY-MM-DD")</f>
        <v>2023-09-09</v>
      </c>
      <c r="F233" s="82" t="s">
        <v>451</v>
      </c>
      <c r="G233" s="82" t="s">
        <v>409</v>
      </c>
      <c r="H233" s="82" t="s">
        <v>210</v>
      </c>
      <c r="I233" s="82" t="s">
        <v>168</v>
      </c>
      <c r="J233" s="82" t="s">
        <v>452</v>
      </c>
      <c r="K233" s="82" t="s">
        <v>453</v>
      </c>
      <c r="L233" s="82"/>
      <c r="M233" s="82" t="s">
        <v>454</v>
      </c>
      <c r="N233" s="82" t="s">
        <v>179</v>
      </c>
      <c r="O233" s="82" t="s">
        <v>418</v>
      </c>
      <c r="P233" s="82" t="s">
        <v>417</v>
      </c>
      <c r="Q233" s="82"/>
      <c r="R233" s="82"/>
      <c r="S233" s="82" t="s">
        <v>455</v>
      </c>
      <c r="T233" s="82" t="s">
        <v>336</v>
      </c>
      <c r="U233" s="100">
        <f>B80</f>
        <v>2049157035</v>
      </c>
      <c r="V233" s="82" t="s">
        <v>410</v>
      </c>
      <c r="W233" s="82">
        <v>1</v>
      </c>
      <c r="X233" s="82">
        <v>0</v>
      </c>
      <c r="Y233" s="82"/>
      <c r="Z233" s="82"/>
      <c r="AU233" t="s">
        <v>469</v>
      </c>
    </row>
    <row r="235" spans="1:48" x14ac:dyDescent="0.35">
      <c r="A235" s="162" t="s">
        <v>457</v>
      </c>
      <c r="B235" s="163"/>
      <c r="C235" s="163"/>
      <c r="D235" s="163"/>
      <c r="E235" s="163"/>
      <c r="F235" s="163"/>
      <c r="G235" s="163"/>
      <c r="H235" s="163"/>
      <c r="I235" s="163"/>
      <c r="J235" s="163"/>
      <c r="K235" s="163"/>
      <c r="L235" s="163"/>
      <c r="M235" s="163"/>
      <c r="N235" s="163"/>
      <c r="O235" s="163"/>
      <c r="P235" s="163"/>
      <c r="Q235" s="163"/>
      <c r="R235" s="163"/>
      <c r="S235" s="126"/>
      <c r="T235" s="126"/>
      <c r="U235" s="126"/>
      <c r="V235" s="126"/>
      <c r="W235" s="126"/>
      <c r="X235" s="126"/>
      <c r="Y235" s="126"/>
      <c r="Z235" s="126"/>
    </row>
    <row r="236" spans="1:48" x14ac:dyDescent="0.35">
      <c r="A236" s="77" t="s">
        <v>391</v>
      </c>
      <c r="B236" s="77" t="s">
        <v>392</v>
      </c>
      <c r="C236" s="77" t="s">
        <v>393</v>
      </c>
      <c r="D236" s="77" t="s">
        <v>282</v>
      </c>
      <c r="E236" s="77" t="s">
        <v>294</v>
      </c>
      <c r="F236" s="77" t="s">
        <v>187</v>
      </c>
      <c r="G236" s="77" t="s">
        <v>394</v>
      </c>
      <c r="H236" s="77" t="s">
        <v>395</v>
      </c>
      <c r="I236" s="77" t="s">
        <v>166</v>
      </c>
      <c r="J236" s="77" t="s">
        <v>396</v>
      </c>
      <c r="K236" s="77" t="s">
        <v>351</v>
      </c>
      <c r="L236" s="77" t="s">
        <v>397</v>
      </c>
      <c r="M236" s="77" t="s">
        <v>352</v>
      </c>
      <c r="N236" s="77" t="s">
        <v>398</v>
      </c>
      <c r="O236" s="77" t="s">
        <v>399</v>
      </c>
      <c r="P236" s="77" t="s">
        <v>359</v>
      </c>
      <c r="Q236" s="77" t="s">
        <v>400</v>
      </c>
      <c r="R236" s="77" t="s">
        <v>401</v>
      </c>
      <c r="S236" s="77" t="s">
        <v>402</v>
      </c>
      <c r="T236" s="77" t="s">
        <v>333</v>
      </c>
      <c r="U236" s="77" t="s">
        <v>332</v>
      </c>
      <c r="V236" s="77" t="s">
        <v>403</v>
      </c>
      <c r="W236" s="77" t="s">
        <v>404</v>
      </c>
      <c r="X236" s="77" t="s">
        <v>405</v>
      </c>
      <c r="Y236" s="77" t="s">
        <v>406</v>
      </c>
      <c r="Z236" s="77" t="s">
        <v>407</v>
      </c>
    </row>
    <row r="237" spans="1:48" ht="19" customHeight="1" x14ac:dyDescent="0.35">
      <c r="A237" s="79" t="s">
        <v>214</v>
      </c>
      <c r="B237" s="79"/>
      <c r="C237" s="80" t="s">
        <v>408</v>
      </c>
      <c r="D237" s="81" t="str">
        <f ca="1">TEXT(TODAY(),"YYYY-MM-DD")</f>
        <v>2023-08-11</v>
      </c>
      <c r="E237" s="80"/>
      <c r="F237" s="80" t="s">
        <v>451</v>
      </c>
      <c r="G237" s="80" t="s">
        <v>419</v>
      </c>
      <c r="H237" s="80" t="s">
        <v>210</v>
      </c>
      <c r="I237" s="80" t="s">
        <v>168</v>
      </c>
      <c r="J237" s="80" t="s">
        <v>452</v>
      </c>
      <c r="K237" s="80" t="s">
        <v>458</v>
      </c>
      <c r="L237" s="80"/>
      <c r="M237" s="80" t="s">
        <v>454</v>
      </c>
      <c r="N237" s="80" t="s">
        <v>179</v>
      </c>
      <c r="O237" s="80" t="s">
        <v>418</v>
      </c>
      <c r="P237" s="80" t="s">
        <v>417</v>
      </c>
      <c r="Q237" s="80"/>
      <c r="R237" s="80"/>
      <c r="S237" s="127" t="s">
        <v>455</v>
      </c>
      <c r="T237" s="80" t="s">
        <v>336</v>
      </c>
      <c r="U237" s="80">
        <f>B80</f>
        <v>2049157035</v>
      </c>
      <c r="V237" s="80" t="s">
        <v>410</v>
      </c>
      <c r="W237" s="80">
        <v>1</v>
      </c>
      <c r="X237" s="80">
        <v>0</v>
      </c>
      <c r="Y237" s="80"/>
      <c r="Z237" s="80"/>
      <c r="AU237" t="s">
        <v>515</v>
      </c>
      <c r="AV237" t="s">
        <v>516</v>
      </c>
    </row>
    <row r="238" spans="1:48" ht="19" customHeight="1" x14ac:dyDescent="0.35">
      <c r="A238" s="79" t="s">
        <v>214</v>
      </c>
      <c r="B238" s="79"/>
      <c r="C238" s="83" t="s">
        <v>415</v>
      </c>
      <c r="D238" s="83" t="str">
        <f ca="1">TEXT(TODAY()+30,"YYYY-MM-DD")</f>
        <v>2023-09-10</v>
      </c>
      <c r="E238" s="83"/>
      <c r="F238" s="83" t="s">
        <v>456</v>
      </c>
      <c r="G238" s="83" t="s">
        <v>419</v>
      </c>
      <c r="H238" s="83">
        <v>12.95</v>
      </c>
      <c r="I238" s="83" t="s">
        <v>168</v>
      </c>
      <c r="J238" s="83">
        <v>4</v>
      </c>
      <c r="K238" s="83" t="s">
        <v>458</v>
      </c>
      <c r="L238" s="83"/>
      <c r="M238" s="83" t="s">
        <v>454</v>
      </c>
      <c r="N238" s="83" t="s">
        <v>179</v>
      </c>
      <c r="O238" s="83" t="s">
        <v>418</v>
      </c>
      <c r="P238" s="83" t="s">
        <v>417</v>
      </c>
      <c r="Q238" s="83"/>
      <c r="R238" s="83"/>
      <c r="S238" s="83" t="s">
        <v>455</v>
      </c>
      <c r="T238" s="83" t="s">
        <v>336</v>
      </c>
      <c r="U238" s="128">
        <f>B80</f>
        <v>2049157035</v>
      </c>
      <c r="V238" s="83" t="s">
        <v>410</v>
      </c>
      <c r="W238" s="83">
        <v>1</v>
      </c>
      <c r="X238" s="83">
        <v>0</v>
      </c>
      <c r="Y238" s="83"/>
      <c r="Z238" s="83"/>
      <c r="AU238" t="s">
        <v>517</v>
      </c>
      <c r="AV238" t="s">
        <v>518</v>
      </c>
    </row>
    <row r="239" spans="1:48" ht="19" customHeight="1" x14ac:dyDescent="0.35">
      <c r="A239" s="79" t="s">
        <v>214</v>
      </c>
      <c r="B239" s="79"/>
      <c r="C239" s="82" t="s">
        <v>416</v>
      </c>
      <c r="D239" s="82" t="str">
        <f ca="1">TEXT(TODAY(),"YYYY-MM-DD")</f>
        <v>2023-08-11</v>
      </c>
      <c r="E239" s="82" t="str">
        <f ca="1">TEXT(TODAY()+29,"YYYY-MM-DD")</f>
        <v>2023-09-09</v>
      </c>
      <c r="F239" s="82" t="s">
        <v>451</v>
      </c>
      <c r="G239" s="82" t="s">
        <v>419</v>
      </c>
      <c r="H239" s="82" t="s">
        <v>210</v>
      </c>
      <c r="I239" s="82" t="s">
        <v>168</v>
      </c>
      <c r="J239" s="82" t="s">
        <v>452</v>
      </c>
      <c r="K239" s="82" t="s">
        <v>458</v>
      </c>
      <c r="L239" s="82"/>
      <c r="M239" s="82" t="s">
        <v>454</v>
      </c>
      <c r="N239" s="82" t="s">
        <v>179</v>
      </c>
      <c r="O239" s="82" t="s">
        <v>418</v>
      </c>
      <c r="P239" s="82" t="s">
        <v>417</v>
      </c>
      <c r="Q239" s="82"/>
      <c r="R239" s="82"/>
      <c r="S239" s="82" t="s">
        <v>455</v>
      </c>
      <c r="T239" s="82" t="s">
        <v>336</v>
      </c>
      <c r="U239" s="100">
        <f>B80</f>
        <v>2049157035</v>
      </c>
      <c r="V239" s="82" t="s">
        <v>410</v>
      </c>
      <c r="W239" s="82">
        <v>1</v>
      </c>
      <c r="X239" s="82">
        <v>0</v>
      </c>
      <c r="Y239" s="82"/>
      <c r="Z239" s="82"/>
      <c r="AU239" t="s">
        <v>470</v>
      </c>
    </row>
    <row r="240" spans="1:48" x14ac:dyDescent="0.35">
      <c r="U240" s="129"/>
    </row>
    <row r="241" spans="1:48" x14ac:dyDescent="0.35">
      <c r="A241" s="162" t="s">
        <v>459</v>
      </c>
      <c r="B241" s="163"/>
      <c r="C241" s="163"/>
      <c r="D241" s="163"/>
      <c r="E241" s="163"/>
      <c r="F241" s="163"/>
      <c r="G241" s="163"/>
      <c r="H241" s="163"/>
      <c r="I241" s="163"/>
      <c r="J241" s="163"/>
      <c r="K241" s="163"/>
      <c r="L241" s="163"/>
      <c r="M241" s="163"/>
      <c r="N241" s="163"/>
      <c r="O241" s="163"/>
      <c r="P241" s="163"/>
      <c r="Q241" s="163"/>
      <c r="R241" s="163"/>
      <c r="S241" s="126"/>
      <c r="T241" s="126"/>
      <c r="U241" s="130"/>
      <c r="V241" s="126"/>
      <c r="W241" s="126"/>
      <c r="X241" s="126"/>
      <c r="Y241" s="126"/>
      <c r="Z241" s="126"/>
    </row>
    <row r="242" spans="1:48" x14ac:dyDescent="0.35">
      <c r="A242" s="77" t="s">
        <v>391</v>
      </c>
      <c r="B242" s="77" t="s">
        <v>392</v>
      </c>
      <c r="C242" s="77" t="s">
        <v>393</v>
      </c>
      <c r="D242" s="77" t="s">
        <v>282</v>
      </c>
      <c r="E242" s="77" t="s">
        <v>294</v>
      </c>
      <c r="F242" s="77" t="s">
        <v>187</v>
      </c>
      <c r="G242" s="77" t="s">
        <v>394</v>
      </c>
      <c r="H242" s="77" t="s">
        <v>395</v>
      </c>
      <c r="I242" s="77" t="s">
        <v>166</v>
      </c>
      <c r="J242" s="77" t="s">
        <v>396</v>
      </c>
      <c r="K242" s="77" t="s">
        <v>351</v>
      </c>
      <c r="L242" s="77" t="s">
        <v>397</v>
      </c>
      <c r="M242" s="77" t="s">
        <v>352</v>
      </c>
      <c r="N242" s="77" t="s">
        <v>398</v>
      </c>
      <c r="O242" s="77" t="s">
        <v>399</v>
      </c>
      <c r="P242" s="77" t="s">
        <v>359</v>
      </c>
      <c r="Q242" s="77" t="s">
        <v>400</v>
      </c>
      <c r="R242" s="77" t="s">
        <v>401</v>
      </c>
      <c r="S242" s="77" t="s">
        <v>402</v>
      </c>
      <c r="T242" s="77" t="s">
        <v>333</v>
      </c>
      <c r="U242" s="131" t="s">
        <v>332</v>
      </c>
      <c r="V242" s="77" t="s">
        <v>403</v>
      </c>
      <c r="W242" s="77" t="s">
        <v>404</v>
      </c>
      <c r="X242" s="77" t="s">
        <v>405</v>
      </c>
      <c r="Y242" s="77" t="s">
        <v>406</v>
      </c>
      <c r="Z242" s="77" t="s">
        <v>407</v>
      </c>
    </row>
    <row r="243" spans="1:48" ht="16" customHeight="1" x14ac:dyDescent="0.35">
      <c r="A243" s="78" t="s">
        <v>222</v>
      </c>
      <c r="B243" s="79" t="s">
        <v>420</v>
      </c>
      <c r="C243" s="80" t="s">
        <v>408</v>
      </c>
      <c r="D243" s="80" t="str">
        <f ca="1">TEXT(TODAY(),"YYYY-MM-DD")</f>
        <v>2023-08-11</v>
      </c>
      <c r="E243" s="80"/>
      <c r="F243" s="80" t="s">
        <v>460</v>
      </c>
      <c r="G243" s="80" t="str">
        <f>CONCATENATE("USD,FLAT ",TEXT(F243,"0.00"))</f>
        <v>USD,FLAT 3.00</v>
      </c>
      <c r="H243" s="80" t="s">
        <v>461</v>
      </c>
      <c r="I243" s="80" t="s">
        <v>168</v>
      </c>
      <c r="J243" s="80">
        <v>4</v>
      </c>
      <c r="K243" s="80" t="s">
        <v>458</v>
      </c>
      <c r="L243" s="80"/>
      <c r="M243" s="80">
        <f>10+(J243*3)</f>
        <v>22</v>
      </c>
      <c r="N243" s="80" t="s">
        <v>179</v>
      </c>
      <c r="O243" s="80" t="s">
        <v>418</v>
      </c>
      <c r="P243" s="80" t="s">
        <v>417</v>
      </c>
      <c r="Q243" s="80"/>
      <c r="R243" s="80"/>
      <c r="S243" s="127" t="s">
        <v>455</v>
      </c>
      <c r="T243" s="80" t="s">
        <v>336</v>
      </c>
      <c r="U243" s="80">
        <f>B80</f>
        <v>2049157035</v>
      </c>
      <c r="V243" s="80" t="s">
        <v>410</v>
      </c>
      <c r="W243" s="80" t="s">
        <v>177</v>
      </c>
      <c r="X243" s="80" t="s">
        <v>411</v>
      </c>
      <c r="Y243" s="80" t="s">
        <v>412</v>
      </c>
      <c r="Z243" s="80"/>
      <c r="AU243" t="s">
        <v>519</v>
      </c>
      <c r="AV243" t="s">
        <v>520</v>
      </c>
    </row>
    <row r="244" spans="1:48" ht="16" customHeight="1" x14ac:dyDescent="0.35">
      <c r="A244" s="78" t="s">
        <v>222</v>
      </c>
      <c r="B244" s="79" t="s">
        <v>420</v>
      </c>
      <c r="C244" s="83" t="s">
        <v>415</v>
      </c>
      <c r="D244" s="83" t="str">
        <f ca="1">TEXT(TODAY()+30,"YYYY-MM-DD")</f>
        <v>2023-09-10</v>
      </c>
      <c r="E244" s="83"/>
      <c r="F244" s="83" t="s">
        <v>340</v>
      </c>
      <c r="G244" s="83" t="str">
        <f>CONCATENATE("USD,FLAT ",TEXT(F244,"0.00"))</f>
        <v>USD,FLAT 2.00</v>
      </c>
      <c r="H244" s="83" t="s">
        <v>461</v>
      </c>
      <c r="I244" s="83" t="s">
        <v>168</v>
      </c>
      <c r="J244" s="83">
        <v>4</v>
      </c>
      <c r="K244" s="83" t="s">
        <v>458</v>
      </c>
      <c r="L244" s="83"/>
      <c r="M244" s="83">
        <f>10+(J244*3)</f>
        <v>22</v>
      </c>
      <c r="N244" s="83" t="s">
        <v>179</v>
      </c>
      <c r="O244" s="83" t="s">
        <v>418</v>
      </c>
      <c r="P244" s="83" t="s">
        <v>417</v>
      </c>
      <c r="Q244" s="83"/>
      <c r="R244" s="83"/>
      <c r="S244" s="83" t="s">
        <v>455</v>
      </c>
      <c r="T244" s="83" t="s">
        <v>336</v>
      </c>
      <c r="U244" s="128">
        <f>B80</f>
        <v>2049157035</v>
      </c>
      <c r="V244" s="83" t="s">
        <v>410</v>
      </c>
      <c r="W244" s="83" t="s">
        <v>177</v>
      </c>
      <c r="X244" s="83" t="s">
        <v>411</v>
      </c>
      <c r="Y244" s="83" t="s">
        <v>412</v>
      </c>
      <c r="Z244" s="83"/>
      <c r="AU244" t="s">
        <v>521</v>
      </c>
      <c r="AV244" t="s">
        <v>522</v>
      </c>
    </row>
    <row r="245" spans="1:48" ht="16" customHeight="1" x14ac:dyDescent="0.35">
      <c r="A245" s="78" t="s">
        <v>222</v>
      </c>
      <c r="B245" s="79" t="s">
        <v>420</v>
      </c>
      <c r="C245" s="82" t="s">
        <v>416</v>
      </c>
      <c r="D245" s="82" t="str">
        <f ca="1">TEXT(TODAY(),"YYYY-MM-DD")</f>
        <v>2023-08-11</v>
      </c>
      <c r="E245" s="82" t="str">
        <f ca="1">TEXT(TODAY()+29,"YYYY-MM-DD")</f>
        <v>2023-09-09</v>
      </c>
      <c r="F245" s="82" t="s">
        <v>460</v>
      </c>
      <c r="G245" s="82" t="str">
        <f>CONCATENATE("USD,FLAT ",TEXT(F245,"0.00"))</f>
        <v>USD,FLAT 3.00</v>
      </c>
      <c r="H245" s="82" t="s">
        <v>461</v>
      </c>
      <c r="I245" s="82" t="s">
        <v>168</v>
      </c>
      <c r="J245" s="82">
        <v>4</v>
      </c>
      <c r="K245" s="82" t="s">
        <v>458</v>
      </c>
      <c r="L245" s="82"/>
      <c r="M245" s="82">
        <f>10+(J245*3)</f>
        <v>22</v>
      </c>
      <c r="N245" s="82" t="s">
        <v>179</v>
      </c>
      <c r="O245" s="82" t="s">
        <v>418</v>
      </c>
      <c r="P245" s="82" t="s">
        <v>417</v>
      </c>
      <c r="Q245" s="82"/>
      <c r="R245" s="82"/>
      <c r="S245" s="82" t="s">
        <v>455</v>
      </c>
      <c r="T245" s="82" t="s">
        <v>336</v>
      </c>
      <c r="U245" s="100">
        <f>B80</f>
        <v>2049157035</v>
      </c>
      <c r="V245" s="82" t="s">
        <v>410</v>
      </c>
      <c r="W245" s="82" t="s">
        <v>177</v>
      </c>
      <c r="X245" s="82" t="s">
        <v>411</v>
      </c>
      <c r="Y245" s="82" t="s">
        <v>412</v>
      </c>
      <c r="Z245" s="82"/>
      <c r="AU245" t="s">
        <v>462</v>
      </c>
    </row>
    <row r="246" spans="1:48" x14ac:dyDescent="0.35">
      <c r="U246" s="129"/>
    </row>
    <row r="247" spans="1:48" x14ac:dyDescent="0.35">
      <c r="A247" s="77" t="s">
        <v>391</v>
      </c>
      <c r="B247" s="77" t="s">
        <v>392</v>
      </c>
      <c r="C247" s="77" t="s">
        <v>393</v>
      </c>
      <c r="D247" s="77" t="s">
        <v>282</v>
      </c>
      <c r="E247" s="77" t="s">
        <v>294</v>
      </c>
      <c r="F247" s="77" t="s">
        <v>187</v>
      </c>
      <c r="G247" s="77" t="s">
        <v>394</v>
      </c>
      <c r="H247" s="77" t="s">
        <v>395</v>
      </c>
      <c r="I247" s="77" t="s">
        <v>166</v>
      </c>
      <c r="J247" s="77" t="s">
        <v>396</v>
      </c>
      <c r="K247" s="77" t="s">
        <v>351</v>
      </c>
      <c r="L247" s="77" t="s">
        <v>397</v>
      </c>
      <c r="M247" s="77" t="s">
        <v>352</v>
      </c>
      <c r="N247" s="77" t="s">
        <v>398</v>
      </c>
      <c r="O247" s="77" t="s">
        <v>399</v>
      </c>
      <c r="P247" s="77" t="s">
        <v>359</v>
      </c>
      <c r="Q247" s="77" t="s">
        <v>400</v>
      </c>
      <c r="R247" s="77" t="s">
        <v>401</v>
      </c>
      <c r="S247" s="77" t="s">
        <v>402</v>
      </c>
      <c r="T247" s="77" t="s">
        <v>333</v>
      </c>
      <c r="U247" s="131" t="s">
        <v>332</v>
      </c>
      <c r="V247" s="77" t="s">
        <v>403</v>
      </c>
      <c r="W247" s="77" t="s">
        <v>404</v>
      </c>
      <c r="X247" s="77" t="s">
        <v>405</v>
      </c>
      <c r="Y247" s="77" t="s">
        <v>406</v>
      </c>
      <c r="Z247" s="77" t="s">
        <v>407</v>
      </c>
    </row>
    <row r="248" spans="1:48" ht="16" customHeight="1" x14ac:dyDescent="0.35">
      <c r="A248" s="78" t="s">
        <v>222</v>
      </c>
      <c r="B248" s="79"/>
      <c r="C248" s="80" t="s">
        <v>408</v>
      </c>
      <c r="D248" s="80" t="str">
        <f ca="1">TEXT(TODAY(),"YYYY-MM-DD")</f>
        <v>2023-08-11</v>
      </c>
      <c r="E248" s="80"/>
      <c r="F248" s="80" t="s">
        <v>177</v>
      </c>
      <c r="G248" s="80" t="str">
        <f>CONCATENATE("USD,FLAT ",TEXT(F248,"0.00"))</f>
        <v>USD,FLAT 1.00</v>
      </c>
      <c r="H248" s="80" t="s">
        <v>461</v>
      </c>
      <c r="I248" s="80" t="s">
        <v>168</v>
      </c>
      <c r="J248" s="80">
        <v>4</v>
      </c>
      <c r="K248" s="80" t="s">
        <v>458</v>
      </c>
      <c r="L248" s="80"/>
      <c r="M248" s="80">
        <f>10+(J248*3)</f>
        <v>22</v>
      </c>
      <c r="N248" s="80" t="s">
        <v>179</v>
      </c>
      <c r="O248" s="80" t="s">
        <v>418</v>
      </c>
      <c r="P248" s="80" t="s">
        <v>417</v>
      </c>
      <c r="Q248" s="80"/>
      <c r="R248" s="80"/>
      <c r="S248" s="127" t="s">
        <v>455</v>
      </c>
      <c r="T248" s="80" t="s">
        <v>336</v>
      </c>
      <c r="U248" s="80">
        <f>B80</f>
        <v>2049157035</v>
      </c>
      <c r="V248" s="80" t="s">
        <v>410</v>
      </c>
      <c r="W248" s="80" t="s">
        <v>177</v>
      </c>
      <c r="X248" s="80" t="s">
        <v>411</v>
      </c>
      <c r="Y248" s="80" t="s">
        <v>412</v>
      </c>
      <c r="Z248" s="80"/>
      <c r="AU248" t="s">
        <v>523</v>
      </c>
      <c r="AV248" t="s">
        <v>524</v>
      </c>
    </row>
    <row r="249" spans="1:48" ht="16" customHeight="1" x14ac:dyDescent="0.35">
      <c r="A249" s="78" t="s">
        <v>222</v>
      </c>
      <c r="B249" s="79"/>
      <c r="C249" s="83" t="s">
        <v>415</v>
      </c>
      <c r="D249" s="83" t="str">
        <f ca="1">TEXT(TODAY()+30,"YYYY-MM-DD")</f>
        <v>2023-09-10</v>
      </c>
      <c r="E249" s="83"/>
      <c r="F249" s="83">
        <v>2</v>
      </c>
      <c r="G249" s="83" t="str">
        <f>CONCATENATE("USD,FLAT ",TEXT(F249,"0.00"))</f>
        <v>USD,FLAT 2.00</v>
      </c>
      <c r="H249" s="83" t="s">
        <v>461</v>
      </c>
      <c r="I249" s="83" t="s">
        <v>168</v>
      </c>
      <c r="J249" s="83">
        <v>4</v>
      </c>
      <c r="K249" s="83" t="s">
        <v>458</v>
      </c>
      <c r="L249" s="83"/>
      <c r="M249" s="83">
        <f>10+(J249*3)</f>
        <v>22</v>
      </c>
      <c r="N249" s="83" t="s">
        <v>179</v>
      </c>
      <c r="O249" s="83" t="s">
        <v>418</v>
      </c>
      <c r="P249" s="83" t="s">
        <v>417</v>
      </c>
      <c r="Q249" s="83"/>
      <c r="R249" s="83"/>
      <c r="S249" s="83" t="s">
        <v>455</v>
      </c>
      <c r="T249" s="83" t="s">
        <v>336</v>
      </c>
      <c r="U249" s="128">
        <f>B80</f>
        <v>2049157035</v>
      </c>
      <c r="V249" s="83" t="s">
        <v>410</v>
      </c>
      <c r="W249" s="83" t="s">
        <v>177</v>
      </c>
      <c r="X249" s="83" t="s">
        <v>411</v>
      </c>
      <c r="Y249" s="83" t="s">
        <v>412</v>
      </c>
      <c r="Z249" s="83"/>
      <c r="AU249" t="s">
        <v>525</v>
      </c>
      <c r="AV249" t="s">
        <v>526</v>
      </c>
    </row>
    <row r="250" spans="1:48" ht="16" customHeight="1" x14ac:dyDescent="0.35">
      <c r="A250" s="78" t="s">
        <v>222</v>
      </c>
      <c r="B250" s="79"/>
      <c r="C250" s="82" t="s">
        <v>416</v>
      </c>
      <c r="D250" s="82" t="str">
        <f ca="1">TEXT(TODAY(),"YYYY-MM-DD")</f>
        <v>2023-08-11</v>
      </c>
      <c r="E250" s="82" t="str">
        <f ca="1">TEXT(TODAY()+29,"YYYY-MM-DD")</f>
        <v>2023-09-09</v>
      </c>
      <c r="F250" s="82" t="s">
        <v>460</v>
      </c>
      <c r="G250" s="82" t="str">
        <f>CONCATENATE("USD,FLAT ",TEXT(F250,"0.00"))</f>
        <v>USD,FLAT 3.00</v>
      </c>
      <c r="H250" s="82" t="s">
        <v>461</v>
      </c>
      <c r="I250" s="82" t="s">
        <v>168</v>
      </c>
      <c r="J250" s="82">
        <v>4</v>
      </c>
      <c r="K250" s="82" t="s">
        <v>458</v>
      </c>
      <c r="L250" s="82"/>
      <c r="M250" s="82">
        <f>10+(J250*3)</f>
        <v>22</v>
      </c>
      <c r="N250" s="82" t="s">
        <v>179</v>
      </c>
      <c r="O250" s="82" t="s">
        <v>418</v>
      </c>
      <c r="P250" s="82" t="s">
        <v>417</v>
      </c>
      <c r="Q250" s="82"/>
      <c r="R250" s="82"/>
      <c r="S250" s="82" t="s">
        <v>455</v>
      </c>
      <c r="T250" s="82" t="s">
        <v>336</v>
      </c>
      <c r="U250" s="100">
        <f>B80</f>
        <v>2049157035</v>
      </c>
      <c r="V250" s="82" t="s">
        <v>410</v>
      </c>
      <c r="W250" s="82" t="s">
        <v>177</v>
      </c>
      <c r="X250" s="82" t="s">
        <v>411</v>
      </c>
      <c r="Y250" s="82" t="s">
        <v>412</v>
      </c>
      <c r="Z250" s="82"/>
      <c r="AU250" t="s">
        <v>462</v>
      </c>
    </row>
    <row r="252" spans="1:48" x14ac:dyDescent="0.35">
      <c r="A252" s="139" t="s">
        <v>368</v>
      </c>
      <c r="B252" s="140"/>
      <c r="C252" s="140"/>
      <c r="D252" s="140"/>
      <c r="E252" s="140"/>
      <c r="F252" s="140"/>
      <c r="G252" s="140"/>
      <c r="H252" s="140"/>
      <c r="I252" s="140"/>
      <c r="J252" s="140"/>
      <c r="K252" s="46"/>
      <c r="L252" s="46"/>
      <c r="M252" s="46"/>
      <c r="N252" s="46"/>
      <c r="O252" s="46"/>
    </row>
    <row r="253" spans="1:48" x14ac:dyDescent="0.35">
      <c r="A253" s="137"/>
      <c r="B253" s="138"/>
      <c r="C253" s="141" t="s">
        <v>344</v>
      </c>
      <c r="D253" s="141"/>
      <c r="E253" s="141"/>
      <c r="F253" s="141"/>
      <c r="G253" s="141"/>
      <c r="H253" s="141"/>
      <c r="I253" s="141"/>
      <c r="J253" s="141"/>
      <c r="K253" s="141"/>
      <c r="L253" s="141"/>
      <c r="M253" s="141"/>
      <c r="N253" s="141"/>
      <c r="O253" s="152"/>
      <c r="Z253" s="70"/>
    </row>
    <row r="254" spans="1:48" x14ac:dyDescent="0.35">
      <c r="A254" s="142" t="s">
        <v>345</v>
      </c>
      <c r="B254" s="142" t="s">
        <v>346</v>
      </c>
      <c r="C254" s="143" t="s">
        <v>347</v>
      </c>
      <c r="D254" s="144"/>
      <c r="E254" s="144"/>
      <c r="F254" s="145"/>
      <c r="G254" s="146" t="s">
        <v>348</v>
      </c>
      <c r="H254" s="147"/>
      <c r="I254" s="147"/>
      <c r="J254" s="148"/>
      <c r="K254" s="158" t="s">
        <v>491</v>
      </c>
      <c r="L254" s="158" t="s">
        <v>492</v>
      </c>
      <c r="M254" s="158" t="s">
        <v>493</v>
      </c>
      <c r="N254" s="158" t="s">
        <v>494</v>
      </c>
      <c r="O254" s="160" t="s">
        <v>350</v>
      </c>
    </row>
    <row r="255" spans="1:48" x14ac:dyDescent="0.35">
      <c r="A255" s="150"/>
      <c r="B255" s="150"/>
      <c r="C255" s="65" t="s">
        <v>351</v>
      </c>
      <c r="D255" s="65" t="s">
        <v>352</v>
      </c>
      <c r="E255" s="65" t="s">
        <v>353</v>
      </c>
      <c r="F255" s="65" t="s">
        <v>354</v>
      </c>
      <c r="G255" s="66" t="s">
        <v>351</v>
      </c>
      <c r="H255" s="66" t="s">
        <v>352</v>
      </c>
      <c r="I255" s="66" t="s">
        <v>353</v>
      </c>
      <c r="J255" s="66" t="s">
        <v>354</v>
      </c>
      <c r="K255" s="159"/>
      <c r="L255" s="159"/>
      <c r="M255" s="159"/>
      <c r="N255" s="159"/>
      <c r="O255" s="161"/>
    </row>
    <row r="256" spans="1:48" x14ac:dyDescent="0.35">
      <c r="A256" s="56" t="s">
        <v>355</v>
      </c>
      <c r="B256" s="71"/>
      <c r="C256" s="136" t="str">
        <f>"$"&amp;TEXT(22771.56,"0.00")</f>
        <v>$22771.56</v>
      </c>
      <c r="D256" s="136" t="str">
        <f>"$"&amp;TEXT(660,"0.00")</f>
        <v>$660.00</v>
      </c>
      <c r="E256" s="136" t="str">
        <f>"$"&amp;TEXT(22111.56,"0.00")</f>
        <v>$22111.56</v>
      </c>
      <c r="F256" s="136" t="str">
        <f>TEXT(97.1,"0.00")</f>
        <v>97.10</v>
      </c>
      <c r="G256" s="136" t="str">
        <f>"$"&amp;TEXT(1275,"0.00")</f>
        <v>$1275.00</v>
      </c>
      <c r="H256" s="136" t="str">
        <f t="shared" ref="H256" si="6">"$"&amp;TEXT(0,"0.00")</f>
        <v>$0.00</v>
      </c>
      <c r="I256" s="136" t="str">
        <f>"$"&amp;TEXT(1275,"0.00")</f>
        <v>$1275.00</v>
      </c>
      <c r="J256" s="136" t="str">
        <f>TEXT(100,"0.00")</f>
        <v>100.00</v>
      </c>
      <c r="K256" s="136" t="str">
        <f>TEXT(1686,"0.00")</f>
        <v>1686.00</v>
      </c>
      <c r="L256" s="136" t="str">
        <f>TEXT(0,"0.00")</f>
        <v>0.00</v>
      </c>
      <c r="M256" s="136" t="str">
        <f>TEXT(1634.24,"0.00")</f>
        <v>1634.24</v>
      </c>
      <c r="N256" s="136" t="str">
        <f>TEXT(0,"0.00")</f>
        <v>0.00</v>
      </c>
      <c r="O256" s="41" t="s">
        <v>155</v>
      </c>
    </row>
    <row r="258" spans="1:26" x14ac:dyDescent="0.35">
      <c r="A258" s="45" t="s">
        <v>369</v>
      </c>
      <c r="B258" s="46"/>
      <c r="C258" s="46"/>
    </row>
    <row r="259" spans="1:26" x14ac:dyDescent="0.35">
      <c r="A259" s="43" t="s">
        <v>369</v>
      </c>
      <c r="B259" s="43" t="s">
        <v>370</v>
      </c>
      <c r="C259" s="43" t="s">
        <v>371</v>
      </c>
      <c r="D259" s="43" t="s">
        <v>372</v>
      </c>
      <c r="E259" s="43" t="s">
        <v>285</v>
      </c>
      <c r="F259" s="43" t="s">
        <v>183</v>
      </c>
      <c r="G259" s="43" t="s">
        <v>184</v>
      </c>
      <c r="H259" s="43" t="s">
        <v>373</v>
      </c>
      <c r="I259" s="43" t="s">
        <v>374</v>
      </c>
      <c r="J259" s="43" t="s">
        <v>375</v>
      </c>
      <c r="K259" s="43" t="s">
        <v>282</v>
      </c>
      <c r="L259" s="43" t="s">
        <v>280</v>
      </c>
    </row>
    <row r="260" spans="1:26" ht="58" x14ac:dyDescent="0.35">
      <c r="A260" s="72" t="s">
        <v>467</v>
      </c>
      <c r="B260" s="73" t="s">
        <v>427</v>
      </c>
      <c r="C260" s="73" t="s">
        <v>426</v>
      </c>
      <c r="D260" s="73" t="s">
        <v>378</v>
      </c>
      <c r="E260" s="73" t="s">
        <v>378</v>
      </c>
      <c r="F260" s="73"/>
      <c r="G260" s="73"/>
      <c r="H260" s="73"/>
      <c r="I260" s="73"/>
      <c r="J260" s="74">
        <f ca="1">TODAY()</f>
        <v>45149</v>
      </c>
      <c r="K260" s="74">
        <v>234</v>
      </c>
      <c r="L260" s="73" t="s">
        <v>155</v>
      </c>
    </row>
    <row r="262" spans="1:26" x14ac:dyDescent="0.35">
      <c r="A262" s="139" t="s">
        <v>368</v>
      </c>
      <c r="B262" s="140"/>
      <c r="C262" s="140"/>
      <c r="D262" s="140"/>
      <c r="E262" s="140"/>
      <c r="F262" s="140"/>
      <c r="G262" s="140"/>
      <c r="H262" s="140"/>
      <c r="I262" s="140"/>
      <c r="J262" s="140"/>
      <c r="K262" s="46"/>
      <c r="L262" s="46"/>
      <c r="M262" s="46"/>
      <c r="N262" s="46"/>
      <c r="O262" s="46"/>
    </row>
    <row r="263" spans="1:26" x14ac:dyDescent="0.35">
      <c r="A263" s="137"/>
      <c r="B263" s="138"/>
      <c r="C263" s="141" t="s">
        <v>344</v>
      </c>
      <c r="D263" s="141"/>
      <c r="E263" s="141"/>
      <c r="F263" s="141"/>
      <c r="G263" s="141"/>
      <c r="H263" s="141"/>
      <c r="I263" s="141"/>
      <c r="J263" s="141"/>
      <c r="K263" s="141"/>
      <c r="L263" s="141"/>
      <c r="M263" s="141"/>
      <c r="N263" s="141"/>
      <c r="O263" s="152"/>
      <c r="Z263" s="70"/>
    </row>
    <row r="264" spans="1:26" x14ac:dyDescent="0.35">
      <c r="A264" s="142" t="s">
        <v>345</v>
      </c>
      <c r="B264" s="142" t="s">
        <v>346</v>
      </c>
      <c r="C264" s="143" t="s">
        <v>347</v>
      </c>
      <c r="D264" s="144"/>
      <c r="E264" s="144"/>
      <c r="F264" s="145"/>
      <c r="G264" s="146" t="s">
        <v>348</v>
      </c>
      <c r="H264" s="147"/>
      <c r="I264" s="147"/>
      <c r="J264" s="148"/>
      <c r="K264" s="158" t="s">
        <v>491</v>
      </c>
      <c r="L264" s="158" t="s">
        <v>492</v>
      </c>
      <c r="M264" s="158" t="s">
        <v>493</v>
      </c>
      <c r="N264" s="158" t="s">
        <v>494</v>
      </c>
      <c r="O264" s="160" t="s">
        <v>350</v>
      </c>
    </row>
    <row r="265" spans="1:26" x14ac:dyDescent="0.35">
      <c r="A265" s="150"/>
      <c r="B265" s="150"/>
      <c r="C265" s="65" t="s">
        <v>351</v>
      </c>
      <c r="D265" s="65" t="s">
        <v>352</v>
      </c>
      <c r="E265" s="65" t="s">
        <v>353</v>
      </c>
      <c r="F265" s="65" t="s">
        <v>354</v>
      </c>
      <c r="G265" s="66" t="s">
        <v>351</v>
      </c>
      <c r="H265" s="66" t="s">
        <v>352</v>
      </c>
      <c r="I265" s="66" t="s">
        <v>353</v>
      </c>
      <c r="J265" s="66" t="s">
        <v>354</v>
      </c>
      <c r="K265" s="159"/>
      <c r="L265" s="159"/>
      <c r="M265" s="159"/>
      <c r="N265" s="159"/>
      <c r="O265" s="161"/>
    </row>
    <row r="266" spans="1:26" x14ac:dyDescent="0.35">
      <c r="A266" s="56" t="s">
        <v>355</v>
      </c>
      <c r="B266" s="71"/>
      <c r="C266" s="136" t="str">
        <f>"$"&amp;TEXT(22771.56,"0.00")</f>
        <v>$22771.56</v>
      </c>
      <c r="D266" s="136" t="str">
        <f>"$"&amp;TEXT(660,"0.00")</f>
        <v>$660.00</v>
      </c>
      <c r="E266" s="136" t="str">
        <f>"$"&amp;TEXT(22111.56,"0.00")</f>
        <v>$22111.56</v>
      </c>
      <c r="F266" s="136" t="str">
        <f>TEXT(97.1,"0.00")</f>
        <v>97.10</v>
      </c>
      <c r="G266" s="136" t="str">
        <f>"$"&amp;TEXT(1275,"0.00")</f>
        <v>$1275.00</v>
      </c>
      <c r="H266" s="136" t="str">
        <f t="shared" ref="H266" si="7">"$"&amp;TEXT(0,"0.00")</f>
        <v>$0.00</v>
      </c>
      <c r="I266" s="136" t="str">
        <f>"$"&amp;TEXT(1275,"0.00")</f>
        <v>$1275.00</v>
      </c>
      <c r="J266" s="136" t="str">
        <f>TEXT(100,"0.00")</f>
        <v>100.00</v>
      </c>
      <c r="K266" s="136" t="str">
        <f>TEXT(1686,"0.00")</f>
        <v>1686.00</v>
      </c>
      <c r="L266" s="136" t="str">
        <f>TEXT(0,"0.00")</f>
        <v>0.00</v>
      </c>
      <c r="M266" s="136" t="str">
        <f>TEXT(1634.24,"0.00")</f>
        <v>1634.24</v>
      </c>
      <c r="N266" s="136" t="str">
        <f>TEXT(0,"0.00")</f>
        <v>0.00</v>
      </c>
      <c r="O266" s="41" t="s">
        <v>155</v>
      </c>
    </row>
    <row r="268" spans="1:26" ht="13.25" customHeight="1" x14ac:dyDescent="0.35">
      <c r="A268" s="164" t="s">
        <v>357</v>
      </c>
      <c r="B268" s="165"/>
      <c r="C268" s="165"/>
      <c r="D268" s="165"/>
      <c r="E268" s="165"/>
      <c r="F268" s="165"/>
      <c r="G268" s="165"/>
      <c r="H268" s="165"/>
      <c r="I268" s="165"/>
      <c r="J268" s="165"/>
      <c r="K268" s="165"/>
      <c r="L268" s="165"/>
    </row>
    <row r="269" spans="1:26" x14ac:dyDescent="0.35">
      <c r="A269" s="166" t="s">
        <v>131</v>
      </c>
      <c r="B269" s="166" t="s">
        <v>358</v>
      </c>
      <c r="C269" s="192" t="s">
        <v>359</v>
      </c>
      <c r="D269" s="196" t="s">
        <v>360</v>
      </c>
      <c r="E269" s="195" t="s">
        <v>344</v>
      </c>
      <c r="F269" s="195"/>
      <c r="G269" s="195"/>
      <c r="H269" s="195"/>
      <c r="I269" s="191" t="s">
        <v>361</v>
      </c>
      <c r="J269" s="191"/>
      <c r="K269" s="191"/>
      <c r="L269" s="191"/>
    </row>
    <row r="270" spans="1:26" x14ac:dyDescent="0.35">
      <c r="A270" s="167"/>
      <c r="B270" s="167"/>
      <c r="C270" s="193"/>
      <c r="D270" s="197"/>
      <c r="E270" s="185" t="s">
        <v>362</v>
      </c>
      <c r="F270" s="187"/>
      <c r="G270" s="188" t="s">
        <v>348</v>
      </c>
      <c r="H270" s="190"/>
      <c r="I270" s="185" t="s">
        <v>362</v>
      </c>
      <c r="J270" s="187"/>
      <c r="K270" s="188" t="s">
        <v>348</v>
      </c>
      <c r="L270" s="190"/>
    </row>
    <row r="271" spans="1:26" x14ac:dyDescent="0.35">
      <c r="A271" s="168"/>
      <c r="B271" s="168" t="s">
        <v>130</v>
      </c>
      <c r="C271" s="194"/>
      <c r="D271" s="198"/>
      <c r="E271" s="65" t="s">
        <v>363</v>
      </c>
      <c r="F271" s="65" t="s">
        <v>364</v>
      </c>
      <c r="G271" s="66" t="s">
        <v>365</v>
      </c>
      <c r="H271" s="66" t="s">
        <v>366</v>
      </c>
      <c r="I271" s="65" t="s">
        <v>363</v>
      </c>
      <c r="J271" s="65" t="s">
        <v>364</v>
      </c>
      <c r="K271" s="66" t="s">
        <v>365</v>
      </c>
      <c r="L271" s="66" t="s">
        <v>366</v>
      </c>
    </row>
    <row r="272" spans="1:26" x14ac:dyDescent="0.35">
      <c r="A272" s="41" t="str">
        <f>C5</f>
        <v>BANK_82_PRSPCH1_001</v>
      </c>
      <c r="B272" s="41" t="s">
        <v>355</v>
      </c>
      <c r="C272" s="56" t="s">
        <v>367</v>
      </c>
      <c r="D272" s="67"/>
      <c r="E272" s="68" t="str">
        <f>"$"&amp;TEXT(22771.56,"0.00")</f>
        <v>$22771.56</v>
      </c>
      <c r="F272" s="68" t="str">
        <f>"$"&amp;TEXT(660,"0.00")</f>
        <v>$660.00</v>
      </c>
      <c r="G272" s="134" t="str">
        <f>"$"&amp;TEXT(1275,"0.00")</f>
        <v>$1275.00</v>
      </c>
      <c r="H272" s="68" t="str">
        <f>"$"&amp;TEXT(0,"0.00")</f>
        <v>$0.00</v>
      </c>
      <c r="I272" s="69" t="str">
        <f>"$"&amp;TEXT(22771.56,"0.00")</f>
        <v>$22771.56</v>
      </c>
      <c r="J272" s="69" t="str">
        <f>"$"&amp;TEXT(660,"0.00")</f>
        <v>$660.00</v>
      </c>
      <c r="K272" s="135" t="str">
        <f>"$"&amp;TEXT(1275,"0.00")</f>
        <v>$1275.00</v>
      </c>
      <c r="L272" s="69" t="str">
        <f>"$"&amp;TEXT(0,"0.00")</f>
        <v>$0.00</v>
      </c>
    </row>
    <row r="273" spans="1:12" x14ac:dyDescent="0.35">
      <c r="A273" s="56" t="s">
        <v>466</v>
      </c>
      <c r="B273" s="41" t="s">
        <v>355</v>
      </c>
      <c r="C273" s="56" t="s">
        <v>367</v>
      </c>
      <c r="D273" s="67"/>
      <c r="E273" s="68" t="str">
        <f>"$"&amp;TEXT(11385.78,"0.00")</f>
        <v>$11385.78</v>
      </c>
      <c r="F273" s="68" t="str">
        <f>"$"&amp;TEXT(330,"0.00")</f>
        <v>$330.00</v>
      </c>
      <c r="G273" s="134" t="str">
        <f>"$"&amp;TEXT(637.5,"0.00")</f>
        <v>$637.50</v>
      </c>
      <c r="H273" s="68" t="str">
        <f t="shared" ref="H273:H275" si="8">"$"&amp;TEXT(0,"0.00")</f>
        <v>$0.00</v>
      </c>
      <c r="I273" s="69" t="str">
        <f>"$"&amp;TEXT(11385.78,"0.00")</f>
        <v>$11385.78</v>
      </c>
      <c r="J273" s="69" t="str">
        <f>"$"&amp;TEXT(330,"0.00")</f>
        <v>$330.00</v>
      </c>
      <c r="K273" s="135" t="str">
        <f>"$"&amp;TEXT(637.5,"0.00")</f>
        <v>$637.50</v>
      </c>
      <c r="L273" s="69" t="str">
        <f>"$"&amp;TEXT(0,"0.00")</f>
        <v>$0.00</v>
      </c>
    </row>
    <row r="274" spans="1:12" x14ac:dyDescent="0.35">
      <c r="A274" s="41" t="str">
        <f>C6</f>
        <v>BANK_82_PRSPCH1CH1_001</v>
      </c>
      <c r="B274" s="41" t="s">
        <v>355</v>
      </c>
      <c r="C274" s="56" t="s">
        <v>367</v>
      </c>
      <c r="D274" s="67"/>
      <c r="E274" s="68" t="str">
        <f t="shared" ref="E274:E275" si="9">"$"&amp;TEXT(11385.78,"0.00")</f>
        <v>$11385.78</v>
      </c>
      <c r="F274" s="68" t="str">
        <f t="shared" ref="F274:F275" si="10">"$"&amp;TEXT(330,"0.00")</f>
        <v>$330.00</v>
      </c>
      <c r="G274" s="134" t="str">
        <f>"$"&amp;TEXT(637.5,"0.00")</f>
        <v>$637.50</v>
      </c>
      <c r="H274" s="68" t="str">
        <f t="shared" si="8"/>
        <v>$0.00</v>
      </c>
      <c r="I274" s="69" t="str">
        <f t="shared" ref="I274:I275" si="11">"$"&amp;TEXT(11385.78,"0.00")</f>
        <v>$11385.78</v>
      </c>
      <c r="J274" s="69" t="str">
        <f t="shared" ref="J274:J275" si="12">"$"&amp;TEXT(330,"0.00")</f>
        <v>$330.00</v>
      </c>
      <c r="K274" s="135" t="str">
        <f>"$"&amp;TEXT(637.5,"0.00")</f>
        <v>$637.50</v>
      </c>
      <c r="L274" s="69" t="str">
        <f>"$"&amp;TEXT(0,"0.00")</f>
        <v>$0.00</v>
      </c>
    </row>
    <row r="275" spans="1:12" x14ac:dyDescent="0.35">
      <c r="A275" s="56" t="s">
        <v>480</v>
      </c>
      <c r="B275" s="41" t="s">
        <v>355</v>
      </c>
      <c r="C275" s="56" t="s">
        <v>367</v>
      </c>
      <c r="D275" s="67"/>
      <c r="E275" s="68" t="str">
        <f t="shared" si="9"/>
        <v>$11385.78</v>
      </c>
      <c r="F275" s="68" t="str">
        <f t="shared" si="10"/>
        <v>$330.00</v>
      </c>
      <c r="G275" s="134" t="str">
        <f>"$"&amp;TEXT(637.5,"0.00")</f>
        <v>$637.50</v>
      </c>
      <c r="H275" s="68" t="str">
        <f t="shared" si="8"/>
        <v>$0.00</v>
      </c>
      <c r="I275" s="69" t="str">
        <f t="shared" si="11"/>
        <v>$11385.78</v>
      </c>
      <c r="J275" s="69" t="str">
        <f t="shared" si="12"/>
        <v>$330.00</v>
      </c>
      <c r="K275" s="135" t="str">
        <f>"$"&amp;TEXT(637.5,"0.00")</f>
        <v>$637.50</v>
      </c>
      <c r="L275" s="69" t="str">
        <f>"$"&amp;TEXT(0,"0.00")</f>
        <v>$0.00</v>
      </c>
    </row>
  </sheetData>
  <mergeCells count="57">
    <mergeCell ref="B188:B190"/>
    <mergeCell ref="A183:A184"/>
    <mergeCell ref="B183:B184"/>
    <mergeCell ref="D188:D190"/>
    <mergeCell ref="C269:C271"/>
    <mergeCell ref="D269:D271"/>
    <mergeCell ref="A76:K76"/>
    <mergeCell ref="A78:D78"/>
    <mergeCell ref="A213:R213"/>
    <mergeCell ref="K254:K255"/>
    <mergeCell ref="C183:F183"/>
    <mergeCell ref="G183:J183"/>
    <mergeCell ref="K183:K184"/>
    <mergeCell ref="I188:L188"/>
    <mergeCell ref="E189:F189"/>
    <mergeCell ref="C188:C190"/>
    <mergeCell ref="G189:H189"/>
    <mergeCell ref="I189:J189"/>
    <mergeCell ref="A229:R229"/>
    <mergeCell ref="K189:L189"/>
    <mergeCell ref="E188:H188"/>
    <mergeCell ref="A188:A190"/>
    <mergeCell ref="A18:C18"/>
    <mergeCell ref="A23:P23"/>
    <mergeCell ref="A68:I68"/>
    <mergeCell ref="A62:D62"/>
    <mergeCell ref="A58:D58"/>
    <mergeCell ref="AG83:AL83"/>
    <mergeCell ref="T83:V83"/>
    <mergeCell ref="W83:X83"/>
    <mergeCell ref="Z83:AF83"/>
    <mergeCell ref="A187:L187"/>
    <mergeCell ref="L183:L184"/>
    <mergeCell ref="A181:J181"/>
    <mergeCell ref="C182:K182"/>
    <mergeCell ref="A92:R92"/>
    <mergeCell ref="A179:E179"/>
    <mergeCell ref="A235:R235"/>
    <mergeCell ref="A241:R241"/>
    <mergeCell ref="A268:L268"/>
    <mergeCell ref="A269:A271"/>
    <mergeCell ref="K264:K265"/>
    <mergeCell ref="B269:B271"/>
    <mergeCell ref="L254:L255"/>
    <mergeCell ref="E269:H269"/>
    <mergeCell ref="I269:L269"/>
    <mergeCell ref="E270:F270"/>
    <mergeCell ref="G270:H270"/>
    <mergeCell ref="I270:J270"/>
    <mergeCell ref="K270:L270"/>
    <mergeCell ref="M254:M255"/>
    <mergeCell ref="N254:N255"/>
    <mergeCell ref="O254:O255"/>
    <mergeCell ref="L264:L265"/>
    <mergeCell ref="M264:M265"/>
    <mergeCell ref="N264:N265"/>
    <mergeCell ref="O264:O265"/>
  </mergeCells>
  <dataValidations count="4">
    <dataValidation type="list" allowBlank="1" showInputMessage="1" showErrorMessage="1" sqref="C14 C58 UOH221:UOH222 UEL221:UEL222 TUP221:TUP222 TKT221:TKT222 TAX221:TAX222 SRB221:SRB222 SHF221:SHF222 RXJ221:RXJ222 RNN221:RNN222 RDR221:RDR222 QTV221:QTV222 QJZ221:QJZ222 QAD221:QAD222 PQH221:PQH222 PGL221:PGL222 OWP221:OWP222 OMT221:OMT222 OCX221:OCX222 NTB221:NTB222 NJF221:NJF222 MZJ221:MZJ222 MPN221:MPN222 NJF218:NJF219 NTB218:NTB219 OCX218:OCX219 OMT218:OMT219 OWP218:OWP219 PGL218:PGL219 PQH218:PQH219 QAD218:QAD219 QJZ218:QJZ219 QTV218:QTV219 RDR218:RDR219 RNN218:RNN219 RXJ218:RXJ219 SHF218:SHF219 SRB218:SRB219 TAX218:TAX219 TKT218:TKT219 TUP218:TUP219 UEL218:UEL219 UOH218:UOH219 UYD218:UYD219 VHZ218:VHZ219 VRV218:VRV219 WBR218:WBR219 WLN218:WLN219 WVJ218:WVJ219 IX218:IX219 ST218:ST219 ACP218:ACP219 AML218:AML219 AWH218:AWH219 BGD218:BGD219 BPZ218:BPZ219 BZV218:BZV219 CJR218:CJR219 CTN218:CTN219 DDJ218:DDJ219 DNF218:DNF219 DXB218:DXB219 EGX218:EGX219 EQT218:EQT219 FAP218:FAP219 LCD218:LCD219 FKL218:FKL219 FUH218:FUH219 GED218:GED219 GNZ218:GNZ219 GXV218:GXV219 HHR218:HHR219 HRN218:HRN219 IBJ218:IBJ219 ILF218:ILF219 IVB218:IVB219 JEX218:JEX219 JOT218:JOT219 JYP218:JYP219 KIL218:KIL219 KSH218:KSH219 LLZ218:LLZ219 LVV218:LVV219 MFR218:MFR219 MPN218:MPN219 MFR221:MFR222 MPN215:MPN216 MFR215:MFR216 LVV215:LVV216 LLZ215:LLZ216 KSH215:KSH216 KIL215:KIL216 JYP215:JYP216 JOT215:JOT216 JEX215:JEX216 IVB215:IVB216 ILF215:ILF216 IBJ215:IBJ216 HRN215:HRN216 HHR215:HHR216 GXV215:GXV216 GNZ215:GNZ216 GED215:GED216 FUH215:FUH216 FKL215:FKL216 LCD215:LCD216 FAP215:FAP216 EQT215:EQT216 EGX215:EGX216 DXB215:DXB216 DNF215:DNF216 DDJ215:DDJ216 CTN215:CTN216 CJR215:CJR216 BZV215:BZV216 BPZ215:BPZ216 BGD215:BGD216 AWH215:AWH216 AML215:AML216 ACP215:ACP216 ST215:ST216 IX215:IX216 WVJ215:WVJ216 WLN215:WLN216 WBR215:WBR216 VRV215:VRV216 VHZ215:VHZ216 UYD215:UYD216 UOH215:UOH216 UEL215:UEL216 TUP215:TUP216 TKT215:TKT216 TAX215:TAX216 SRB215:SRB216 SHF215:SHF216 RXJ215:RXJ216 RNN215:RNN216 RDR215:RDR216 QTV215:QTV216 QJZ215:QJZ216 QAD215:QAD216 PQH215:PQH216 PGL215:PGL216 OWP215:OWP216 OMT215:OMT216 OCX215:OCX216 NTB215:NTB216 NJF215:NJF216 MZJ215:MZJ216 MZJ218:MZJ219 LVV221:LVV222 LLZ221:LLZ222 KSH221:KSH222 KIL221:KIL222 JYP221:JYP222 JOT221:JOT222 JEX221:JEX222 IVB221:IVB222 ILF221:ILF222 IBJ221:IBJ222 HRN221:HRN222 HHR221:HHR222 GXV221:GXV222 GNZ221:GNZ222 GED221:GED222 FUH221:FUH222 FKL221:FKL222 LCD221:LCD222 FAP221:FAP222 EQT221:EQT222 EGX221:EGX222 DXB221:DXB222 DNF221:DNF222 DDJ221:DDJ222 CTN221:CTN222 CJR221:CJR222 BZV221:BZV222 BPZ221:BPZ222 BGD221:BGD222 AWH221:AWH222 AML221:AML222 ACP221:ACP222 ST221:ST222 IX221:IX222 WVJ221:WVJ222 WLN221:WLN222 WBR221:WBR222 VRV221:VRV222 VHZ221:VHZ222 C175:C177 KSH115:KSH117 KIL115:KIL117 JYP115:JYP117 JOT115:JOT117 JEX115:JEX117 IVB115:IVB117 ILF115:ILF117 IBJ115:IBJ117 HRN115:HRN117 HHR115:HHR117 GXV115:GXV117 GNZ115:GNZ117 GED115:GED117 FUH115:FUH117 FKL115:FKL117 C119:C121 IX119:IX121 ST119:ST121 ACP119:ACP121 AML119:AML121 AWH119:AWH121 BGD119:BGD121 BPZ119:BPZ121 BZV119:BZV121 CJR119:CJR121 CTN119:CTN121 DDJ119:DDJ121 DNF119:DNF121 DXB119:DXB121 EGX119:EGX121 EQT119:EQT121 FAP119:FAP121 FKL119:FKL121 FUH119:FUH121 GED119:GED121 GNZ119:GNZ121 GXV119:GXV121 HHR119:HHR121 HRN119:HRN121 IBJ119:IBJ121 ILF119:ILF121 IVB119:IVB121 JEX119:JEX121 JOT119:JOT121 JYP119:JYP121 KIL119:KIL121 KSH119:KSH121 LCD119:LCD121 LLZ119:LLZ121 LVV119:LVV121 MFR119:MFR121 MPN119:MPN121 MZJ119:MZJ121 NJF119:NJF121 NTB119:NTB121 OCX119:OCX121 OMT119:OMT121 OWP119:OWP121 PGL119:PGL121 PQH119:PQH121 QAD119:QAD121 QJZ119:QJZ121 QTV119:QTV121 RDR119:RDR121 RNN119:RNN121 RXJ119:RXJ121 SHF119:SHF121 SRB119:SRB121 TAX119:TAX121 TKT119:TKT121 TUP119:TUP121 UEL119:UEL121 UOH119:UOH121 UYD119:UYD121 VHZ119:VHZ121 VRV119:VRV121 WBR119:WBR121 WLN119:WLN121 WVJ119:WVJ121 C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WVJ127:WVJ129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C137:C139 IX137:IX139 ST137:ST139 ACP137:ACP139 AML137:AML139 AWH137:AWH139 BGD137:BGD139 BPZ137:BPZ139 BZV137:BZV139 CJR137:CJR139 CTN137:CTN139 DDJ137:DDJ139 DNF137:DNF139 DXB137:DXB139 EGX137:EGX139 EQT137:EQT139 FAP137:FAP139 FKL137:FKL139 FUH137:FUH139 GED137:GED139 GNZ137:GNZ139 GXV137:GXV139 HHR137:HHR139 HRN137:HRN139 IBJ137:IBJ139 ILF137:ILF139 IVB137:IVB139 JEX137:JEX139 JOT137:JOT139 JYP137:JYP139 KIL137:KIL139 KSH137:KSH139 LCD137:LCD139 LLZ137:LLZ139 LVV137:LVV139 MFR137:MFR139 MPN137:MPN139 MZJ137:MZJ139 NJF137:NJF139 NTB137:NTB139 OCX137:OCX139 OMT137:OMT139 OWP137:OWP139 PGL137:PGL139 PQH137:PQH139 QAD137:QAD139 QJZ137:QJZ139 QTV137:QTV139 RDR137:RDR139 RNN137:RNN139 RXJ137:RXJ139 SHF137:SHF139 SRB137:SRB139 TAX137:TAX139 TKT137:TKT139 TUP137:TUP139 UEL137:UEL139 UOH137:UOH139 UYD137:UYD139 VHZ137:VHZ139 VRV137:VRV139 WBR137:WBR139 WLN137:WLN139 WVJ137:WVJ139 C141:C143 IX141:IX143 ST141:ST143 ACP141:ACP143 AML141:AML143 AWH141:AWH143 BGD141:BGD143 BPZ141:BPZ143 BZV141:BZV143 CJR141:CJR143 CTN141:CTN143 DDJ141:DDJ143 DNF141:DNF143 DXB141:DXB143 EGX141:EGX143 EQT141:EQT143 FAP141:FAP143 FKL141:FKL143 FUH141:FUH143 GED141:GED143 GNZ141:GNZ143 GXV141:GXV143 HHR141:HHR143 HRN141:HRN143 IBJ141:IBJ143 ILF141:ILF143 IVB141:IVB143 JEX141:JEX143 JOT141:JOT143 JYP141:JYP143 KIL141:KIL143 KSH141:KSH143 LCD141:LCD143 LLZ141:LLZ143 LVV141:LVV143 MFR141:MFR143 MPN141:MPN143 MZJ141:MZJ143 NJF141:NJF143 NTB141:NTB143 OCX141:OCX143 OMT141:OMT143 OWP141:OWP143 PGL141:PGL143 PQH141:PQH143 QAD141:QAD143 QJZ141:QJZ143 QTV141:QTV143 RDR141:RDR143 RNN141:RNN143 RXJ141:RXJ143 SHF141:SHF143 SRB141:SRB143 TAX141:TAX143 TKT141:TKT143 TUP141:TUP143 UEL141:UEL143 UOH141:UOH143 UYD141:UYD143 VHZ141:VHZ143 VRV141:VRV143 WBR141:WBR143 WLN141:WLN143 WVJ141:WVJ143 C147:C149 IX147:IX149 ST147:ST149 ACP147:ACP149 AML147:AML149 AWH147:AWH149 BGD147:BGD149 BPZ147:BPZ149 BZV147:BZV149 CJR147:CJR149 CTN147:CTN149 DDJ147:DDJ149 DNF147:DNF149 DXB147:DXB149 EGX147:EGX149 EQT147:EQT149 FAP147:FAP149 FKL147:FKL149 FUH147:FUH149 GED147:GED149 GNZ147:GNZ149 GXV147:GXV149 HHR147:HHR149 HRN147:HRN149 IBJ147:IBJ149 ILF147:ILF149 IVB147:IVB149 JEX147:JEX149 JOT147:JOT149 JYP147:JYP149 KIL147:KIL149 KSH147:KSH149 LCD147:LCD149 LLZ147:LLZ149 LVV147:LVV149 MFR147:MFR149 MPN147:MPN149 MZJ147:MZJ149 NJF147:NJF149 NTB147:NTB149 OCX147:OCX149 OMT147:OMT149 OWP147:OWP149 PGL147:PGL149 PQH147:PQH149 QAD147:QAD149 QJZ147:QJZ149 QTV147:QTV149 RDR147:RDR149 RNN147:RNN149 RXJ147:RXJ149 SHF147:SHF149 SRB147:SRB149 TAX147:TAX149 TKT147:TKT149 TUP147:TUP149 UEL147:UEL149 UOH147:UOH149 UYD147:UYD149 VHZ147:VHZ149 VRV147:VRV149 WBR147:WBR149 WLN147:WLN149 WVJ147:WVJ149 C167:C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C171:C173 IX171:IX173 ST171:ST173 ACP171:ACP173 AML171:AML173 AWH171:AWH173 BGD171:BGD173 BPZ171:BPZ173 BZV171:BZV173 CJR171:CJR173 CTN171:CTN173 DDJ171:DDJ173 DNF171:DNF173 DXB171:DXB173 EGX171:EGX173 EQT171:EQT173 FAP171:FAP173 FKL171:FKL173 FUH171:FUH173 GED171:GED173 GNZ171:GNZ173 GXV171:GXV173 HHR171:HHR173 HRN171:HRN173 IBJ171:IBJ173 ILF171:ILF173 IVB171:IVB173 JEX171:JEX173 JOT171:JOT173 JYP171:JYP173 KIL171:KIL173 KSH171:KSH173 LCD171:LCD173 LLZ171:LLZ173 LVV171:LVV173 MFR171:MFR173 MPN171:MPN173 MZJ171:MZJ173 NJF171:NJF173 NTB171:NTB173 OCX171:OCX173 OMT171:OMT173 OWP171:OWP173 PGL171:PGL173 PQH171:PQH173 QAD171:QAD173 QJZ171:QJZ173 QTV171:QTV173 RDR171:RDR173 RNN171:RNN173 RXJ171:RXJ173 SHF171:SHF173 SRB171:SRB173 TAX171:TAX173 TKT171:TKT173 TUP171:TUP173 UEL171:UEL173 UOH171:UOH173 UYD171:UYD173 VHZ171:VHZ173 VRV171:VRV173 WBR171:WBR173 WLN171:WLN173 WVJ171:WVJ173 IX175:IX177 ST175:ST177 ACP175:ACP177 AML175:AML177 AWH175:AWH177 BGD175:BGD177 BPZ175:BPZ177 BZV175:BZV177 CJR175:CJR177 CTN175:CTN177 DDJ175:DDJ177 DNF175:DNF177 DXB175:DXB177 EGX175:EGX177 EQT175:EQT177 FAP175:FAP177 FKL175:FKL177 FUH175:FUH177 GED175:GED177 GNZ175:GNZ177 GXV175:GXV177 HHR175:HHR177 HRN175:HRN177 IBJ175:IBJ177 ILF175:ILF177 IVB175:IVB177 JEX175:JEX177 JOT175:JOT177 JYP175:JYP177 KIL175:KIL177 KSH175:KSH177 LCD175:LCD177 LLZ175:LLZ177 LVV175:LVV177 MFR175:MFR177 MPN175:MPN177 MZJ175:MZJ177 NJF175:NJF177 NTB175:NTB177 OCX175:OCX177 OMT175:OMT177 OWP175:OWP177 PGL175:PGL177 PQH175:PQH177 QAD175:QAD177 QJZ175:QJZ177 QTV175:QTV177 RDR175:RDR177 RNN175:RNN177 RXJ175:RXJ177 SHF175:SHF177 SRB175:SRB177 TAX175:TAX177 TKT175:TKT177 TUP175:TUP177 UEL175:UEL177 UOH175:UOH177 UYD175:UYD177 VHZ175:VHZ177 VRV175:VRV177 WBR175:WBR177 WLN175:WLN177 WVJ175:WVJ177 C151:C153 IX151:IX153 ST151:ST153 ACP151:ACP153 AML151:AML153 AWH151:AWH153 BGD151:BGD153 BPZ151:BPZ153 BZV151:BZV153 CJR151:CJR153 CTN151:CTN153 DDJ151:DDJ153 DNF151:DNF153 DXB151:DXB153 EGX151:EGX153 EQT151:EQT153 FAP151:FAP153 FKL151:FKL153 FUH151:FUH153 GED151:GED153 GNZ151:GNZ153 GXV151:GXV153 HHR151:HHR153 HRN151:HRN153 IBJ151:IBJ153 ILF151:ILF153 IVB151:IVB153 JEX151:JEX153 JOT151:JOT153 JYP151:JYP153 KIL151:KIL153 KSH151:KSH153 LCD151:LCD153 LLZ151:LLZ153 LVV151:LVV153 MFR151:MFR153 MPN151:MPN153 MZJ151:MZJ153 NJF151:NJF153 NTB151:NTB153 OCX151:OCX153 OMT151:OMT153 OWP151:OWP153 PGL151:PGL153 PQH151:PQH153 QAD151:QAD153 QJZ151:QJZ153 QTV151:QTV153 RDR151:RDR153 RNN151:RNN153 RXJ151:RXJ153 SHF151:SHF153 SRB151:SRB153 TAX151:TAX153 TKT151:TKT153 TUP151:TUP153 UEL151:UEL153 UOH151:UOH153 UYD151:UYD153 VHZ151:VHZ153 VRV151:VRV153 WBR151:WBR153 WLN151:WLN153 WVJ151:WVJ153 C155:C157 IX155:IX157 ST155:ST157 ACP155:ACP157 AML155:AML157 AWH155:AWH157 BGD155:BGD157 BPZ155:BPZ157 BZV155:BZV157 CJR155:CJR157 CTN155:CTN157 DDJ155:DDJ157 DNF155:DNF157 DXB155:DXB157 EGX155:EGX157 EQT155:EQT157 FAP155:FAP157 FKL155:FKL157 FUH155:FUH157 GED155:GED157 GNZ155:GNZ157 GXV155:GXV157 HHR155:HHR157 HRN155:HRN157 IBJ155:IBJ157 ILF155:ILF157 IVB155:IVB157 JEX155:JEX157 JOT155:JOT157 JYP155:JYP157 KIL155:KIL157 KSH155:KSH157 LCD155:LCD157 LLZ155:LLZ157 LVV155:LVV157 MFR155:MFR157 MPN155:MPN157 MZJ155:MZJ157 NJF155:NJF157 NTB155:NTB157 OCX155:OCX157 OMT155:OMT157 OWP155:OWP157 PGL155:PGL157 PQH155:PQH157 QAD155:QAD157 QJZ155:QJZ157 QTV155:QTV157 RDR155:RDR157 RNN155:RNN157 RXJ155:RXJ157 SHF155:SHF157 SRB155:SRB157 TAX155:TAX157 TKT155:TKT157 TUP155:TUP157 UEL155:UEL157 UOH155:UOH157 UYD155:UYD157 VHZ155:VHZ157 VRV155:VRV157 WBR155:WBR157 WLN155:WLN157 WVJ155:WVJ157 C159:C161 IX159:IX161 ST159:ST161 ACP159:ACP161 AML159:AML161 AWH159:AWH161 BGD159:BGD161 BPZ159:BPZ161 BZV159:BZV161 CJR159:CJR161 CTN159:CTN161 DDJ159:DDJ161 DNF159:DNF161 DXB159:DXB161 EGX159:EGX161 EQT159:EQT161 FAP159:FAP161 FKL159:FKL161 FUH159:FUH161 GED159:GED161 GNZ159:GNZ161 GXV159:GXV161 HHR159:HHR161 HRN159:HRN161 IBJ159:IBJ161 ILF159:ILF161 IVB159:IVB161 JEX159:JEX161 JOT159:JOT161 JYP159:JYP161 KIL159:KIL161 KSH159:KSH161 LCD159:LCD161 LLZ159:LLZ161 LVV159:LVV161 MFR159:MFR161 MPN159:MPN161 MZJ159:MZJ161 NJF159:NJF161 NTB159:NTB161 OCX159:OCX161 OMT159:OMT161 OWP159:OWP161 PGL159:PGL161 PQH159:PQH161 QAD159:QAD161 QJZ159:QJZ161 QTV159:QTV161 RDR159:RDR161 RNN159:RNN161 RXJ159:RXJ161 SHF159:SHF161 SRB159:SRB161 TAX159:TAX161 TKT159:TKT161 TUP159:TUP161 UEL159:UEL161 UOH159:UOH161 UYD159:UYD161 VHZ159:VHZ161 VRV159:VRV161 WBR159:WBR161 WLN159:WLN161 WVJ159:WVJ161 C163:C165 IX163:IX165 ST163:ST165 ACP163:ACP165 AML163:AML165 AWH163:AWH165 BGD163:BGD165 BPZ163:BPZ165 BZV163:BZV165 CJR163:CJR165 CTN163:CTN165 DDJ163:DDJ165 DNF163:DNF165 DXB163:DXB165 EGX163:EGX165 EQT163:EQT165 FAP163:FAP165 FKL163:FKL165 FUH163:FUH165 GED163:GED165 GNZ163:GNZ165 GXV163:GXV165 HHR163:HHR165 HRN163:HRN165 IBJ163:IBJ165 ILF163:ILF165 IVB163:IVB165 JEX163:JEX165 JOT163:JOT165 JYP163:JYP165 KIL163:KIL165 KSH163:KSH165 LCD163:LCD165 LLZ163:LLZ165 LVV163:LVV165 MFR163:MFR165 MPN163:MPN165 MZJ163:MZJ165 NJF163:NJF165 NTB163:NTB165 OCX163:OCX165 OMT163:OMT165 OWP163:OWP165 PGL163:PGL165 PQH163:PQH165 QAD163:QAD165 QJZ163:QJZ165 QTV163:QTV165 RDR163:RDR165 RNN163:RNN165 RXJ163:RXJ165 SHF163:SHF165 SRB163:SRB165 TAX163:TAX165 TKT163:TKT165 TUP163:TUP165 UEL163:UEL165 UOH163:UOH165 UYD163:UYD165 VHZ163:VHZ165 VRV163:VRV165 WBR163:WBR165 WLN163:WLN165 WVJ163:WVJ165 C145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C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C123:C125 IX123:IX125 ST123:ST125 ACP123:ACP125 AML123:AML125 AWH123:AWH125 BGD123:BGD125 BPZ123:BPZ125 BZV123:BZV125 CJR123:CJR125 CTN123:CTN125 DDJ123:DDJ125 DNF123:DNF125 DXB123:DXB125 EGX123:EGX125 EQT123:EQT125 FAP123:FAP125 FKL123:FKL125 FUH123:FUH125 GED123:GED125 GNZ123:GNZ125 GXV123:GXV125 HHR123:HHR125 HRN123:HRN125 IBJ123:IBJ125 ILF123:ILF125 IVB123:IVB125 JEX123:JEX125 JOT123:JOT125 JYP123:JYP125 KIL123:KIL125 KSH123:KSH125 LCD123:LCD125 LLZ123:LLZ125 LVV123:LVV125 MFR123:MFR125 MPN123:MPN125 MZJ123:MZJ125 NJF123:NJF125 NTB123:NTB125 OCX123:OCX125 OMT123:OMT125 OWP123:OWP125 PGL123:PGL125 PQH123:PQH125 QAD123:QAD125 QJZ123:QJZ125 QTV123:QTV125 RDR123:RDR125 RNN123:RNN125 RXJ123:RXJ125 SHF123:SHF125 SRB123:SRB125 TAX123:TAX125 TKT123:TKT125 TUP123:TUP125 UEL123:UEL125 UOH123:UOH125 UYD123:UYD125 VHZ123:VHZ125 VRV123:VRV125 WBR123:WBR125 WLN123:WLN125 WVJ123:WVJ125 C127:C129 IX127:IX129 ST127:ST129 ACP127:ACP129 AML127:AML129 AWH127:AWH129 BGD127:BGD129 BPZ127:BPZ129 BZV127:BZV129 CJR127:CJR129 CTN127:CTN129 DDJ127:DDJ129 DNF127:DNF129 DXB127:DXB129 EGX127:EGX129 EQT127:EQT129 FAP127:FAP129 FKL127:FKL129 FUH127:FUH129 GED127:GED129 GNZ127:GNZ129 GXV127:GXV129 HHR127:HHR129 HRN127:HRN129 IBJ127:IBJ129 ILF127:ILF129 IVB127:IVB129 JEX127:JEX129 JOT127:JOT129 JYP127:JYP129 KIL127:KIL129 KSH127:KSH129 LCD127:LCD129 LLZ127:LLZ129 LVV127:LVV129 MFR127:MFR129 MPN127:MPN129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C133:C135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LCD115:LCD117 C107:C109 IX107:IX109 ST107:ST109 ACP107:ACP109 AML107:AML109 AWH107:AWH109 BGD107:BGD109 BPZ107:BPZ109 BZV107:BZV109 CJR107:CJR109 CTN107:CTN109 DDJ107:DDJ109 DNF107:DNF109 DXB107:DXB109 EGX107:EGX109 EQT107:EQT109 FAP107:FAP109 FKL107:FKL109 FUH107:FUH109 GED107:GED109 GNZ107:GNZ109 GXV107:GXV109 HHR107:HHR109 HRN107:HRN109 IBJ107:IBJ109 ILF107:ILF109 IVB107:IVB109 JEX107:JEX109 JOT107:JOT109 JYP107:JYP109 KIL107:KIL109 KSH107:KSH109 LCD107:LCD109 LLZ107:LLZ109 LVV107:LVV109 MFR107:MFR109 MPN107:MPN109 MZJ107:MZJ109 NJF107:NJF109 NTB107:NTB109 OCX107:OCX109 OMT107:OMT109 OWP107:OWP109 PGL107:PGL109 PQH107:PQH109 QAD107:QAD109 QJZ107:QJZ109 QTV107:QTV109 RDR107:RDR109 RNN107:RNN109 RXJ107:RXJ109 SHF107:SHF109 SRB107:SRB109 TAX107:TAX109 TKT107:TKT109 TUP107:TUP109 UEL107:UEL109 UOH107:UOH109 UYD107:UYD109 VHZ107:VHZ109 VRV107:VRV109 WBR107:WBR109 WLN107:WLN109 WVJ107:WVJ109 FAP115:FAP117 EQT115:EQT117 EGX115:EGX117 DXB115:DXB117 DNF115:DNF117 DDJ115:DDJ117 CTN115:CTN117 CJR115:CJR117 BZV115:BZV117 BPZ115:BPZ117 BGD115:BGD117 AWH115:AWH117 AML115:AML117 ACP115:ACP117 ST115:ST117 IX115:IX117 C115:C117 WVJ115:WVJ117 WLN115:WLN117 WBR115:WBR117 VRV115:VRV117 VHZ115:VHZ117 UYD115:UYD117 UOH115:UOH117 UEL115:UEL117 TUP115:TUP117 TKT115:TKT117 TAX115:TAX117 SRB115:SRB117 SHF115:SHF117 RXJ115:RXJ117 RNN115:RNN117 RDR115:RDR117 QTV115:QTV117 QJZ115:QJZ117 QAD115:QAD117 PQH115:PQH117 PGL115:PGL117 OWP115:OWP117 OMT115:OMT117 OCX115:OCX117 NTB115:NTB117 NJF115:NJF117 MZJ115:MZJ117 MPN115:MPN117 MFR115:MFR117 LVV115:LVV117 LLZ115:LLZ117 LLZ113 LVV113 MFR113 MPN113 MZJ113 NJF113 NTB113 OCX113 OMT113 OWP113 PGL113 PQH113 QAD113 QJZ113 QTV113 RDR113 RNN113 RXJ113 SHF113 SRB113 TAX113 TKT113 TUP113 UEL113 UOH113 UYD113 VHZ113 VRV113 WBR113 WLN113 WVJ113 C113 IX113 ST113 ACP113 AML113 AWH113 BGD113 BPZ113 BZV113 CJR113 CTN113 DDJ113 DNF113 DXB113 EGX113 EQT113 FAP113 FKL113 FUH113 GED113 GNZ113 GXV113 HHR113 HRN113 IBJ113 ILF113 IVB113 JEX113 JOT113 JYP113 KIL113 KSH113 LCD113 C95:C97 UYD221:UYD222 NJF225:NJF227 NTB225:NTB227 OCX225:OCX227 OMT225:OMT227 OWP225:OWP227 PGL225:PGL227 PQH225:PQH227 QAD225:QAD227 QJZ225:QJZ227 QTV225:QTV227 RDR225:RDR227 RNN225:RNN227 RXJ225:RXJ227 SHF225:SHF227 SRB225:SRB227 TAX225:TAX227 TKT225:TKT227 TUP225:TUP227 UEL225:UEL227 UOH225:UOH227 UYD225:UYD227 VHZ225:VHZ227 VRV225:VRV227 WBR225:WBR227 WLN225:WLN227 WVJ225:WVJ227 IX225:IX227 ST225:ST227 ACP225:ACP227 AML225:AML227 AWH225:AWH227 BGD225:BGD227 BPZ225:BPZ227 BZV225:BZV227 CJR225:CJR227 CTN225:CTN227 DDJ225:DDJ227 DNF225:DNF227 DXB225:DXB227 EGX225:EGX227 EQT225:EQT227 FAP225:FAP227 LCD225:LCD227 FKL225:FKL227 FUH225:FUH227 GED225:GED227 GNZ225:GNZ227 GXV225:GXV227 HHR225:HHR227 HRN225:HRN227 IBJ225:IBJ227 ILF225:ILF227 IVB225:IVB227 JEX225:JEX227 JOT225:JOT227 JYP225:JYP227 KIL225:KIL227 KSH225:KSH227 LLZ225:LLZ227 LVV225:LVV227 MFR225:MFR227 MPN225:MPN227 MZJ225:MZJ227 LVV231:LVV233 LLZ231:LLZ233 KSH231:KSH233 KIL231:KIL233 JYP231:JYP233 JOT231:JOT233 JEX231:JEX233 IVB231:IVB233 ILF231:ILF233 IBJ231:IBJ233 HRN231:HRN233 HHR231:HHR233 GXV231:GXV233 GNZ231:GNZ233 GED231:GED233 FUH231:FUH233 FKL231:FKL233 LCD231:LCD233 FAP231:FAP233 EQT231:EQT233 EGX231:EGX233 DXB231:DXB233 DNF231:DNF233 DDJ231:DDJ233 CTN231:CTN233 CJR231:CJR233 BZV231:BZV233 BPZ231:BPZ233 BGD231:BGD233 AWH231:AWH233 AML231:AML233 ACP231:ACP233 ST231:ST233 IX231:IX233 WVJ231:WVJ233 WLN231:WLN233 WBR231:WBR233 VRV231:VRV233 VHZ231:VHZ233 UYD231:UYD233 UOH231:UOH233 UEL231:UEL233 TUP231:TUP233 TKT231:TKT233 TAX231:TAX233 SRB231:SRB233 SHF231:SHF233 RXJ231:RXJ233 RNN231:RNN233 RDR231:RDR233 QTV231:QTV233 QJZ231:QJZ233 QAD231:QAD233 PQH231:PQH233 PGL231:PGL233 OWP231:OWP233 OMT231:OMT233 OCX231:OCX233 NTB231:NTB233 NJF231:NJF233 MZJ231:MZJ233 MPN231:MPN233 MZJ243:MZJ245 MFR237:MFR239 LVV237:LVV239 LLZ237:LLZ239 KSH237:KSH239 KIL237:KIL239 JYP237:JYP239 JOT237:JOT239 JEX237:JEX239 IVB237:IVB239 ILF237:ILF239 IBJ237:IBJ239 HRN237:HRN239 HHR237:HHR239 GXV237:GXV239 GNZ237:GNZ239 GED237:GED239 FUH237:FUH239 FKL237:FKL239 LCD237:LCD239 FAP237:FAP239 EQT237:EQT239 EGX237:EGX239 DXB237:DXB239 DNF237:DNF239 DDJ237:DDJ239 CTN237:CTN239 CJR237:CJR239 BZV237:BZV239 BPZ237:BPZ239 BGD237:BGD239 AWH237:AWH239 AML237:AML239 ACP237:ACP239 ST237:ST239 IX237:IX239 WVJ237:WVJ239 WLN237:WLN239 WBR237:WBR239 VRV237:VRV239 VHZ237:VHZ239 UYD237:UYD239 UOH237:UOH239 UEL237:UEL239 TUP237:TUP239 TKT237:TKT239 TAX237:TAX239 SRB237:SRB239 SHF237:SHF239 RXJ237:RXJ239 RNN237:RNN239 RDR237:RDR239 QTV237:QTV239 QJZ237:QJZ239 QAD237:QAD239 PQH237:PQH239 PGL237:PGL239 OWP237:OWP239 OMT237:OMT239 OCX237:OCX239 NTB237:NTB239 NJF237:NJF239 MZJ237:MZJ239 MPN237:MPN239 NJF243:NJF245 NTB243:NTB245 OCX243:OCX245 OMT243:OMT245 OWP243:OWP245 PGL243:PGL245 PQH243:PQH245 QAD243:QAD245 QJZ243:QJZ245 QTV243:QTV245 RDR243:RDR245 RNN243:RNN245 RXJ243:RXJ245 SHF243:SHF245 SRB243:SRB245 TAX243:TAX245 TKT243:TKT245 TUP243:TUP245 UEL243:UEL245 UOH243:UOH245 UYD243:UYD245 VHZ243:VHZ245 VRV243:VRV245 WBR243:WBR245 WLN243:WLN245 WVJ243:WVJ245 IX243:IX245 ST243:ST245 ACP243:ACP245 AML243:AML245 AWH243:AWH245 BGD243:BGD245 BPZ243:BPZ245 BZV243:BZV245 CJR243:CJR245 CTN243:CTN245 DDJ243:DDJ245 DNF243:DNF245 DXB243:DXB245 EGX243:EGX245 EQT243:EQT245 FAP243:FAP245 LCD243:LCD245 FKL243:FKL245 FUH243:FUH245 GED243:GED245 GNZ243:GNZ245 GXV243:GXV245 HHR243:HHR245 HRN243:HRN245 IBJ243:IBJ245 ILF243:ILF245 IVB243:IVB245 JEX243:JEX245 JOT243:JOT245 JYP243:JYP245 KIL243:KIL245 KSH243:KSH245 LLZ243:LLZ245 LVV243:LVV245 MFR243:MFR245 MPN243:MPN245 MFR231:MFR233 MZJ248:MZJ250 NJF248:NJF250 NTB248:NTB250 OCX248:OCX250 OMT248:OMT250 OWP248:OWP250 PGL248:PGL250 PQH248:PQH250 QAD248:QAD250 QJZ248:QJZ250 QTV248:QTV250 RDR248:RDR250 RNN248:RNN250 RXJ248:RXJ250 SHF248:SHF250 SRB248:SRB250 TAX248:TAX250 TKT248:TKT250 TUP248:TUP250 UEL248:UEL250 UOH248:UOH250 UYD248:UYD250 VHZ248:VHZ250 VRV248:VRV250 WBR248:WBR250 WLN248:WLN250 WVJ248:WVJ250 IX248:IX250 ST248:ST250 ACP248:ACP250 AML248:AML250 AWH248:AWH250 BGD248:BGD250 BPZ248:BPZ250 BZV248:BZV250 CJR248:CJR250 CTN248:CTN250 DDJ248:DDJ250 DNF248:DNF250 DXB248:DXB250 EGX248:EGX250 EQT248:EQT250 FAP248:FAP250 LCD248:LCD250 FKL248:FKL250 FUH248:FUH250 GED248:GED250 GNZ248:GNZ250 GXV248:GXV250 HHR248:HHR250 HRN248:HRN250 IBJ248:IBJ250 ILF248:ILF250 IVB248:IVB250 JEX248:JEX250 JOT248:JOT250 JYP248:JYP250 KIL248:KIL250 KSH248:KSH250 LLZ248:LLZ250 LVV248:LVV250 MFR248:MFR250 MPN248:MPN250">
      <formula1>"Proposed,Original,Seasonal,Recommended"</formula1>
    </dataValidation>
    <dataValidation type="list" allowBlank="1" showInputMessage="1" showErrorMessage="1" sqref="C18 C8 C118 IX118 ST118 ACP118 AML118 AWH118 BGD118 BPZ118 BZV118 CJR118 CTN118 DDJ118 DNF118 DXB118 EGX118 EQT118 FAP118 FKL118 FUH118 GED118 GNZ118 GXV118 HHR118 HRN118 IBJ118 ILF118 IVB118 JEX118 JOT118 JYP118 KIL118 KSH118 LCD118 LLZ118 LVV118 MFR118 MPN118 MZJ118 NJF118 NTB118 OCX118 OMT118 OWP118 PGL118 PQH118 QAD118 QJZ118 QTV118 RDR118 RNN118 RXJ118 SHF118 SRB118 TAX118 TKT118 TUP118 UEL118 UOH118 UYD118 VHZ118 VRV118 WBR118 WLN118 WVJ118 C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40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C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C150 IX150 ST150 ACP150 AML150 AWH150 BGD150 BPZ150 BZV150 CJR150 CTN150 DDJ150 DNF150 DXB150 EGX150 EQT150 FAP150 FKL150 FUH150 GED150 GNZ150 GXV150 HHR150 HRN150 IBJ150 ILF150 IVB150 JEX150 JOT150 JYP150 KIL150 KSH150 LCD150 LLZ150 LVV150 MFR150 MPN150 MZJ150 NJF150 NTB150 OCX150 OMT150 OWP150 PGL150 PQH150 QAD150 QJZ150 QTV150 RDR150 RNN150 RXJ150 SHF150 SRB150 TAX150 TKT150 TUP150 UEL150 UOH150 UYD150 VHZ150 VRV150 WBR150 WLN150 WVJ150 C166 IX166 ST166 ACP166 AML166 AWH166 BGD166 BPZ166 BZV166 CJR166 CTN166 DDJ166 DNF166 DXB166 EGX166 EQT166 FAP166 FKL166 FUH166 GED166 GNZ166 GXV166 HHR166 HRN166 IBJ166 ILF166 IVB166 JEX166 JOT166 JYP166 KIL166 KSH166 LCD166 LLZ166 LVV166 MFR166 MPN166 MZJ166 NJF166 NTB166 OCX166 OMT166 OWP166 PGL166 PQH166 QAD166 QJZ166 QTV166 RDR166 RNN166 RXJ166 SHF166 SRB166 TAX166 TKT166 TUP166 UEL166 UOH166 UYD166 VHZ166 VRV166 WBR166 WLN166 WVJ166 C170 IX170 ST170 ACP170 AML170 AWH170 BGD170 BPZ170 BZV170 CJR170 CTN170 DDJ170 DNF170 DXB170 EGX170 EQT170 FAP170 FKL170 FUH170 GED170 GNZ170 GXV170 HHR170 HRN170 IBJ170 ILF170 IVB170 JEX170 JOT170 JYP170 KIL170 KSH170 LCD170 LLZ170 LVV170 MFR170 MPN170 MZJ170 NJF170 NTB170 OCX170 OMT170 OWP170 PGL170 PQH170 QAD170 QJZ170 QTV170 RDR170 RNN170 RXJ170 SHF170 SRB170 TAX170 TKT170 TUP170 UEL170 UOH170 UYD170 VHZ170 VRV170 WBR170 WLN170 WVJ170 C174 IX174 ST174 ACP174 AML174 AWH174 BGD174 BPZ174 BZV174 CJR174 CTN174 DDJ174 DNF174 DXB174 EGX174 EQT174 FAP174 FKL174 FUH174 GED174 GNZ174 GXV174 HHR174 HRN174 IBJ174 ILF174 IVB174 JEX174 JOT174 JYP174 KIL174 KSH174 LCD174 LLZ174 LVV174 MFR174 MPN174 MZJ174 NJF174 NTB174 OCX174 OMT174 OWP174 PGL174 PQH174 QAD174 QJZ174 QTV174 RDR174 RNN174 RXJ174 SHF174 SRB174 TAX174 TKT174 TUP174 UEL174 UOH174 UYD174 VHZ174 VRV174 WBR174 WLN174 WVJ174 C154 IX154 ST154 ACP154 AML154 AWH154 BGD154 BPZ154 BZV154 CJR154 CTN154 DDJ154 DNF154 DXB154 EGX154 EQT154 FAP154 FKL154 FUH154 GED154 GNZ154 GXV154 HHR154 HRN154 IBJ154 ILF154 IVB154 JEX154 JOT154 JYP154 KIL154 KSH154 LCD154 LLZ154 LVV154 MFR154 MPN154 MZJ154 NJF154 NTB154 OCX154 OMT154 OWP154 PGL154 PQH154 QAD154 QJZ154 QTV154 RDR154 RNN154 RXJ154 SHF154 SRB154 TAX154 TKT154 TUP154 UEL154 UOH154 UYD154 VHZ154 VRV154 WBR154 WLN154 WVJ154 C158 IX158 ST158 ACP158 AML158 AWH158 BGD158 BPZ158 BZV158 CJR158 CTN158 DDJ158 DNF158 DXB158 EGX158 EQT158 FAP158 FKL158 FUH158 GED158 GNZ158 GXV158 HHR158 HRN158 IBJ158 ILF158 IVB158 JEX158 JOT158 JYP158 KIL158 KSH158 LCD158 LLZ158 LVV158 MFR158 MPN158 MZJ158 NJF158 NTB158 OCX158 OMT158 OWP158 PGL158 PQH158 QAD158 QJZ158 QTV158 RDR158 RNN158 RXJ158 SHF158 SRB158 TAX158 TKT158 TUP158 UEL158 UOH158 UYD158 VHZ158 VRV158 WBR158 WLN158 WVJ158 C162 IX162 ST162 ACP162 AML162 AWH162 BGD162 BPZ162 BZV162 CJR162 CTN162 DDJ162 DNF162 DXB162 EGX162 EQT162 FAP162 FKL162 FUH162 GED162 GNZ162 GXV162 HHR162 HRN162 IBJ162 ILF162 IVB162 JEX162 JOT162 JYP162 KIL162 KSH162 LCD162 LLZ162 LVV162 MFR162 MPN162 MZJ162 NJF162 NTB162 OCX162 OMT162 OWP162 PGL162 PQH162 QAD162 QJZ162 QTV162 RDR162 RNN162 RXJ162 SHF162 SRB162 TAX162 TKT162 TUP162 UEL162 UOH162 UYD162 VHZ162 VRV162 WBR162 WLN162 WVJ162 C144 IX144 ST144 ACP144 AML144 AWH144 BGD144 BPZ144 BZV144 CJR144 CTN144 DDJ144 DNF144 DXB144 EGX144 EQT144 FAP144 FKL144 FUH144 GED144 GNZ144 GXV144 HHR144 HRN144 IBJ144 ILF144 IVB144 JEX144 JOT144 JYP144 KIL144 KSH144 LCD144 LLZ144 LVV144 MFR144 MPN144 MZJ144 NJF144 NTB144 OCX144 OMT144 OWP144 PGL144 PQH144 QAD144 QJZ144 QTV144 RDR144 RNN144 RXJ144 SHF144 SRB144 TAX144 TKT144 TUP144 UEL144 UOH144 UYD144 VHZ144 VRV144 WBR144 WLN144 WVJ144 C130 IX130 ST130 ACP130 AML130 AWH130 BGD130 BPZ130 BZV130 CJR130 CTN130 DDJ130 DNF130 DXB130 EGX130 EQT130 FAP130 FKL130 FUH130 GED130 GNZ130 GXV130 HHR130 HRN130 IBJ130 ILF130 IVB130 JEX130 JOT130 JYP130 KIL130 KSH130 LCD130 LLZ130 LVV130 MFR130 MPN130 MZJ130 NJF130 NTB130 OCX130 OMT130 OWP130 PGL130 PQH130 QAD130 QJZ130 QTV130 RDR130 RNN130 RXJ130 SHF130 SRB130 TAX130 TKT130 TUP130 UEL130 UOH130 UYD130 VHZ130 VRV130 WBR130 WLN130 WVJ130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10 IX110 ST110 ACP110 AML110 AWH110 BGD110 BPZ110 BZV110 CJR110 CTN110 DDJ110 DNF110 DXB110 EGX110 EQT110 FAP110 FKL110 FUH110 GED110 GNZ110 GXV110 HHR110 HRN110 IBJ110 ILF110 IVB110 JEX110 JOT110 JYP110 KIL110 KSH110 LCD110 LLZ110 LVV110 MFR110 MPN110 MZJ110 NJF110 NTB110 OCX110 OMT110 OWP110 PGL110 PQH110 QAD110 QJZ110 QTV110 RDR110 RNN110 RXJ110 SHF110 SRB110 TAX110 TKT110 TUP110 UEL110 UOH110 UYD110 VHZ110 VRV110 WBR110 WLN110 WVJ110 C122 IX122 ST122 ACP122 AML122 AWH122 BGD122 BPZ122 BZV122 CJR122 CTN122 DDJ122 DNF122 DXB122 EGX122 EQT122 FAP122 FKL122 FUH122 GED122 GNZ122 GXV122 HHR122 HRN122 IBJ122 ILF122 IVB122 JEX122 JOT122 JYP122 KIL122 KSH122 LCD122 LLZ122 LVV122 MFR122 MPN122 MZJ122 NJF122 NTB122 OCX122 OMT122 OWP122 PGL122 PQH122 QAD122 QJZ122 QTV122 RDR122 RNN122 RXJ122 SHF122 SRB122 TAX122 TKT122 TUP122 UEL122 UOH122 UYD122 VHZ122 VRV122 WBR122 WLN122 WVJ122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WLN106 WBR106 VRV106 VHZ106 UYD106 UOH106 UEL106 TUP106 TKT106 TAX106 SRB106 SHF106 RXJ106 RNN106 RDR106 QTV106 QJZ106 QAD106 PQH106 PGL106 OWP106 OMT106 OCX106 NTB106 NJF106 MZJ106 MPN106 MFR106 LVV106 LLZ106 LCD106 KSH106 KIL106 JYP106 JOT106 JEX106 IVB106 ILF106 IBJ106 HRN106 HHR106 GXV106 GNZ106 GED106 FUH106 FKL106 FAP106 EQT106 EGX106 DXB106 DNF106 DDJ106 CTN106 CJR106 BZV106 BPZ106 BGD106 AWH106 AML106 ACP106 ST106 IX106 C106 WVJ114 C114 IX114 ST114 ACP114 AML114 AWH114 BGD114 BPZ114 BZV114 CJR114 CTN114 DDJ114 DNF114 DXB114 EGX114 EQT114 FAP114 FKL114 FUH114 GED114 GNZ114 GXV114 HHR114 HRN114 IBJ114 ILF114 IVB114 JEX114 JOT114 JYP114 KIL114 KSH114 LCD114 LLZ114 LVV114 MFR114 MPN114 MZJ114 NJF114 NTB114 OCX114 OMT114 OWP114 PGL114 PQH114 QAD114 QJZ114 QTV114 RDR114 RNN114 RXJ114 SHF114 SRB114 TAX114 TKT114 TUP114 UEL114 UOH114 UYD114 VHZ114 VRV114 WBR114 WLN114 WVJ106">
      <formula1>"Projected,Original,Seasonal,Recommended"</formula1>
    </dataValidation>
    <dataValidation type="list" allowBlank="1" showInputMessage="1" showErrorMessage="1" sqref="C191:C194 C272:C275">
      <formula1>"APPROVED, PENDING FOR APPROVAL, ERROR, ,"</formula1>
    </dataValidation>
    <dataValidation type="list" allowBlank="1" showInputMessage="1" showErrorMessage="1" sqref="N204 N207:N208 N260">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99"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200"/>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99"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200"/>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99"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201"/>
      <c r="N45" s="5">
        <v>44</v>
      </c>
      <c r="O45" s="9" t="s">
        <v>79</v>
      </c>
      <c r="P45" s="10" t="s">
        <v>78</v>
      </c>
      <c r="Q45" s="10"/>
      <c r="R45" s="10" t="s">
        <v>124</v>
      </c>
      <c r="S45" s="10"/>
    </row>
    <row r="46" spans="1:19" ht="26" x14ac:dyDescent="0.35">
      <c r="A46" s="8"/>
      <c r="B46" s="8"/>
      <c r="C46" s="8"/>
      <c r="D46" s="8"/>
      <c r="E46" s="8"/>
      <c r="F46" s="8"/>
      <c r="G46" s="8"/>
      <c r="H46" s="8"/>
      <c r="I46" s="8"/>
      <c r="J46" s="8"/>
      <c r="K46" s="8"/>
      <c r="L46" s="8"/>
      <c r="M46" s="200"/>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2023-08-10T19:49:54Z</dcterms:modified>
</cp:coreProperties>
</file>