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03"/>
  <workbookPr hidePivotFieldList="1"/>
  <mc:AlternateContent xmlns:mc="http://schemas.openxmlformats.org/markup-compatibility/2006">
    <mc:Choice Requires="x15">
      <x15ac:absPath xmlns:x15ac="http://schemas.microsoft.com/office/spreadsheetml/2010/11/ac" url="https://d.docs.live.net/34A6E7C2A1FBAFF2/Documents/"/>
    </mc:Choice>
  </mc:AlternateContent>
  <xr:revisionPtr revIDLastSave="1" documentId="14_{24487529-836B-418E-A256-ABD11E3FDA10}" xr6:coauthVersionLast="47" xr6:coauthVersionMax="47" xr10:uidLastSave="{BAE66A66-E5C1-40DF-AA88-49336CBCFD89}"/>
  <bookViews>
    <workbookView xWindow="-108" yWindow="-108" windowWidth="23256" windowHeight="12456" firstSheet="2" activeTab="2" xr2:uid="{8EF91B62-6F38-474F-8946-292963F17E8D}"/>
  </bookViews>
  <sheets>
    <sheet name="Introduction" sheetId="2" r:id="rId1"/>
    <sheet name="Financial Model" sheetId="1" r:id="rId2"/>
    <sheet name="Ratio Analysis" sheetId="3" r:id="rId3"/>
    <sheet name="Graphs" sheetId="4" r:id="rId4"/>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3" l="1"/>
  <c r="E4" i="3"/>
  <c r="D25" i="3"/>
  <c r="F5" i="3" s="1"/>
  <c r="C25" i="3"/>
  <c r="D24" i="3"/>
  <c r="C24" i="3"/>
  <c r="D23" i="3"/>
  <c r="F6" i="3" s="1"/>
  <c r="C23" i="3"/>
  <c r="E6" i="3" s="1"/>
  <c r="B23" i="3"/>
  <c r="D6" i="3" s="1"/>
  <c r="F19" i="3"/>
  <c r="E19" i="3"/>
  <c r="F18" i="3"/>
  <c r="E18" i="3"/>
  <c r="F15" i="3"/>
  <c r="E15" i="3"/>
  <c r="F13" i="3"/>
  <c r="E13" i="3"/>
  <c r="F11" i="3"/>
  <c r="E11" i="3"/>
  <c r="F8" i="3"/>
  <c r="D8" i="3"/>
  <c r="E8" i="3"/>
  <c r="D7" i="3"/>
  <c r="E7" i="3"/>
  <c r="F7" i="3"/>
  <c r="F14" i="3"/>
  <c r="E14" i="3"/>
  <c r="F12" i="3"/>
  <c r="E12" i="3"/>
  <c r="F10" i="3"/>
  <c r="E10" i="3"/>
  <c r="C26" i="3" l="1"/>
  <c r="E9" i="3" s="1"/>
  <c r="D26" i="3"/>
  <c r="F9" i="3" s="1"/>
  <c r="F4" i="3"/>
  <c r="E24" i="1"/>
  <c r="D24" i="1"/>
  <c r="F24" i="1" s="1"/>
  <c r="G24" i="1" s="1"/>
  <c r="H24" i="1" s="1"/>
  <c r="I24" i="1" s="1"/>
  <c r="J24" i="1" s="1"/>
  <c r="C133" i="1"/>
  <c r="D133" i="1"/>
  <c r="E133" i="1"/>
  <c r="C125" i="1"/>
  <c r="D125" i="1"/>
  <c r="E125" i="1"/>
  <c r="F124" i="1"/>
  <c r="F76" i="1"/>
  <c r="F75" i="1"/>
  <c r="G75" i="1" s="1"/>
  <c r="H75" i="1" s="1"/>
  <c r="I75" i="1" s="1"/>
  <c r="J75" i="1" s="1"/>
  <c r="F74" i="1"/>
  <c r="G74" i="1" s="1"/>
  <c r="H74" i="1" s="1"/>
  <c r="I74" i="1" s="1"/>
  <c r="J74" i="1" s="1"/>
  <c r="G37" i="1"/>
  <c r="H37" i="1" s="1"/>
  <c r="I37" i="1" s="1"/>
  <c r="I124" i="1" s="1"/>
  <c r="F11" i="1"/>
  <c r="G11" i="1" s="1"/>
  <c r="E6" i="1"/>
  <c r="D116" i="1"/>
  <c r="E116" i="1"/>
  <c r="E49" i="1" s="1"/>
  <c r="C116" i="1"/>
  <c r="C49" i="1" s="1"/>
  <c r="D115" i="1"/>
  <c r="E115" i="1"/>
  <c r="C115" i="1"/>
  <c r="E51" i="1"/>
  <c r="D52" i="1"/>
  <c r="E52" i="1"/>
  <c r="C52" i="1"/>
  <c r="D17" i="1"/>
  <c r="E17" i="1"/>
  <c r="D18" i="1"/>
  <c r="E18" i="1"/>
  <c r="D19" i="1"/>
  <c r="E19" i="1"/>
  <c r="D21" i="1"/>
  <c r="E21" i="1"/>
  <c r="D22" i="1"/>
  <c r="E22" i="1"/>
  <c r="D6" i="1"/>
  <c r="D47" i="1"/>
  <c r="E47" i="1"/>
  <c r="C47" i="1"/>
  <c r="E44" i="1"/>
  <c r="D44" i="1"/>
  <c r="D37" i="1"/>
  <c r="E37" i="1"/>
  <c r="C37" i="1"/>
  <c r="D35" i="1"/>
  <c r="E35" i="1"/>
  <c r="C35" i="1"/>
  <c r="D34" i="1"/>
  <c r="E34" i="1"/>
  <c r="C34" i="1"/>
  <c r="F34" i="1" s="1"/>
  <c r="G34" i="1" s="1"/>
  <c r="H34" i="1" s="1"/>
  <c r="I34" i="1" s="1"/>
  <c r="J34" i="1" s="1"/>
  <c r="C33" i="1"/>
  <c r="E33" i="1"/>
  <c r="D33" i="1"/>
  <c r="E29" i="1"/>
  <c r="D29" i="1"/>
  <c r="F29" i="1" s="1"/>
  <c r="G29" i="1" s="1"/>
  <c r="H29" i="1" s="1"/>
  <c r="I29" i="1" s="1"/>
  <c r="J29" i="1" s="1"/>
  <c r="E30" i="1"/>
  <c r="D30" i="1"/>
  <c r="E31" i="1"/>
  <c r="D31" i="1"/>
  <c r="E28" i="1"/>
  <c r="D28" i="1"/>
  <c r="E25" i="1"/>
  <c r="E26" i="1"/>
  <c r="D26" i="1"/>
  <c r="D25" i="1"/>
  <c r="C22" i="1"/>
  <c r="C21" i="1"/>
  <c r="C19" i="1"/>
  <c r="C18" i="1"/>
  <c r="C17" i="1"/>
  <c r="D14" i="1"/>
  <c r="E14" i="1"/>
  <c r="F14" i="1" s="1"/>
  <c r="G14" i="1" s="1"/>
  <c r="H14" i="1" s="1"/>
  <c r="I14" i="1" s="1"/>
  <c r="J14" i="1" s="1"/>
  <c r="C14" i="1"/>
  <c r="E12" i="1"/>
  <c r="D12" i="1"/>
  <c r="C6" i="1"/>
  <c r="F22" i="1" l="1"/>
  <c r="G22" i="1" s="1"/>
  <c r="H22" i="1" s="1"/>
  <c r="I22" i="1" s="1"/>
  <c r="J22" i="1" s="1"/>
  <c r="F28" i="1"/>
  <c r="G28" i="1" s="1"/>
  <c r="H28" i="1" s="1"/>
  <c r="I28" i="1" s="1"/>
  <c r="J28" i="1" s="1"/>
  <c r="F25" i="1"/>
  <c r="G25" i="1" s="1"/>
  <c r="H25" i="1" s="1"/>
  <c r="I25" i="1" s="1"/>
  <c r="J25" i="1" s="1"/>
  <c r="G66" i="1"/>
  <c r="G70" i="1" s="1"/>
  <c r="F33" i="1"/>
  <c r="G33" i="1" s="1"/>
  <c r="H33" i="1" s="1"/>
  <c r="I33" i="1" s="1"/>
  <c r="J33" i="1" s="1"/>
  <c r="F35" i="1"/>
  <c r="G35" i="1" s="1"/>
  <c r="H35" i="1" s="1"/>
  <c r="I35" i="1" s="1"/>
  <c r="J35" i="1" s="1"/>
  <c r="F52" i="1"/>
  <c r="G52" i="1" s="1"/>
  <c r="H52" i="1" s="1"/>
  <c r="I52" i="1" s="1"/>
  <c r="J52" i="1" s="1"/>
  <c r="F18" i="1"/>
  <c r="G18" i="1" s="1"/>
  <c r="H18" i="1" s="1"/>
  <c r="I18" i="1" s="1"/>
  <c r="J18" i="1" s="1"/>
  <c r="F30" i="1"/>
  <c r="G30" i="1" s="1"/>
  <c r="H30" i="1" s="1"/>
  <c r="I30" i="1" s="1"/>
  <c r="J30" i="1" s="1"/>
  <c r="F26" i="1"/>
  <c r="G26" i="1" s="1"/>
  <c r="H26" i="1" s="1"/>
  <c r="I26" i="1" s="1"/>
  <c r="J26" i="1" s="1"/>
  <c r="F21" i="1"/>
  <c r="G21" i="1" s="1"/>
  <c r="H21" i="1" s="1"/>
  <c r="I21" i="1" s="1"/>
  <c r="J21" i="1" s="1"/>
  <c r="J37" i="1"/>
  <c r="J124" i="1" s="1"/>
  <c r="C120" i="1"/>
  <c r="C137" i="1" s="1"/>
  <c r="H11" i="1"/>
  <c r="H66" i="1" s="1"/>
  <c r="H124" i="1"/>
  <c r="F31" i="1"/>
  <c r="G31" i="1" s="1"/>
  <c r="H31" i="1" s="1"/>
  <c r="I31" i="1" s="1"/>
  <c r="J31" i="1" s="1"/>
  <c r="F66" i="1"/>
  <c r="G124" i="1"/>
  <c r="F19" i="1"/>
  <c r="G19" i="1" s="1"/>
  <c r="H19" i="1" s="1"/>
  <c r="I19" i="1" s="1"/>
  <c r="J19" i="1" s="1"/>
  <c r="D49" i="1"/>
  <c r="F49" i="1" s="1"/>
  <c r="G49" i="1" s="1"/>
  <c r="H49" i="1" s="1"/>
  <c r="I49" i="1" s="1"/>
  <c r="J49" i="1" s="1"/>
  <c r="D120" i="1"/>
  <c r="D137" i="1" s="1"/>
  <c r="E120" i="1"/>
  <c r="E137" i="1" s="1"/>
  <c r="E7" i="1"/>
  <c r="F6" i="1"/>
  <c r="D7" i="1"/>
  <c r="D15" i="1"/>
  <c r="F17" i="1"/>
  <c r="G17" i="1" s="1"/>
  <c r="H17" i="1" s="1"/>
  <c r="I17" i="1" s="1"/>
  <c r="J17" i="1" s="1"/>
  <c r="E15" i="1"/>
  <c r="F70" i="1" l="1"/>
  <c r="H70" i="1"/>
  <c r="I11" i="1"/>
  <c r="I66" i="1"/>
  <c r="I70" i="1" s="1"/>
  <c r="J11" i="1"/>
  <c r="J66" i="1" s="1"/>
  <c r="J70" i="1" s="1"/>
  <c r="G6" i="1"/>
  <c r="F65" i="1"/>
  <c r="F67" i="1" l="1"/>
  <c r="F69" i="1"/>
  <c r="G65" i="1"/>
  <c r="H6" i="1"/>
  <c r="E23" i="3" l="1"/>
  <c r="G6" i="3" s="1"/>
  <c r="H65" i="1"/>
  <c r="I6" i="1"/>
  <c r="G69" i="1"/>
  <c r="G67" i="1"/>
  <c r="F97" i="1"/>
  <c r="F90" i="1"/>
  <c r="G15" i="3" s="1"/>
  <c r="F118" i="1"/>
  <c r="F93" i="1" s="1"/>
  <c r="F71" i="1"/>
  <c r="F135" i="1"/>
  <c r="F117" i="1"/>
  <c r="F123" i="1"/>
  <c r="F92" i="1" l="1"/>
  <c r="F101" i="1" s="1"/>
  <c r="G8" i="3"/>
  <c r="G18" i="3"/>
  <c r="F23" i="3"/>
  <c r="H6" i="3" s="1"/>
  <c r="F72" i="1"/>
  <c r="G135" i="1"/>
  <c r="G123" i="1"/>
  <c r="G125" i="1" s="1"/>
  <c r="G118" i="1"/>
  <c r="G93" i="1" s="1"/>
  <c r="G117" i="1"/>
  <c r="G71" i="1"/>
  <c r="G90" i="1"/>
  <c r="H15" i="3" s="1"/>
  <c r="G97" i="1"/>
  <c r="I65" i="1"/>
  <c r="J6" i="1"/>
  <c r="J65" i="1" s="1"/>
  <c r="F98" i="1"/>
  <c r="E25" i="3" s="1"/>
  <c r="H67" i="1"/>
  <c r="H69" i="1"/>
  <c r="F102" i="1"/>
  <c r="F91" i="1"/>
  <c r="G12" i="3" s="1"/>
  <c r="F125" i="1"/>
  <c r="F99" i="1"/>
  <c r="G92" i="1" l="1"/>
  <c r="G101" i="1" s="1"/>
  <c r="H8" i="3"/>
  <c r="G23" i="3"/>
  <c r="I6" i="3" s="1"/>
  <c r="F77" i="1"/>
  <c r="F79" i="1" s="1"/>
  <c r="F81" i="1" s="1"/>
  <c r="F82" i="1" s="1"/>
  <c r="F116" i="1" s="1"/>
  <c r="G11" i="3"/>
  <c r="H18" i="3"/>
  <c r="G98" i="1"/>
  <c r="F25" i="3" s="1"/>
  <c r="G72" i="1"/>
  <c r="G102" i="1"/>
  <c r="G99" i="1"/>
  <c r="G91" i="1"/>
  <c r="H12" i="3" s="1"/>
  <c r="H90" i="1"/>
  <c r="I15" i="3" s="1"/>
  <c r="H97" i="1"/>
  <c r="H71" i="1"/>
  <c r="H123" i="1"/>
  <c r="H125" i="1" s="1"/>
  <c r="H118" i="1"/>
  <c r="H93" i="1" s="1"/>
  <c r="H117" i="1"/>
  <c r="H135" i="1"/>
  <c r="J69" i="1"/>
  <c r="J67" i="1"/>
  <c r="I67" i="1"/>
  <c r="I69" i="1"/>
  <c r="H23" i="3" l="1"/>
  <c r="J6" i="3" s="1"/>
  <c r="H92" i="1"/>
  <c r="H101" i="1" s="1"/>
  <c r="I8" i="3"/>
  <c r="I23" i="3"/>
  <c r="K6" i="3" s="1"/>
  <c r="I18" i="3"/>
  <c r="K15" i="3"/>
  <c r="H98" i="1"/>
  <c r="G25" i="3" s="1"/>
  <c r="H99" i="1"/>
  <c r="H102" i="1"/>
  <c r="F131" i="1"/>
  <c r="F106" i="1"/>
  <c r="I90" i="1"/>
  <c r="J15" i="3" s="1"/>
  <c r="I97" i="1"/>
  <c r="I71" i="1"/>
  <c r="I102" i="1" s="1"/>
  <c r="I123" i="1"/>
  <c r="I125" i="1" s="1"/>
  <c r="I118" i="1"/>
  <c r="I93" i="1" s="1"/>
  <c r="I117" i="1"/>
  <c r="I135" i="1"/>
  <c r="H91" i="1"/>
  <c r="I12" i="3" s="1"/>
  <c r="J118" i="1"/>
  <c r="J71" i="1"/>
  <c r="J117" i="1"/>
  <c r="J123" i="1"/>
  <c r="J125" i="1" s="1"/>
  <c r="J135" i="1"/>
  <c r="J90" i="1"/>
  <c r="J97" i="1"/>
  <c r="H72" i="1"/>
  <c r="F83" i="1"/>
  <c r="G7" i="3" s="1"/>
  <c r="J92" i="1" l="1"/>
  <c r="K8" i="3"/>
  <c r="J18" i="3"/>
  <c r="K18" i="3"/>
  <c r="I92" i="1"/>
  <c r="I101" i="1" s="1"/>
  <c r="J8" i="3"/>
  <c r="J72" i="1"/>
  <c r="J101" i="1"/>
  <c r="J98" i="1"/>
  <c r="I99" i="1"/>
  <c r="J93" i="1"/>
  <c r="F115" i="1"/>
  <c r="F129" i="1"/>
  <c r="I72" i="1"/>
  <c r="J102" i="1"/>
  <c r="I91" i="1"/>
  <c r="J99" i="1"/>
  <c r="I98" i="1"/>
  <c r="H25" i="3" s="1"/>
  <c r="I25" i="3" l="1"/>
  <c r="J91" i="1"/>
  <c r="K12" i="3" s="1"/>
  <c r="J12" i="3"/>
  <c r="J89" i="1"/>
  <c r="I89" i="1"/>
  <c r="H89" i="1"/>
  <c r="G89" i="1"/>
  <c r="F89" i="1"/>
  <c r="J19" i="3" l="1"/>
  <c r="J13" i="3"/>
  <c r="K14" i="3"/>
  <c r="K19" i="3"/>
  <c r="K13" i="3"/>
  <c r="F119" i="1"/>
  <c r="F120" i="1" s="1"/>
  <c r="F40" i="1" s="1"/>
  <c r="F46" i="1" s="1"/>
  <c r="F128" i="1" s="1"/>
  <c r="G19" i="3"/>
  <c r="G13" i="3"/>
  <c r="G14" i="3"/>
  <c r="H14" i="3"/>
  <c r="H19" i="3"/>
  <c r="H13" i="3"/>
  <c r="I14" i="3"/>
  <c r="I119" i="1"/>
  <c r="I19" i="3"/>
  <c r="I13" i="3"/>
  <c r="J14" i="3"/>
  <c r="J119" i="1"/>
  <c r="H119" i="1"/>
  <c r="G119" i="1"/>
  <c r="F100" i="1" l="1"/>
  <c r="F48" i="1"/>
  <c r="F130" i="1" s="1"/>
  <c r="F105" i="1" s="1"/>
  <c r="F107" i="1" s="1"/>
  <c r="F103" i="1"/>
  <c r="F109" i="1" s="1"/>
  <c r="G76" i="1"/>
  <c r="G77" i="1" l="1"/>
  <c r="H11" i="3"/>
  <c r="F133" i="1"/>
  <c r="F137" i="1" s="1"/>
  <c r="F88" i="1" s="1"/>
  <c r="G10" i="3"/>
  <c r="G79" i="1"/>
  <c r="G81" i="1" s="1"/>
  <c r="E24" i="3" l="1"/>
  <c r="G4" i="3" s="1"/>
  <c r="G5" i="3"/>
  <c r="F94" i="1"/>
  <c r="E26" i="3" s="1"/>
  <c r="G9" i="3" s="1"/>
  <c r="G82" i="1"/>
  <c r="G116" i="1" s="1"/>
  <c r="G83" i="1"/>
  <c r="H7" i="3" s="1"/>
  <c r="G129" i="1" l="1"/>
  <c r="G115" i="1"/>
  <c r="G131" i="1"/>
  <c r="G106" i="1" s="1"/>
  <c r="G120" i="1" l="1"/>
  <c r="G40" i="1" l="1"/>
  <c r="G46" i="1" s="1"/>
  <c r="G128" i="1" l="1"/>
  <c r="G48" i="1"/>
  <c r="G130" i="1" s="1"/>
  <c r="G105" i="1" s="1"/>
  <c r="G107" i="1" l="1"/>
  <c r="G133" i="1"/>
  <c r="G137" i="1" s="1"/>
  <c r="G88" i="1" s="1"/>
  <c r="G100" i="1"/>
  <c r="H10" i="3" s="1"/>
  <c r="F24" i="3" l="1"/>
  <c r="H4" i="3" s="1"/>
  <c r="H5" i="3"/>
  <c r="H76" i="1"/>
  <c r="G103" i="1"/>
  <c r="G109" i="1" s="1"/>
  <c r="G94" i="1"/>
  <c r="F26" i="3" s="1"/>
  <c r="H9" i="3" s="1"/>
  <c r="H77" i="1" l="1"/>
  <c r="I11" i="3"/>
  <c r="H79" i="1"/>
  <c r="H81" i="1" s="1"/>
  <c r="H82" i="1" l="1"/>
  <c r="H116" i="1" s="1"/>
  <c r="H131" i="1" l="1"/>
  <c r="H106" i="1"/>
  <c r="H83" i="1"/>
  <c r="I7" i="3" s="1"/>
  <c r="H129" i="1" l="1"/>
  <c r="H115" i="1"/>
  <c r="H120" i="1" l="1"/>
  <c r="H40" i="1" l="1"/>
  <c r="H46" i="1" s="1"/>
  <c r="H128" i="1" l="1"/>
  <c r="H48" i="1"/>
  <c r="H130" i="1" s="1"/>
  <c r="H105" i="1" s="1"/>
  <c r="H107" i="1" l="1"/>
  <c r="H133" i="1"/>
  <c r="H137" i="1" s="1"/>
  <c r="H88" i="1" s="1"/>
  <c r="H100" i="1"/>
  <c r="I10" i="3" s="1"/>
  <c r="G24" i="3" l="1"/>
  <c r="I4" i="3" s="1"/>
  <c r="I5" i="3"/>
  <c r="H103" i="1"/>
  <c r="H109" i="1" s="1"/>
  <c r="I76" i="1"/>
  <c r="H94" i="1"/>
  <c r="G26" i="3" s="1"/>
  <c r="I9" i="3" s="1"/>
  <c r="I77" i="1" l="1"/>
  <c r="J11" i="3"/>
  <c r="I79" i="1"/>
  <c r="I81" i="1" s="1"/>
  <c r="I82" i="1" l="1"/>
  <c r="I116" i="1" s="1"/>
  <c r="I131" i="1" l="1"/>
  <c r="I106" i="1"/>
  <c r="I83" i="1"/>
  <c r="J7" i="3" s="1"/>
  <c r="I129" i="1" l="1"/>
  <c r="I115" i="1"/>
  <c r="I120" i="1" l="1"/>
  <c r="I40" i="1" l="1"/>
  <c r="I46" i="1" s="1"/>
  <c r="I128" i="1" l="1"/>
  <c r="I48" i="1"/>
  <c r="I130" i="1" s="1"/>
  <c r="I105" i="1" s="1"/>
  <c r="I107" i="1" l="1"/>
  <c r="I133" i="1"/>
  <c r="I137" i="1" s="1"/>
  <c r="I88" i="1" s="1"/>
  <c r="I100" i="1"/>
  <c r="J10" i="3" s="1"/>
  <c r="H24" i="3" l="1"/>
  <c r="J4" i="3" s="1"/>
  <c r="J5" i="3"/>
  <c r="J76" i="1"/>
  <c r="I103" i="1"/>
  <c r="I109" i="1" s="1"/>
  <c r="I94" i="1"/>
  <c r="H26" i="3" s="1"/>
  <c r="J9" i="3" s="1"/>
  <c r="J77" i="1" l="1"/>
  <c r="K11" i="3"/>
  <c r="J79" i="1"/>
  <c r="J81" i="1" s="1"/>
  <c r="J82" i="1" l="1"/>
  <c r="J116" i="1" s="1"/>
  <c r="J131" i="1" l="1"/>
  <c r="J106" i="1"/>
  <c r="J83" i="1"/>
  <c r="K7" i="3" s="1"/>
  <c r="J129" i="1" l="1"/>
  <c r="J115" i="1"/>
  <c r="J120" i="1" l="1"/>
  <c r="J40" i="1" l="1"/>
  <c r="J46" i="1" s="1"/>
  <c r="J128" i="1" l="1"/>
  <c r="J48" i="1"/>
  <c r="J130" i="1" s="1"/>
  <c r="J105" i="1" s="1"/>
  <c r="J107" i="1" s="1"/>
  <c r="J133" i="1" l="1"/>
  <c r="J137" i="1" s="1"/>
  <c r="J88" i="1" s="1"/>
  <c r="J100" i="1"/>
  <c r="J103" i="1" l="1"/>
  <c r="J109" i="1" s="1"/>
  <c r="K10" i="3"/>
  <c r="J94" i="1"/>
  <c r="I26" i="3" s="1"/>
  <c r="K9" i="3" s="1"/>
  <c r="I24" i="3"/>
  <c r="K4" i="3" s="1"/>
  <c r="K5" i="3"/>
</calcChain>
</file>

<file path=xl/sharedStrings.xml><?xml version="1.0" encoding="utf-8"?>
<sst xmlns="http://schemas.openxmlformats.org/spreadsheetml/2006/main" count="143" uniqueCount="121">
  <si>
    <t>INTRODUCTION</t>
  </si>
  <si>
    <t xml:space="preserve">                                      Otis Worldwide Corporation is a global leader in the design, manufacturing, installation, and maintenance of elevators, escalators, and moving walkways. Founded in 1853 by Elisha Otis, the company revolutionized urban development with the invention of the safety elevator, making high-rise buildings practical and safe. Today, Otis operates in more than 200 countries and territories, serving a wide range of customers from residential and commercial buildings to airports and hospitals.
As a pioneer in vertical transportation, Otis is committed to innovation, safety, and sustainability. The company has introduced cutting-edge technologies such as the Gen2® elevator, which uses energy-efficient systems, and the Otis ONE™ IoT platform, which enhances service reliability through real-time data and analytics.
Headquartered in Farmington, Connecticut, Otis became an independent company in 2020 after being spun off from United Technologies Corporation. With a legacy of over 160 years, Otis continues to lead the industry, ensuring the safe, reliable, and efficient movement of people and goods around the world.
</t>
  </si>
  <si>
    <t>Financial Model</t>
  </si>
  <si>
    <t>Drivers:</t>
  </si>
  <si>
    <t>New Equipment Market Size:</t>
  </si>
  <si>
    <t>Growth Rate:</t>
  </si>
  <si>
    <t>New Equipment Market Share:</t>
  </si>
  <si>
    <t>Service Units (Maintenance):</t>
  </si>
  <si>
    <t>Revenue per Service Unit:</t>
  </si>
  <si>
    <t>Product - COGS % Revenue:</t>
  </si>
  <si>
    <t>Service - COGS % Revenue:</t>
  </si>
  <si>
    <t>OpEx % Revenue:</t>
  </si>
  <si>
    <t>Tax Rate:</t>
  </si>
  <si>
    <t>NCI Net Income % Total:</t>
  </si>
  <si>
    <t>Accounts Receivable % Revenue:</t>
  </si>
  <si>
    <t>Inventory &amp; Other % COGS:</t>
  </si>
  <si>
    <t>Op. Lease Assets % OpEx:</t>
  </si>
  <si>
    <t>Accounts Payable % COGS:</t>
  </si>
  <si>
    <t>Accrued Liabilities % Total Expenses:</t>
  </si>
  <si>
    <t>Contract Liabilities % Total Expenses:</t>
  </si>
  <si>
    <t>Other Liabilities  % Total Expenses:</t>
  </si>
  <si>
    <t>CapEx % Revenue:</t>
  </si>
  <si>
    <t>D&amp;A % Revenue:</t>
  </si>
  <si>
    <t>Pensions/Other Items % Revenue:</t>
  </si>
  <si>
    <t>Acquisitions &amp; Other:</t>
  </si>
  <si>
    <t>Minimum Cash:</t>
  </si>
  <si>
    <t>Excess Cash Flow:</t>
  </si>
  <si>
    <t>% Stock Repurchases:</t>
  </si>
  <si>
    <t>% Debt Repayment:</t>
  </si>
  <si>
    <t>Interest Expense % Debt:</t>
  </si>
  <si>
    <t>Change in Debt:</t>
  </si>
  <si>
    <t>Dividends % Net Income:</t>
  </si>
  <si>
    <t>Stock Repurchases:</t>
  </si>
  <si>
    <t>NCI Dividends % NCI Net Income:</t>
  </si>
  <si>
    <t>Other Items % Debt Issuances:</t>
  </si>
  <si>
    <t>FX Rate Effects % Revenue:</t>
  </si>
  <si>
    <t>Income Statement:</t>
  </si>
  <si>
    <t>Products:</t>
  </si>
  <si>
    <t>Services:</t>
  </si>
  <si>
    <t>Total Revenue:</t>
  </si>
  <si>
    <t>Cost of Products:</t>
  </si>
  <si>
    <t>Cost of Services:</t>
  </si>
  <si>
    <t>Operating Expenses:</t>
  </si>
  <si>
    <t>Operating Income:</t>
  </si>
  <si>
    <t>Other Income / (Expense):</t>
  </si>
  <si>
    <t>Non-Service Pension Expense:</t>
  </si>
  <si>
    <t>Interest Income / (Expense):</t>
  </si>
  <si>
    <t>Pre-Tax Income:</t>
  </si>
  <si>
    <t>Income Taxes:</t>
  </si>
  <si>
    <t>Net Income:</t>
  </si>
  <si>
    <t>(-) NCI Net Income:</t>
  </si>
  <si>
    <t>Net Income to Parent:</t>
  </si>
  <si>
    <t>Balance Sheet:</t>
  </si>
  <si>
    <t>FY 19</t>
  </si>
  <si>
    <t>FY 20</t>
  </si>
  <si>
    <t>FY 21</t>
  </si>
  <si>
    <t>FY 22</t>
  </si>
  <si>
    <t>FY 23</t>
  </si>
  <si>
    <t>FY 24</t>
  </si>
  <si>
    <t>FY 25</t>
  </si>
  <si>
    <t>FY 26</t>
  </si>
  <si>
    <t>ASSETS:</t>
  </si>
  <si>
    <t>Cash:</t>
  </si>
  <si>
    <t>Accounts Receivable:</t>
  </si>
  <si>
    <t>Inventory &amp; Other:</t>
  </si>
  <si>
    <t>Net PP&amp;E, Goodwill &amp; Intangibles:</t>
  </si>
  <si>
    <t>Op. Lease Assets:</t>
  </si>
  <si>
    <t>Other Assets:</t>
  </si>
  <si>
    <t>Total Assets:</t>
  </si>
  <si>
    <t>LIABILITES &amp; EQUITY:</t>
  </si>
  <si>
    <t>Accounts Payable:</t>
  </si>
  <si>
    <t>Accrued Liabilities:</t>
  </si>
  <si>
    <t>Contract Liabilities:</t>
  </si>
  <si>
    <t>Total Debt:</t>
  </si>
  <si>
    <t>Op. Lease Liabilities:</t>
  </si>
  <si>
    <t>Other Liabilities:</t>
  </si>
  <si>
    <t>Total Liabilities:</t>
  </si>
  <si>
    <t>Common Shareholders' Equity:</t>
  </si>
  <si>
    <t>Noncontrolling Interests:</t>
  </si>
  <si>
    <t>Total Equity:</t>
  </si>
  <si>
    <t>TOTAL LIABILITIES + EQUITY:</t>
  </si>
  <si>
    <t>Balance Check:</t>
  </si>
  <si>
    <t>Cash Flow Statement:</t>
  </si>
  <si>
    <t>Cash Flow from Operations:</t>
  </si>
  <si>
    <t>(+/-) Reversal of NCI Net Income:</t>
  </si>
  <si>
    <t>(+) D&amp;A:</t>
  </si>
  <si>
    <t>(+/-) Pensions/Other Items:</t>
  </si>
  <si>
    <t>(+/-) Change in WC &amp; Leases:</t>
  </si>
  <si>
    <t>Cash Flow from Investing:</t>
  </si>
  <si>
    <t>(-) CapEx:</t>
  </si>
  <si>
    <t>(-) Acquisitions &amp; Other:</t>
  </si>
  <si>
    <t>Cash Flow from Financing:</t>
  </si>
  <si>
    <t>(+/-) Change in Debt:</t>
  </si>
  <si>
    <t>(-) Common Dividends:</t>
  </si>
  <si>
    <t>(-) Stock Repurchases:</t>
  </si>
  <si>
    <t>(-) Dividends to NCI:</t>
  </si>
  <si>
    <t>(+/-) Other Items:</t>
  </si>
  <si>
    <t>FX Rate Effects:</t>
  </si>
  <si>
    <t>Net Change in Cash:</t>
  </si>
  <si>
    <t>Ratio Analysis</t>
  </si>
  <si>
    <t>Trend Lines</t>
  </si>
  <si>
    <t>Current Ratio</t>
  </si>
  <si>
    <t>Quick Ratio</t>
  </si>
  <si>
    <t>Gross Profit Ratio</t>
  </si>
  <si>
    <t>Net Profit Ratio</t>
  </si>
  <si>
    <t>Operating Ratio</t>
  </si>
  <si>
    <t>ROCE</t>
  </si>
  <si>
    <t>Debt Equity Ratio</t>
  </si>
  <si>
    <t>Interest Coverage Ratio</t>
  </si>
  <si>
    <t>FA Turnover Ratio</t>
  </si>
  <si>
    <t>Inventory Turnover Ratio</t>
  </si>
  <si>
    <t>Receivables Turnover Ratio</t>
  </si>
  <si>
    <t>Payables Turnover Ratio</t>
  </si>
  <si>
    <t>PE Ratio</t>
  </si>
  <si>
    <t>EPS</t>
  </si>
  <si>
    <t>Payable days</t>
  </si>
  <si>
    <t>Receivable days</t>
  </si>
  <si>
    <t>gross profit</t>
  </si>
  <si>
    <t>current assets</t>
  </si>
  <si>
    <t>current liabilities</t>
  </si>
  <si>
    <t>Capital emplyoed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</si>
</sst>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quot;$&quot;* #,##0_);_(&quot;$&quot;* \(#,##0\);_(&quot;$&quot;* &quot;-&quot;_);_(@_)"/>
    <numFmt numFmtId="41" formatCode="_(* #,##0_);_(* \(#,##0\);_(* &quot;-&quot;_);_(@_)"/>
    <numFmt numFmtId="164" formatCode="&quot;FY&quot;\ yy"/>
    <numFmt numFmtId="165" formatCode="0.0%;\(0.0%\)"/>
    <numFmt numFmtId="166" formatCode="0.0%"/>
  </numFmts>
  <fonts count="13">
    <font>
      <sz val="11"/>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sz val="12"/>
      <color rgb="FF000000"/>
      <name val="Calibri"/>
      <family val="2"/>
      <scheme val="minor"/>
    </font>
    <font>
      <sz val="12"/>
      <color rgb="FF0000FF"/>
      <name val="Calibri"/>
      <family val="2"/>
      <scheme val="minor"/>
    </font>
    <font>
      <b/>
      <sz val="12"/>
      <color rgb="FF000000"/>
      <name val="Calibri"/>
      <family val="2"/>
      <scheme val="minor"/>
    </font>
    <font>
      <b/>
      <sz val="12"/>
      <color rgb="FF0000FF"/>
      <name val="Calibri"/>
      <family val="2"/>
      <scheme val="minor"/>
    </font>
    <font>
      <sz val="8"/>
      <name val="Calibri"/>
      <family val="2"/>
      <scheme val="minor"/>
    </font>
    <font>
      <b/>
      <sz val="24"/>
      <color theme="0"/>
      <name val="Georgia"/>
      <family val="1"/>
    </font>
    <font>
      <sz val="13"/>
      <color theme="1"/>
      <name val="Calibri"/>
      <family val="2"/>
      <scheme val="minor"/>
    </font>
    <font>
      <b/>
      <sz val="20"/>
      <color theme="0"/>
      <name val="Calibri"/>
      <family val="2"/>
      <scheme val="minor"/>
    </font>
    <font>
      <b/>
      <sz val="28"/>
      <color theme="0"/>
      <name val="Calibri"/>
      <family val="2"/>
      <scheme val="minor"/>
    </font>
  </fonts>
  <fills count="3">
    <fill>
      <patternFill patternType="none"/>
    </fill>
    <fill>
      <patternFill patternType="gray125"/>
    </fill>
    <fill>
      <patternFill patternType="solid">
        <fgColor theme="1"/>
        <bgColor indexed="64"/>
      </patternFill>
    </fill>
  </fills>
  <borders count="19">
    <border>
      <left/>
      <right/>
      <top/>
      <bottom/>
      <diagonal/>
    </border>
    <border>
      <left/>
      <right/>
      <top/>
      <bottom style="thin">
        <color auto="1"/>
      </bottom>
      <diagonal/>
    </border>
    <border>
      <left/>
      <right/>
      <top style="thin">
        <color indexed="64"/>
      </top>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bottom/>
      <diagonal/>
    </border>
    <border>
      <left/>
      <right style="medium">
        <color indexed="64"/>
      </right>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auto="1"/>
      </bottom>
      <diagonal/>
    </border>
    <border>
      <left/>
      <right style="medium">
        <color indexed="64"/>
      </right>
      <top/>
      <bottom style="thin">
        <color auto="1"/>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79">
    <xf numFmtId="0" fontId="0" fillId="0" borderId="0" xfId="0"/>
    <xf numFmtId="0" fontId="2" fillId="0" borderId="0" xfId="0" applyFont="1"/>
    <xf numFmtId="0" fontId="3" fillId="0" borderId="1" xfId="0" applyFont="1" applyBorder="1"/>
    <xf numFmtId="164" fontId="3" fillId="0" borderId="1" xfId="0" applyNumberFormat="1" applyFont="1" applyBorder="1" applyAlignment="1">
      <alignment horizontal="center"/>
    </xf>
    <xf numFmtId="0" fontId="4" fillId="0" borderId="0" xfId="0" applyFont="1"/>
    <xf numFmtId="42" fontId="4" fillId="0" borderId="0" xfId="0" applyNumberFormat="1" applyFont="1"/>
    <xf numFmtId="0" fontId="4" fillId="0" borderId="0" xfId="0" applyFont="1" applyAlignment="1">
      <alignment horizontal="left" indent="1"/>
    </xf>
    <xf numFmtId="165" fontId="4" fillId="0" borderId="0" xfId="0" applyNumberFormat="1" applyFont="1"/>
    <xf numFmtId="166" fontId="5" fillId="0" borderId="0" xfId="0" applyNumberFormat="1" applyFont="1"/>
    <xf numFmtId="2" fontId="5" fillId="0" borderId="0" xfId="0" applyNumberFormat="1" applyFont="1"/>
    <xf numFmtId="2" fontId="4" fillId="0" borderId="0" xfId="0" applyNumberFormat="1" applyFont="1"/>
    <xf numFmtId="165" fontId="6" fillId="0" borderId="0" xfId="0" applyNumberFormat="1" applyFont="1"/>
    <xf numFmtId="165" fontId="2" fillId="0" borderId="0" xfId="0" applyNumberFormat="1" applyFont="1"/>
    <xf numFmtId="41" fontId="4" fillId="0" borderId="0" xfId="0" applyNumberFormat="1" applyFont="1"/>
    <xf numFmtId="41" fontId="7" fillId="0" borderId="0" xfId="0" applyNumberFormat="1" applyFont="1"/>
    <xf numFmtId="42" fontId="5" fillId="0" borderId="0" xfId="0" applyNumberFormat="1" applyFont="1"/>
    <xf numFmtId="165" fontId="5" fillId="0" borderId="0" xfId="0" applyNumberFormat="1" applyFont="1"/>
    <xf numFmtId="165" fontId="7" fillId="0" borderId="0" xfId="0" applyNumberFormat="1" applyFont="1"/>
    <xf numFmtId="9" fontId="4" fillId="0" borderId="0" xfId="1" applyFont="1" applyFill="1"/>
    <xf numFmtId="0" fontId="2" fillId="0" borderId="0" xfId="0" applyFont="1" applyAlignment="1">
      <alignment vertical="top" wrapText="1"/>
    </xf>
    <xf numFmtId="0" fontId="10" fillId="0" borderId="0" xfId="0" applyFont="1" applyAlignment="1">
      <alignment vertical="top" wrapText="1"/>
    </xf>
    <xf numFmtId="0" fontId="2" fillId="0" borderId="0" xfId="0" applyFont="1" applyAlignment="1">
      <alignment horizontal="center"/>
    </xf>
    <xf numFmtId="0" fontId="3" fillId="0" borderId="3" xfId="0" applyFont="1" applyBorder="1"/>
    <xf numFmtId="164" fontId="3" fillId="0" borderId="4" xfId="0" applyNumberFormat="1" applyFont="1" applyBorder="1" applyAlignment="1">
      <alignment horizontal="center"/>
    </xf>
    <xf numFmtId="164" fontId="3" fillId="0" borderId="5" xfId="0" applyNumberFormat="1" applyFont="1" applyBorder="1" applyAlignment="1">
      <alignment horizontal="center"/>
    </xf>
    <xf numFmtId="0" fontId="2" fillId="0" borderId="6" xfId="0" applyFont="1" applyBorder="1"/>
    <xf numFmtId="0" fontId="2" fillId="0" borderId="7" xfId="0" applyFont="1" applyBorder="1"/>
    <xf numFmtId="0" fontId="4" fillId="0" borderId="6" xfId="0" applyFont="1" applyBorder="1" applyAlignment="1">
      <alignment horizontal="left" indent="1"/>
    </xf>
    <xf numFmtId="0" fontId="6" fillId="0" borderId="8" xfId="0" applyFont="1" applyBorder="1"/>
    <xf numFmtId="0" fontId="4" fillId="0" borderId="6" xfId="0" applyFont="1" applyBorder="1"/>
    <xf numFmtId="0" fontId="6" fillId="0" borderId="6" xfId="0" applyFont="1" applyBorder="1"/>
    <xf numFmtId="0" fontId="3" fillId="0" borderId="10" xfId="0" applyFont="1" applyBorder="1"/>
    <xf numFmtId="0" fontId="6" fillId="0" borderId="6" xfId="0" applyFont="1" applyBorder="1" applyAlignment="1">
      <alignment horizontal="left" indent="1"/>
    </xf>
    <xf numFmtId="0" fontId="4" fillId="0" borderId="6" xfId="0" applyFont="1" applyBorder="1" applyAlignment="1">
      <alignment horizontal="left" indent="2"/>
    </xf>
    <xf numFmtId="0" fontId="6" fillId="0" borderId="12" xfId="0" applyFont="1" applyBorder="1"/>
    <xf numFmtId="0" fontId="3" fillId="0" borderId="0" xfId="0" applyFont="1"/>
    <xf numFmtId="1" fontId="5" fillId="0" borderId="0" xfId="0" applyNumberFormat="1" applyFont="1"/>
    <xf numFmtId="1" fontId="4" fillId="0" borderId="0" xfId="0" applyNumberFormat="1" applyFont="1"/>
    <xf numFmtId="1" fontId="4" fillId="0" borderId="7" xfId="0" applyNumberFormat="1" applyFont="1" applyBorder="1"/>
    <xf numFmtId="1" fontId="6" fillId="0" borderId="2" xfId="0" applyNumberFormat="1" applyFont="1" applyBorder="1"/>
    <xf numFmtId="1" fontId="6" fillId="0" borderId="9" xfId="0" applyNumberFormat="1" applyFont="1" applyBorder="1"/>
    <xf numFmtId="1" fontId="2" fillId="0" borderId="0" xfId="0" applyNumberFormat="1" applyFont="1"/>
    <xf numFmtId="1" fontId="2" fillId="0" borderId="7" xfId="0" applyNumberFormat="1" applyFont="1" applyBorder="1"/>
    <xf numFmtId="1" fontId="6" fillId="0" borderId="0" xfId="0" applyNumberFormat="1" applyFont="1"/>
    <xf numFmtId="1" fontId="6" fillId="0" borderId="7" xfId="0" applyNumberFormat="1" applyFont="1" applyBorder="1"/>
    <xf numFmtId="1" fontId="3" fillId="0" borderId="1" xfId="0" applyNumberFormat="1" applyFont="1" applyBorder="1" applyAlignment="1">
      <alignment horizontal="center"/>
    </xf>
    <xf numFmtId="1" fontId="3" fillId="0" borderId="11" xfId="0" applyNumberFormat="1" applyFont="1" applyBorder="1" applyAlignment="1">
      <alignment horizontal="center"/>
    </xf>
    <xf numFmtId="1" fontId="2" fillId="0" borderId="1" xfId="0" applyNumberFormat="1" applyFont="1" applyBorder="1"/>
    <xf numFmtId="1" fontId="6" fillId="0" borderId="13" xfId="0" applyNumberFormat="1" applyFont="1" applyBorder="1"/>
    <xf numFmtId="1" fontId="6" fillId="0" borderId="14" xfId="0" applyNumberFormat="1" applyFont="1" applyBorder="1"/>
    <xf numFmtId="2" fontId="2" fillId="0" borderId="0" xfId="0" applyNumberFormat="1" applyFont="1"/>
    <xf numFmtId="0" fontId="2" fillId="0" borderId="15" xfId="0" applyFont="1" applyBorder="1" applyAlignment="1">
      <alignment horizontal="center"/>
    </xf>
    <xf numFmtId="0" fontId="3" fillId="0" borderId="16" xfId="0" applyFont="1" applyBorder="1"/>
    <xf numFmtId="0" fontId="2" fillId="0" borderId="16" xfId="0" applyFont="1" applyBorder="1"/>
    <xf numFmtId="2" fontId="2" fillId="0" borderId="16" xfId="0" applyNumberFormat="1" applyFont="1" applyBorder="1"/>
    <xf numFmtId="2" fontId="2" fillId="0" borderId="17" xfId="0" applyNumberFormat="1" applyFont="1" applyBorder="1"/>
    <xf numFmtId="0" fontId="2" fillId="0" borderId="6" xfId="0" applyFont="1" applyBorder="1" applyAlignment="1">
      <alignment horizontal="center"/>
    </xf>
    <xf numFmtId="0" fontId="2" fillId="0" borderId="12" xfId="0" applyFont="1" applyBorder="1" applyAlignment="1">
      <alignment horizontal="center"/>
    </xf>
    <xf numFmtId="0" fontId="2" fillId="0" borderId="13" xfId="0" applyFont="1" applyBorder="1"/>
    <xf numFmtId="1" fontId="2" fillId="0" borderId="13" xfId="0" applyNumberFormat="1" applyFont="1" applyBorder="1"/>
    <xf numFmtId="1" fontId="2" fillId="0" borderId="14" xfId="0" applyNumberFormat="1" applyFont="1" applyBorder="1"/>
    <xf numFmtId="0" fontId="3" fillId="0" borderId="18" xfId="0" applyFont="1" applyBorder="1" applyAlignment="1">
      <alignment horizontal="center"/>
    </xf>
    <xf numFmtId="0" fontId="3" fillId="0" borderId="18" xfId="0" applyFont="1" applyBorder="1"/>
    <xf numFmtId="0" fontId="2" fillId="0" borderId="18" xfId="0" applyFont="1" applyBorder="1" applyAlignment="1">
      <alignment horizontal="center"/>
    </xf>
    <xf numFmtId="0" fontId="2" fillId="0" borderId="18" xfId="0" applyFont="1" applyBorder="1"/>
    <xf numFmtId="2" fontId="2" fillId="0" borderId="18" xfId="0" applyNumberFormat="1" applyFont="1" applyBorder="1"/>
    <xf numFmtId="1" fontId="3" fillId="0" borderId="4" xfId="0" applyNumberFormat="1" applyFont="1" applyBorder="1" applyAlignment="1">
      <alignment horizontal="center"/>
    </xf>
    <xf numFmtId="1" fontId="3" fillId="0" borderId="5" xfId="0" applyNumberFormat="1" applyFont="1" applyBorder="1" applyAlignment="1">
      <alignment horizontal="center"/>
    </xf>
    <xf numFmtId="0" fontId="4" fillId="0" borderId="12" xfId="0" applyFont="1" applyBorder="1"/>
    <xf numFmtId="1" fontId="4" fillId="0" borderId="13" xfId="0" applyNumberFormat="1" applyFont="1" applyBorder="1"/>
    <xf numFmtId="1" fontId="4" fillId="0" borderId="14" xfId="0" applyNumberFormat="1" applyFont="1" applyBorder="1"/>
    <xf numFmtId="0" fontId="11" fillId="2" borderId="18" xfId="0" applyFont="1" applyFill="1" applyBorder="1"/>
    <xf numFmtId="0" fontId="12" fillId="2" borderId="0" xfId="0" applyFont="1" applyFill="1"/>
    <xf numFmtId="0" fontId="2" fillId="0" borderId="0" xfId="0" applyFont="1" applyAlignment="1">
      <alignment horizontal="center"/>
    </xf>
    <xf numFmtId="0" fontId="0" fillId="0" borderId="0" xfId="0" applyAlignment="1">
      <alignment horizontal="center"/>
    </xf>
    <xf numFmtId="0" fontId="9" fillId="2" borderId="0" xfId="0" applyFont="1" applyFill="1" applyAlignment="1">
      <alignment horizontal="center"/>
    </xf>
    <xf numFmtId="0" fontId="10" fillId="0" borderId="0" xfId="0" applyFont="1" applyAlignment="1">
      <alignment horizontal="left" vertical="top" wrapText="1"/>
    </xf>
    <xf numFmtId="0" fontId="9" fillId="0" borderId="0" xfId="0" applyFont="1" applyAlignment="1">
      <alignment horizontal="center"/>
    </xf>
    <xf numFmtId="0" fontId="2" fillId="0" borderId="0" xfId="0" applyFont="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Income</a:t>
            </a:r>
            <a:r>
              <a:rPr lang="en-IN" baseline="0"/>
              <a:t> Statement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1"/>
          <c:order val="1"/>
          <c:tx>
            <c:strRef>
              <c:f>'Financial Model'!$B$65</c:f>
              <c:strCache>
                <c:ptCount val="1"/>
                <c:pt idx="0">
                  <c:v>Products: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'Financial Model'!$C$63:$J$63</c:f>
              <c:numCache>
                <c:formatCode>"FY"\ yy</c:formatCode>
                <c:ptCount val="8"/>
                <c:pt idx="0">
                  <c:v>43830</c:v>
                </c:pt>
                <c:pt idx="1">
                  <c:v>44196</c:v>
                </c:pt>
                <c:pt idx="2">
                  <c:v>44561</c:v>
                </c:pt>
                <c:pt idx="3">
                  <c:v>44926</c:v>
                </c:pt>
                <c:pt idx="4">
                  <c:v>45291</c:v>
                </c:pt>
                <c:pt idx="5">
                  <c:v>45657</c:v>
                </c:pt>
                <c:pt idx="6">
                  <c:v>46022</c:v>
                </c:pt>
                <c:pt idx="7">
                  <c:v>46387</c:v>
                </c:pt>
              </c:numCache>
            </c:numRef>
          </c:cat>
          <c:val>
            <c:numRef>
              <c:f>'Financial Model'!$C$65:$J$65</c:f>
              <c:numCache>
                <c:formatCode>0</c:formatCode>
                <c:ptCount val="8"/>
                <c:pt idx="0">
                  <c:v>5648</c:v>
                </c:pt>
                <c:pt idx="1">
                  <c:v>5371</c:v>
                </c:pt>
                <c:pt idx="2">
                  <c:v>6428</c:v>
                </c:pt>
                <c:pt idx="3">
                  <c:v>6749.4</c:v>
                </c:pt>
                <c:pt idx="4">
                  <c:v>7165.6129999999994</c:v>
                </c:pt>
                <c:pt idx="5">
                  <c:v>7534.1302400000004</c:v>
                </c:pt>
                <c:pt idx="6">
                  <c:v>7878.0796640000008</c:v>
                </c:pt>
                <c:pt idx="7">
                  <c:v>8114.4220539200005</c:v>
                </c:pt>
              </c:numCache>
            </c:numRef>
          </c:val>
          <c:extLst>
            <c:ext xmlns:c16="http://schemas.microsoft.com/office/drawing/2014/chart" uri="{C3380CC4-5D6E-409C-BE32-E72D297353CC}">
              <c16:uniqueId val="{00000000-227F-4A7D-936F-619EF15034EB}"/>
            </c:ext>
          </c:extLst>
        </c:ser>
        <c:ser>
          <c:idx val="2"/>
          <c:order val="2"/>
          <c:tx>
            <c:strRef>
              <c:f>'Financial Model'!$B$66</c:f>
              <c:strCache>
                <c:ptCount val="1"/>
                <c:pt idx="0">
                  <c:v>Services: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'Financial Model'!$C$63:$J$63</c:f>
              <c:numCache>
                <c:formatCode>"FY"\ yy</c:formatCode>
                <c:ptCount val="8"/>
                <c:pt idx="0">
                  <c:v>43830</c:v>
                </c:pt>
                <c:pt idx="1">
                  <c:v>44196</c:v>
                </c:pt>
                <c:pt idx="2">
                  <c:v>44561</c:v>
                </c:pt>
                <c:pt idx="3">
                  <c:v>44926</c:v>
                </c:pt>
                <c:pt idx="4">
                  <c:v>45291</c:v>
                </c:pt>
                <c:pt idx="5">
                  <c:v>45657</c:v>
                </c:pt>
                <c:pt idx="6">
                  <c:v>46022</c:v>
                </c:pt>
                <c:pt idx="7">
                  <c:v>46387</c:v>
                </c:pt>
              </c:numCache>
            </c:numRef>
          </c:cat>
          <c:val>
            <c:numRef>
              <c:f>'Financial Model'!$C$66:$J$66</c:f>
              <c:numCache>
                <c:formatCode>0</c:formatCode>
                <c:ptCount val="8"/>
                <c:pt idx="0">
                  <c:v>7470</c:v>
                </c:pt>
                <c:pt idx="1">
                  <c:v>7385</c:v>
                </c:pt>
                <c:pt idx="2">
                  <c:v>7870</c:v>
                </c:pt>
                <c:pt idx="3">
                  <c:v>8430.3440000000028</c:v>
                </c:pt>
                <c:pt idx="4">
                  <c:v>8987.1682212000014</c:v>
                </c:pt>
                <c:pt idx="5">
                  <c:v>9580.7706822102609</c:v>
                </c:pt>
                <c:pt idx="6">
                  <c:v>10164.239616756866</c:v>
                </c:pt>
                <c:pt idx="7">
                  <c:v>10783.241809417361</c:v>
                </c:pt>
              </c:numCache>
            </c:numRef>
          </c:val>
          <c:extLst>
            <c:ext xmlns:c16="http://schemas.microsoft.com/office/drawing/2014/chart" uri="{C3380CC4-5D6E-409C-BE32-E72D297353CC}">
              <c16:uniqueId val="{00000001-227F-4A7D-936F-619EF15034EB}"/>
            </c:ext>
          </c:extLst>
        </c:ser>
        <c:ser>
          <c:idx val="3"/>
          <c:order val="3"/>
          <c:tx>
            <c:strRef>
              <c:f>'Financial Model'!$B$67</c:f>
              <c:strCache>
                <c:ptCount val="1"/>
                <c:pt idx="0">
                  <c:v>Total Revenue: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'Financial Model'!$C$63:$J$63</c:f>
              <c:numCache>
                <c:formatCode>"FY"\ yy</c:formatCode>
                <c:ptCount val="8"/>
                <c:pt idx="0">
                  <c:v>43830</c:v>
                </c:pt>
                <c:pt idx="1">
                  <c:v>44196</c:v>
                </c:pt>
                <c:pt idx="2">
                  <c:v>44561</c:v>
                </c:pt>
                <c:pt idx="3">
                  <c:v>44926</c:v>
                </c:pt>
                <c:pt idx="4">
                  <c:v>45291</c:v>
                </c:pt>
                <c:pt idx="5">
                  <c:v>45657</c:v>
                </c:pt>
                <c:pt idx="6">
                  <c:v>46022</c:v>
                </c:pt>
                <c:pt idx="7">
                  <c:v>46387</c:v>
                </c:pt>
              </c:numCache>
            </c:numRef>
          </c:cat>
          <c:val>
            <c:numRef>
              <c:f>'Financial Model'!$C$67:$J$67</c:f>
              <c:numCache>
                <c:formatCode>0</c:formatCode>
                <c:ptCount val="8"/>
                <c:pt idx="0">
                  <c:v>13118</c:v>
                </c:pt>
                <c:pt idx="1">
                  <c:v>12756</c:v>
                </c:pt>
                <c:pt idx="2">
                  <c:v>14298</c:v>
                </c:pt>
                <c:pt idx="3">
                  <c:v>15179.744000000002</c:v>
                </c:pt>
                <c:pt idx="4">
                  <c:v>16152.781221200001</c:v>
                </c:pt>
                <c:pt idx="5">
                  <c:v>17114.900922210261</c:v>
                </c:pt>
                <c:pt idx="6">
                  <c:v>18042.319280756867</c:v>
                </c:pt>
                <c:pt idx="7">
                  <c:v>18897.663863337362</c:v>
                </c:pt>
              </c:numCache>
            </c:numRef>
          </c:val>
          <c:extLst>
            <c:ext xmlns:c16="http://schemas.microsoft.com/office/drawing/2014/chart" uri="{C3380CC4-5D6E-409C-BE32-E72D297353CC}">
              <c16:uniqueId val="{00000002-227F-4A7D-936F-619EF15034EB}"/>
            </c:ext>
          </c:extLst>
        </c:ser>
        <c:dLbls>
          <c:showLegendKey val="0"/>
          <c:showVal val="0"/>
          <c:showCatName val="0"/>
          <c:showSerName val="0"/>
          <c:showPercent val="0"/>
          <c:showBubbleSize val="0"/>
        </c:dLbls>
        <c:gapWidth val="100"/>
        <c:overlap val="-24"/>
        <c:axId val="90835839"/>
        <c:axId val="90839199"/>
        <c:extLst>
          <c:ext xmlns:c15="http://schemas.microsoft.com/office/drawing/2012/chart" uri="{02D57815-91ED-43cb-92C2-25804820EDAC}">
            <c15:filteredBarSeries>
              <c15:ser>
                <c:idx val="0"/>
                <c:order val="0"/>
                <c:tx>
                  <c:strRef>
                    <c:extLst>
                      <c:ext uri="{02D57815-91ED-43cb-92C2-25804820EDAC}">
                        <c15:formulaRef>
                          <c15:sqref>'Financial Model'!$B$64</c15:sqref>
                        </c15:formulaRef>
                      </c:ext>
                    </c:extLst>
                    <c:strCache>
                      <c:ptCount val="1"/>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uri="{02D57815-91ED-43cb-92C2-25804820EDAC}">
                        <c15:formulaRef>
                          <c15:sqref>'Financial Model'!$C$63:$J$63</c15:sqref>
                        </c15:formulaRef>
                      </c:ext>
                    </c:extLst>
                    <c:numCache>
                      <c:formatCode>"FY"\ yy</c:formatCode>
                      <c:ptCount val="8"/>
                      <c:pt idx="0">
                        <c:v>43830</c:v>
                      </c:pt>
                      <c:pt idx="1">
                        <c:v>44196</c:v>
                      </c:pt>
                      <c:pt idx="2">
                        <c:v>44561</c:v>
                      </c:pt>
                      <c:pt idx="3">
                        <c:v>44926</c:v>
                      </c:pt>
                      <c:pt idx="4">
                        <c:v>45291</c:v>
                      </c:pt>
                      <c:pt idx="5">
                        <c:v>45657</c:v>
                      </c:pt>
                      <c:pt idx="6">
                        <c:v>46022</c:v>
                      </c:pt>
                      <c:pt idx="7">
                        <c:v>46387</c:v>
                      </c:pt>
                    </c:numCache>
                  </c:numRef>
                </c:cat>
                <c:val>
                  <c:numRef>
                    <c:extLst>
                      <c:ext uri="{02D57815-91ED-43cb-92C2-25804820EDAC}">
                        <c15:formulaRef>
                          <c15:sqref>'Financial Model'!$C$64:$J$64</c15:sqref>
                        </c15:formulaRef>
                      </c:ext>
                    </c:extLst>
                    <c:numCache>
                      <c:formatCode>General</c:formatCode>
                      <c:ptCount val="8"/>
                    </c:numCache>
                  </c:numRef>
                </c:val>
                <c:extLst>
                  <c:ext xmlns:c16="http://schemas.microsoft.com/office/drawing/2014/chart" uri="{C3380CC4-5D6E-409C-BE32-E72D297353CC}">
                    <c16:uniqueId val="{00000003-227F-4A7D-936F-619EF15034EB}"/>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'Financial Model'!$B$68</c15:sqref>
                        </c15:formulaRef>
                      </c:ext>
                    </c:extLst>
                    <c:strCache>
                      <c:ptCount val="1"/>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xmlns:c15="http://schemas.microsoft.com/office/drawing/2012/chart">
                      <c:ext xmlns:c15="http://schemas.microsoft.com/office/drawing/2012/chart" uri="{02D57815-91ED-43cb-92C2-25804820EDAC}">
                        <c15:formulaRef>
                          <c15:sqref>'Financial Model'!$C$63:$J$63</c15:sqref>
                        </c15:formulaRef>
                      </c:ext>
                    </c:extLst>
                    <c:numCache>
                      <c:formatCode>"FY"\ yy</c:formatCode>
                      <c:ptCount val="8"/>
                      <c:pt idx="0">
                        <c:v>43830</c:v>
                      </c:pt>
                      <c:pt idx="1">
                        <c:v>44196</c:v>
                      </c:pt>
                      <c:pt idx="2">
                        <c:v>44561</c:v>
                      </c:pt>
                      <c:pt idx="3">
                        <c:v>44926</c:v>
                      </c:pt>
                      <c:pt idx="4">
                        <c:v>45291</c:v>
                      </c:pt>
                      <c:pt idx="5">
                        <c:v>45657</c:v>
                      </c:pt>
                      <c:pt idx="6">
                        <c:v>46022</c:v>
                      </c:pt>
                      <c:pt idx="7">
                        <c:v>46387</c:v>
                      </c:pt>
                    </c:numCache>
                  </c:numRef>
                </c:cat>
                <c:val>
                  <c:numRef>
                    <c:extLst xmlns:c15="http://schemas.microsoft.com/office/drawing/2012/chart">
                      <c:ext xmlns:c15="http://schemas.microsoft.com/office/drawing/2012/chart" uri="{02D57815-91ED-43cb-92C2-25804820EDAC}">
                        <c15:formulaRef>
                          <c15:sqref>'Financial Model'!$C$68:$J$68</c15:sqref>
                        </c15:formulaRef>
                      </c:ext>
                    </c:extLst>
                    <c:numCache>
                      <c:formatCode>0</c:formatCode>
                      <c:ptCount val="8"/>
                    </c:numCache>
                  </c:numRef>
                </c:val>
                <c:extLst xmlns:c15="http://schemas.microsoft.com/office/drawing/2012/chart">
                  <c:ext xmlns:c16="http://schemas.microsoft.com/office/drawing/2014/chart" uri="{C3380CC4-5D6E-409C-BE32-E72D297353CC}">
                    <c16:uniqueId val="{00000004-227F-4A7D-936F-619EF15034EB}"/>
                  </c:ext>
                </c:extLst>
              </c15:ser>
            </c15:filteredBarSeries>
          </c:ext>
        </c:extLst>
      </c:barChart>
      <c:dateAx>
        <c:axId val="90835839"/>
        <c:scaling>
          <c:orientation val="minMax"/>
        </c:scaling>
        <c:delete val="0"/>
        <c:axPos val="b"/>
        <c:numFmt formatCode="&quot;FY&quot;\ yy"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839199"/>
        <c:crosses val="autoZero"/>
        <c:auto val="1"/>
        <c:lblOffset val="100"/>
        <c:baseTimeUnit val="years"/>
      </c:dateAx>
      <c:valAx>
        <c:axId val="90839199"/>
        <c:scaling>
          <c:orientation val="minMax"/>
        </c:scaling>
        <c:delete val="0"/>
        <c:axPos val="l"/>
        <c:majorGridlines>
          <c:spPr>
            <a:ln w="9525" cap="flat" cmpd="sng" algn="ctr">
              <a:solidFill>
                <a:schemeClr val="lt1">
                  <a:lumMod val="95000"/>
                  <a:alpha val="10000"/>
                </a:schemeClr>
              </a:solidFill>
              <a:round/>
            </a:ln>
            <a:effectLst/>
          </c:spPr>
        </c:majorGridlines>
        <c:numFmt formatCode="_(* #,##0_);_(* \(#,##0\);_(*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8358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Balance Sheet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17"/>
          <c:order val="17"/>
          <c:tx>
            <c:strRef>
              <c:f>'Financial Model'!$B$103</c:f>
              <c:strCache>
                <c:ptCount val="1"/>
                <c:pt idx="0">
                  <c:v>Total Liabilities:</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'Financial Model'!$C$85:$J$85</c15:sqref>
                  </c15:fullRef>
                </c:ext>
              </c:extLst>
              <c:f>'Financial Model'!$D$85:$J$85</c:f>
              <c:strCache>
                <c:ptCount val="7"/>
                <c:pt idx="0">
                  <c:v>FY 20</c:v>
                </c:pt>
                <c:pt idx="1">
                  <c:v>FY 21</c:v>
                </c:pt>
                <c:pt idx="2">
                  <c:v>FY 22</c:v>
                </c:pt>
                <c:pt idx="3">
                  <c:v>FY 23</c:v>
                </c:pt>
                <c:pt idx="4">
                  <c:v>FY 24</c:v>
                </c:pt>
                <c:pt idx="5">
                  <c:v>FY 25</c:v>
                </c:pt>
                <c:pt idx="6">
                  <c:v>FY 26</c:v>
                </c:pt>
              </c:strCache>
            </c:strRef>
          </c:cat>
          <c:val>
            <c:numRef>
              <c:extLst>
                <c:ext xmlns:c15="http://schemas.microsoft.com/office/drawing/2012/chart" uri="{02D57815-91ED-43cb-92C2-25804820EDAC}">
                  <c15:fullRef>
                    <c15:sqref>'Financial Model'!$C$103:$J$103</c15:sqref>
                  </c15:fullRef>
                </c:ext>
              </c:extLst>
              <c:f>'Financial Model'!$D$103:$J$103</c:f>
              <c:numCache>
                <c:formatCode>0</c:formatCode>
                <c:ptCount val="7"/>
                <c:pt idx="0">
                  <c:v>13911</c:v>
                </c:pt>
                <c:pt idx="1">
                  <c:v>15263</c:v>
                </c:pt>
                <c:pt idx="2">
                  <c:v>16022.782510479465</c:v>
                </c:pt>
                <c:pt idx="3">
                  <c:v>16456.084274902201</c:v>
                </c:pt>
                <c:pt idx="4">
                  <c:v>16873.137778038199</c:v>
                </c:pt>
                <c:pt idx="5">
                  <c:v>17261.936981915213</c:v>
                </c:pt>
                <c:pt idx="6">
                  <c:v>17590.548328479752</c:v>
                </c:pt>
              </c:numCache>
            </c:numRef>
          </c:val>
          <c:extLst>
            <c:ext xmlns:c16="http://schemas.microsoft.com/office/drawing/2014/chart" uri="{C3380CC4-5D6E-409C-BE32-E72D297353CC}">
              <c16:uniqueId val="{00000000-B192-4413-8530-BE906175F015}"/>
            </c:ext>
          </c:extLst>
        </c:ser>
        <c:ser>
          <c:idx val="8"/>
          <c:order val="8"/>
          <c:tx>
            <c:strRef>
              <c:f>'Financial Model'!$B$94</c:f>
              <c:strCache>
                <c:ptCount val="1"/>
                <c:pt idx="0">
                  <c:v>Total Assets:</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'Financial Model'!$C$85:$J$85</c15:sqref>
                  </c15:fullRef>
                </c:ext>
              </c:extLst>
              <c:f>'Financial Model'!$D$85:$J$85</c:f>
              <c:strCache>
                <c:ptCount val="7"/>
                <c:pt idx="0">
                  <c:v>FY 20</c:v>
                </c:pt>
                <c:pt idx="1">
                  <c:v>FY 21</c:v>
                </c:pt>
                <c:pt idx="2">
                  <c:v>FY 22</c:v>
                </c:pt>
                <c:pt idx="3">
                  <c:v>FY 23</c:v>
                </c:pt>
                <c:pt idx="4">
                  <c:v>FY 24</c:v>
                </c:pt>
                <c:pt idx="5">
                  <c:v>FY 25</c:v>
                </c:pt>
                <c:pt idx="6">
                  <c:v>FY 26</c:v>
                </c:pt>
              </c:strCache>
            </c:strRef>
          </c:cat>
          <c:val>
            <c:numRef>
              <c:extLst>
                <c:ext xmlns:c15="http://schemas.microsoft.com/office/drawing/2012/chart" uri="{02D57815-91ED-43cb-92C2-25804820EDAC}">
                  <c15:fullRef>
                    <c15:sqref>'Financial Model'!$C$94:$J$94</c15:sqref>
                  </c15:fullRef>
                </c:ext>
              </c:extLst>
              <c:f>'Financial Model'!$D$94:$J$94</c:f>
              <c:numCache>
                <c:formatCode>0</c:formatCode>
                <c:ptCount val="7"/>
                <c:pt idx="0">
                  <c:v>10710</c:v>
                </c:pt>
                <c:pt idx="1">
                  <c:v>12279</c:v>
                </c:pt>
                <c:pt idx="2">
                  <c:v>12399.547625414303</c:v>
                </c:pt>
                <c:pt idx="3">
                  <c:v>12743.526399829094</c:v>
                </c:pt>
                <c:pt idx="4">
                  <c:v>13075.172558258568</c:v>
                </c:pt>
                <c:pt idx="5">
                  <c:v>13386.563021066775</c:v>
                </c:pt>
                <c:pt idx="6">
                  <c:v>13661.32911573903</c:v>
                </c:pt>
              </c:numCache>
            </c:numRef>
          </c:val>
          <c:extLst>
            <c:ext xmlns:c16="http://schemas.microsoft.com/office/drawing/2014/chart" uri="{C3380CC4-5D6E-409C-BE32-E72D297353CC}">
              <c16:uniqueId val="{00000001-B192-4413-8530-BE906175F015}"/>
            </c:ext>
          </c:extLst>
        </c:ser>
        <c:dLbls>
          <c:showLegendKey val="0"/>
          <c:showVal val="0"/>
          <c:showCatName val="0"/>
          <c:showSerName val="0"/>
          <c:showPercent val="0"/>
          <c:showBubbleSize val="0"/>
        </c:dLbls>
        <c:gapWidth val="100"/>
        <c:overlap val="-24"/>
        <c:axId val="1807998127"/>
        <c:axId val="1687797695"/>
        <c:extLst>
          <c:ext xmlns:c15="http://schemas.microsoft.com/office/drawing/2012/chart" uri="{02D57815-91ED-43cb-92C2-25804820EDAC}">
            <c15:filteredBarSeries>
              <c15:ser>
                <c:idx val="0"/>
                <c:order val="0"/>
                <c:tx>
                  <c:strRef>
                    <c:extLst>
                      <c:ext uri="{02D57815-91ED-43cb-92C2-25804820EDAC}">
                        <c15:formulaRef>
                          <c15:sqref>'Financial Model'!$B$86</c15:sqref>
                        </c15:formulaRef>
                      </c:ext>
                    </c:extLst>
                    <c:strCache>
                      <c:ptCount val="1"/>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uri="{02D57815-91ED-43cb-92C2-25804820EDAC}">
                        <c15:fullRef>
                          <c15:sqref>'Financial Model'!$C$85:$J$85</c15:sqref>
                        </c15:fullRef>
                        <c15:formulaRef>
                          <c15:sqref>'Financial Model'!$D$85:$J$85</c15:sqref>
                        </c15:formulaRef>
                      </c:ext>
                    </c:extLst>
                    <c:strCache>
                      <c:ptCount val="7"/>
                      <c:pt idx="0">
                        <c:v>FY 20</c:v>
                      </c:pt>
                      <c:pt idx="1">
                        <c:v>FY 21</c:v>
                      </c:pt>
                      <c:pt idx="2">
                        <c:v>FY 22</c:v>
                      </c:pt>
                      <c:pt idx="3">
                        <c:v>FY 23</c:v>
                      </c:pt>
                      <c:pt idx="4">
                        <c:v>FY 24</c:v>
                      </c:pt>
                      <c:pt idx="5">
                        <c:v>FY 25</c:v>
                      </c:pt>
                      <c:pt idx="6">
                        <c:v>FY 26</c:v>
                      </c:pt>
                    </c:strCache>
                  </c:strRef>
                </c:cat>
                <c:val>
                  <c:numRef>
                    <c:extLst>
                      <c:ext uri="{02D57815-91ED-43cb-92C2-25804820EDAC}">
                        <c15:fullRef>
                          <c15:sqref>'Financial Model'!$C$86:$J$86</c15:sqref>
                        </c15:fullRef>
                        <c15:formulaRef>
                          <c15:sqref>'Financial Model'!$D$86:$J$86</c15:sqref>
                        </c15:formulaRef>
                      </c:ext>
                    </c:extLst>
                    <c:numCache>
                      <c:formatCode>0</c:formatCode>
                      <c:ptCount val="7"/>
                    </c:numCache>
                  </c:numRef>
                </c:val>
                <c:extLst>
                  <c:ext xmlns:c16="http://schemas.microsoft.com/office/drawing/2014/chart" uri="{C3380CC4-5D6E-409C-BE32-E72D297353CC}">
                    <c16:uniqueId val="{00000002-B192-4413-8530-BE906175F015}"/>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'Financial Model'!$B$87</c15:sqref>
                        </c15:formulaRef>
                      </c:ext>
                    </c:extLst>
                    <c:strCache>
                      <c:ptCount val="1"/>
                      <c:pt idx="0">
                        <c:v>ASSETS: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'Financial Model'!$C$85:$J$85</c15:sqref>
                        </c15:fullRef>
                        <c15:formulaRef>
                          <c15:sqref>'Financial Model'!$D$85:$J$85</c15:sqref>
                        </c15:formulaRef>
                      </c:ext>
                    </c:extLst>
                    <c:strCache>
                      <c:ptCount val="7"/>
                      <c:pt idx="0">
                        <c:v>FY 20</c:v>
                      </c:pt>
                      <c:pt idx="1">
                        <c:v>FY 21</c:v>
                      </c:pt>
                      <c:pt idx="2">
                        <c:v>FY 22</c:v>
                      </c:pt>
                      <c:pt idx="3">
                        <c:v>FY 23</c:v>
                      </c:pt>
                      <c:pt idx="4">
                        <c:v>FY 24</c:v>
                      </c:pt>
                      <c:pt idx="5">
                        <c:v>FY 25</c:v>
                      </c:pt>
                      <c:pt idx="6">
                        <c:v>FY 26</c:v>
                      </c:pt>
                    </c:strCache>
                  </c:strRef>
                </c:cat>
                <c:val>
                  <c:numRef>
                    <c:extLst>
                      <c:ext xmlns:c15="http://schemas.microsoft.com/office/drawing/2012/chart" uri="{02D57815-91ED-43cb-92C2-25804820EDAC}">
                        <c15:fullRef>
                          <c15:sqref>'Financial Model'!$C$87:$J$87</c15:sqref>
                        </c15:fullRef>
                        <c15:formulaRef>
                          <c15:sqref>'Financial Model'!$D$87:$J$87</c15:sqref>
                        </c15:formulaRef>
                      </c:ext>
                    </c:extLst>
                    <c:numCache>
                      <c:formatCode>0</c:formatCode>
                      <c:ptCount val="7"/>
                    </c:numCache>
                  </c:numRef>
                </c:val>
                <c:extLst xmlns:c15="http://schemas.microsoft.com/office/drawing/2012/chart">
                  <c:ext xmlns:c16="http://schemas.microsoft.com/office/drawing/2014/chart" uri="{C3380CC4-5D6E-409C-BE32-E72D297353CC}">
                    <c16:uniqueId val="{00000003-B192-4413-8530-BE906175F015}"/>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'Financial Model'!$B$88</c15:sqref>
                        </c15:formulaRef>
                      </c:ext>
                    </c:extLst>
                    <c:strCache>
                      <c:ptCount val="1"/>
                      <c:pt idx="0">
                        <c:v>Cash:</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'Financial Model'!$C$85:$J$85</c15:sqref>
                        </c15:fullRef>
                        <c15:formulaRef>
                          <c15:sqref>'Financial Model'!$D$85:$J$85</c15:sqref>
                        </c15:formulaRef>
                      </c:ext>
                    </c:extLst>
                    <c:strCache>
                      <c:ptCount val="7"/>
                      <c:pt idx="0">
                        <c:v>FY 20</c:v>
                      </c:pt>
                      <c:pt idx="1">
                        <c:v>FY 21</c:v>
                      </c:pt>
                      <c:pt idx="2">
                        <c:v>FY 22</c:v>
                      </c:pt>
                      <c:pt idx="3">
                        <c:v>FY 23</c:v>
                      </c:pt>
                      <c:pt idx="4">
                        <c:v>FY 24</c:v>
                      </c:pt>
                      <c:pt idx="5">
                        <c:v>FY 25</c:v>
                      </c:pt>
                      <c:pt idx="6">
                        <c:v>FY 26</c:v>
                      </c:pt>
                    </c:strCache>
                  </c:strRef>
                </c:cat>
                <c:val>
                  <c:numRef>
                    <c:extLst>
                      <c:ext xmlns:c15="http://schemas.microsoft.com/office/drawing/2012/chart" uri="{02D57815-91ED-43cb-92C2-25804820EDAC}">
                        <c15:fullRef>
                          <c15:sqref>'Financial Model'!$C$88:$J$88</c15:sqref>
                        </c15:fullRef>
                        <c15:formulaRef>
                          <c15:sqref>'Financial Model'!$D$88:$J$88</c15:sqref>
                        </c15:formulaRef>
                      </c:ext>
                    </c:extLst>
                    <c:numCache>
                      <c:formatCode>0</c:formatCode>
                      <c:ptCount val="7"/>
                      <c:pt idx="0">
                        <c:v>1799</c:v>
                      </c:pt>
                      <c:pt idx="1">
                        <c:v>3475</c:v>
                      </c:pt>
                      <c:pt idx="2">
                        <c:v>3000</c:v>
                      </c:pt>
                      <c:pt idx="3">
                        <c:v>3000</c:v>
                      </c:pt>
                      <c:pt idx="4">
                        <c:v>3000</c:v>
                      </c:pt>
                      <c:pt idx="5">
                        <c:v>2999.9999999999991</c:v>
                      </c:pt>
                      <c:pt idx="6">
                        <c:v>3000.0000000000009</c:v>
                      </c:pt>
                    </c:numCache>
                  </c:numRef>
                </c:val>
                <c:extLst xmlns:c15="http://schemas.microsoft.com/office/drawing/2012/chart">
                  <c:ext xmlns:c16="http://schemas.microsoft.com/office/drawing/2014/chart" uri="{C3380CC4-5D6E-409C-BE32-E72D297353CC}">
                    <c16:uniqueId val="{00000004-B192-4413-8530-BE906175F015}"/>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'Financial Model'!$B$89</c15:sqref>
                        </c15:formulaRef>
                      </c:ext>
                    </c:extLst>
                    <c:strCache>
                      <c:ptCount val="1"/>
                      <c:pt idx="0">
                        <c:v>Accounts Receivable: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'Financial Model'!$C$85:$J$85</c15:sqref>
                        </c15:fullRef>
                        <c15:formulaRef>
                          <c15:sqref>'Financial Model'!$D$85:$J$85</c15:sqref>
                        </c15:formulaRef>
                      </c:ext>
                    </c:extLst>
                    <c:strCache>
                      <c:ptCount val="7"/>
                      <c:pt idx="0">
                        <c:v>FY 20</c:v>
                      </c:pt>
                      <c:pt idx="1">
                        <c:v>FY 21</c:v>
                      </c:pt>
                      <c:pt idx="2">
                        <c:v>FY 22</c:v>
                      </c:pt>
                      <c:pt idx="3">
                        <c:v>FY 23</c:v>
                      </c:pt>
                      <c:pt idx="4">
                        <c:v>FY 24</c:v>
                      </c:pt>
                      <c:pt idx="5">
                        <c:v>FY 25</c:v>
                      </c:pt>
                      <c:pt idx="6">
                        <c:v>FY 26</c:v>
                      </c:pt>
                    </c:strCache>
                  </c:strRef>
                </c:cat>
                <c:val>
                  <c:numRef>
                    <c:extLst>
                      <c:ext xmlns:c15="http://schemas.microsoft.com/office/drawing/2012/chart" uri="{02D57815-91ED-43cb-92C2-25804820EDAC}">
                        <c15:fullRef>
                          <c15:sqref>'Financial Model'!$C$89:$J$89</c15:sqref>
                        </c15:fullRef>
                        <c15:formulaRef>
                          <c15:sqref>'Financial Model'!$D$89:$J$89</c15:sqref>
                        </c15:formulaRef>
                      </c:ext>
                    </c:extLst>
                    <c:numCache>
                      <c:formatCode>0</c:formatCode>
                      <c:ptCount val="7"/>
                      <c:pt idx="0">
                        <c:v>3148</c:v>
                      </c:pt>
                      <c:pt idx="1">
                        <c:v>3232</c:v>
                      </c:pt>
                      <c:pt idx="2">
                        <c:v>3588.7300089715136</c:v>
                      </c:pt>
                      <c:pt idx="3">
                        <c:v>3818.7712979133225</c:v>
                      </c:pt>
                      <c:pt idx="4">
                        <c:v>4046.2315135294898</c:v>
                      </c:pt>
                      <c:pt idx="5">
                        <c:v>4265.4877865066428</c:v>
                      </c:pt>
                      <c:pt idx="6">
                        <c:v>4467.7046863119258</c:v>
                      </c:pt>
                    </c:numCache>
                  </c:numRef>
                </c:val>
                <c:extLst xmlns:c15="http://schemas.microsoft.com/office/drawing/2012/chart">
                  <c:ext xmlns:c16="http://schemas.microsoft.com/office/drawing/2014/chart" uri="{C3380CC4-5D6E-409C-BE32-E72D297353CC}">
                    <c16:uniqueId val="{00000005-B192-4413-8530-BE906175F015}"/>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'Financial Model'!$B$90</c15:sqref>
                        </c15:formulaRef>
                      </c:ext>
                    </c:extLst>
                    <c:strCache>
                      <c:ptCount val="1"/>
                      <c:pt idx="0">
                        <c:v>Inventory &amp; Other:</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'Financial Model'!$C$85:$J$85</c15:sqref>
                        </c15:fullRef>
                        <c15:formulaRef>
                          <c15:sqref>'Financial Model'!$D$85:$J$85</c15:sqref>
                        </c15:formulaRef>
                      </c:ext>
                    </c:extLst>
                    <c:strCache>
                      <c:ptCount val="7"/>
                      <c:pt idx="0">
                        <c:v>FY 20</c:v>
                      </c:pt>
                      <c:pt idx="1">
                        <c:v>FY 21</c:v>
                      </c:pt>
                      <c:pt idx="2">
                        <c:v>FY 22</c:v>
                      </c:pt>
                      <c:pt idx="3">
                        <c:v>FY 23</c:v>
                      </c:pt>
                      <c:pt idx="4">
                        <c:v>FY 24</c:v>
                      </c:pt>
                      <c:pt idx="5">
                        <c:v>FY 25</c:v>
                      </c:pt>
                      <c:pt idx="6">
                        <c:v>FY 26</c:v>
                      </c:pt>
                    </c:strCache>
                  </c:strRef>
                </c:cat>
                <c:val>
                  <c:numRef>
                    <c:extLst>
                      <c:ext xmlns:c15="http://schemas.microsoft.com/office/drawing/2012/chart" uri="{02D57815-91ED-43cb-92C2-25804820EDAC}">
                        <c15:fullRef>
                          <c15:sqref>'Financial Model'!$C$90:$J$90</c15:sqref>
                        </c15:fullRef>
                        <c15:formulaRef>
                          <c15:sqref>'Financial Model'!$D$90:$J$90</c15:sqref>
                        </c15:formulaRef>
                      </c:ext>
                    </c:extLst>
                    <c:numCache>
                      <c:formatCode>0</c:formatCode>
                      <c:ptCount val="7"/>
                      <c:pt idx="0">
                        <c:v>1546</c:v>
                      </c:pt>
                      <c:pt idx="1">
                        <c:v>1554</c:v>
                      </c:pt>
                      <c:pt idx="2">
                        <c:v>1753.1213010536364</c:v>
                      </c:pt>
                      <c:pt idx="3">
                        <c:v>1864.9422313994905</c:v>
                      </c:pt>
                      <c:pt idx="4">
                        <c:v>1974.0526824724873</c:v>
                      </c:pt>
                      <c:pt idx="5">
                        <c:v>2078.8462320848234</c:v>
                      </c:pt>
                      <c:pt idx="6">
                        <c:v>2172.7592106785391</c:v>
                      </c:pt>
                    </c:numCache>
                  </c:numRef>
                </c:val>
                <c:extLst xmlns:c15="http://schemas.microsoft.com/office/drawing/2012/chart">
                  <c:ext xmlns:c16="http://schemas.microsoft.com/office/drawing/2014/chart" uri="{C3380CC4-5D6E-409C-BE32-E72D297353CC}">
                    <c16:uniqueId val="{00000006-B192-4413-8530-BE906175F015}"/>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'Financial Model'!$B$91</c15:sqref>
                        </c15:formulaRef>
                      </c:ext>
                    </c:extLst>
                    <c:strCache>
                      <c:ptCount val="1"/>
                      <c:pt idx="0">
                        <c:v>Net PP&amp;E, Goodwill &amp; Intangibles: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'Financial Model'!$C$85:$J$85</c15:sqref>
                        </c15:fullRef>
                        <c15:formulaRef>
                          <c15:sqref>'Financial Model'!$D$85:$J$85</c15:sqref>
                        </c15:formulaRef>
                      </c:ext>
                    </c:extLst>
                    <c:strCache>
                      <c:ptCount val="7"/>
                      <c:pt idx="0">
                        <c:v>FY 20</c:v>
                      </c:pt>
                      <c:pt idx="1">
                        <c:v>FY 21</c:v>
                      </c:pt>
                      <c:pt idx="2">
                        <c:v>FY 22</c:v>
                      </c:pt>
                      <c:pt idx="3">
                        <c:v>FY 23</c:v>
                      </c:pt>
                      <c:pt idx="4">
                        <c:v>FY 24</c:v>
                      </c:pt>
                      <c:pt idx="5">
                        <c:v>FY 25</c:v>
                      </c:pt>
                      <c:pt idx="6">
                        <c:v>FY 26</c:v>
                      </c:pt>
                    </c:strCache>
                  </c:strRef>
                </c:cat>
                <c:val>
                  <c:numRef>
                    <c:extLst>
                      <c:ext xmlns:c15="http://schemas.microsoft.com/office/drawing/2012/chart" uri="{02D57815-91ED-43cb-92C2-25804820EDAC}">
                        <c15:fullRef>
                          <c15:sqref>'Financial Model'!$C$91:$J$91</c15:sqref>
                        </c15:fullRef>
                        <c15:formulaRef>
                          <c15:sqref>'Financial Model'!$D$91:$J$91</c15:sqref>
                        </c15:formulaRef>
                      </c:ext>
                    </c:extLst>
                    <c:numCache>
                      <c:formatCode>0</c:formatCode>
                      <c:ptCount val="7"/>
                      <c:pt idx="0">
                        <c:v>3031</c:v>
                      </c:pt>
                      <c:pt idx="1">
                        <c:v>2860</c:v>
                      </c:pt>
                      <c:pt idx="2">
                        <c:v>2826.6935239519121</c:v>
                      </c:pt>
                      <c:pt idx="3">
                        <c:v>2791.2520684929864</c:v>
                      </c:pt>
                      <c:pt idx="4">
                        <c:v>2753.6995881856114</c:v>
                      </c:pt>
                      <c:pt idx="5">
                        <c:v>2714.1122226163056</c:v>
                      </c:pt>
                      <c:pt idx="6">
                        <c:v>2672.6481117044841</c:v>
                      </c:pt>
                    </c:numCache>
                  </c:numRef>
                </c:val>
                <c:extLst xmlns:c15="http://schemas.microsoft.com/office/drawing/2012/chart">
                  <c:ext xmlns:c16="http://schemas.microsoft.com/office/drawing/2014/chart" uri="{C3380CC4-5D6E-409C-BE32-E72D297353CC}">
                    <c16:uniqueId val="{00000007-B192-4413-8530-BE906175F015}"/>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'Financial Model'!$B$92</c15:sqref>
                        </c15:formulaRef>
                      </c:ext>
                    </c:extLst>
                    <c:strCache>
                      <c:ptCount val="1"/>
                      <c:pt idx="0">
                        <c:v>Op. Lease Assets:</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'Financial Model'!$C$85:$J$85</c15:sqref>
                        </c15:fullRef>
                        <c15:formulaRef>
                          <c15:sqref>'Financial Model'!$D$85:$J$85</c15:sqref>
                        </c15:formulaRef>
                      </c:ext>
                    </c:extLst>
                    <c:strCache>
                      <c:ptCount val="7"/>
                      <c:pt idx="0">
                        <c:v>FY 20</c:v>
                      </c:pt>
                      <c:pt idx="1">
                        <c:v>FY 21</c:v>
                      </c:pt>
                      <c:pt idx="2">
                        <c:v>FY 22</c:v>
                      </c:pt>
                      <c:pt idx="3">
                        <c:v>FY 23</c:v>
                      </c:pt>
                      <c:pt idx="4">
                        <c:v>FY 24</c:v>
                      </c:pt>
                      <c:pt idx="5">
                        <c:v>FY 25</c:v>
                      </c:pt>
                      <c:pt idx="6">
                        <c:v>FY 26</c:v>
                      </c:pt>
                    </c:strCache>
                  </c:strRef>
                </c:cat>
                <c:val>
                  <c:numRef>
                    <c:extLst>
                      <c:ext xmlns:c15="http://schemas.microsoft.com/office/drawing/2012/chart" uri="{02D57815-91ED-43cb-92C2-25804820EDAC}">
                        <c15:fullRef>
                          <c15:sqref>'Financial Model'!$C$92:$J$92</c15:sqref>
                        </c15:fullRef>
                        <c15:formulaRef>
                          <c15:sqref>'Financial Model'!$D$92:$J$92</c15:sqref>
                        </c15:formulaRef>
                      </c:ext>
                    </c:extLst>
                    <c:numCache>
                      <c:formatCode>0</c:formatCode>
                      <c:ptCount val="7"/>
                      <c:pt idx="0">
                        <c:v>542</c:v>
                      </c:pt>
                      <c:pt idx="1">
                        <c:v>526</c:v>
                      </c:pt>
                      <c:pt idx="2">
                        <c:v>595.03389935550365</c:v>
                      </c:pt>
                      <c:pt idx="3">
                        <c:v>633.17618501912739</c:v>
                      </c:pt>
                      <c:pt idx="4">
                        <c:v>670.89051256897858</c:v>
                      </c:pt>
                      <c:pt idx="5">
                        <c:v>707.24457507621628</c:v>
                      </c:pt>
                      <c:pt idx="6">
                        <c:v>740.77340285259231</c:v>
                      </c:pt>
                    </c:numCache>
                  </c:numRef>
                </c:val>
                <c:extLst xmlns:c15="http://schemas.microsoft.com/office/drawing/2012/chart">
                  <c:ext xmlns:c16="http://schemas.microsoft.com/office/drawing/2014/chart" uri="{C3380CC4-5D6E-409C-BE32-E72D297353CC}">
                    <c16:uniqueId val="{00000008-B192-4413-8530-BE906175F015}"/>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'Financial Model'!$B$93</c15:sqref>
                        </c15:formulaRef>
                      </c:ext>
                    </c:extLst>
                    <c:strCache>
                      <c:ptCount val="1"/>
                      <c:pt idx="0">
                        <c:v>Other Assets:</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'Financial Model'!$C$85:$J$85</c15:sqref>
                        </c15:fullRef>
                        <c15:formulaRef>
                          <c15:sqref>'Financial Model'!$D$85:$J$85</c15:sqref>
                        </c15:formulaRef>
                      </c:ext>
                    </c:extLst>
                    <c:strCache>
                      <c:ptCount val="7"/>
                      <c:pt idx="0">
                        <c:v>FY 20</c:v>
                      </c:pt>
                      <c:pt idx="1">
                        <c:v>FY 21</c:v>
                      </c:pt>
                      <c:pt idx="2">
                        <c:v>FY 22</c:v>
                      </c:pt>
                      <c:pt idx="3">
                        <c:v>FY 23</c:v>
                      </c:pt>
                      <c:pt idx="4">
                        <c:v>FY 24</c:v>
                      </c:pt>
                      <c:pt idx="5">
                        <c:v>FY 25</c:v>
                      </c:pt>
                      <c:pt idx="6">
                        <c:v>FY 26</c:v>
                      </c:pt>
                    </c:strCache>
                  </c:strRef>
                </c:cat>
                <c:val>
                  <c:numRef>
                    <c:extLst>
                      <c:ext xmlns:c15="http://schemas.microsoft.com/office/drawing/2012/chart" uri="{02D57815-91ED-43cb-92C2-25804820EDAC}">
                        <c15:fullRef>
                          <c15:sqref>'Financial Model'!$C$93:$J$93</c15:sqref>
                        </c15:fullRef>
                        <c15:formulaRef>
                          <c15:sqref>'Financial Model'!$D$93:$J$93</c15:sqref>
                        </c15:formulaRef>
                      </c:ext>
                    </c:extLst>
                    <c:numCache>
                      <c:formatCode>0</c:formatCode>
                      <c:ptCount val="7"/>
                      <c:pt idx="0">
                        <c:v>644</c:v>
                      </c:pt>
                      <c:pt idx="1">
                        <c:v>632</c:v>
                      </c:pt>
                      <c:pt idx="2">
                        <c:v>635.96889208173877</c:v>
                      </c:pt>
                      <c:pt idx="3">
                        <c:v>635.3846170041669</c:v>
                      </c:pt>
                      <c:pt idx="4">
                        <c:v>630.29826150200131</c:v>
                      </c:pt>
                      <c:pt idx="5">
                        <c:v>620.87220478278618</c:v>
                      </c:pt>
                      <c:pt idx="6">
                        <c:v>607.44370419148891</c:v>
                      </c:pt>
                    </c:numCache>
                  </c:numRef>
                </c:val>
                <c:extLst xmlns:c15="http://schemas.microsoft.com/office/drawing/2012/chart">
                  <c:ext xmlns:c16="http://schemas.microsoft.com/office/drawing/2014/chart" uri="{C3380CC4-5D6E-409C-BE32-E72D297353CC}">
                    <c16:uniqueId val="{00000009-B192-4413-8530-BE906175F015}"/>
                  </c:ext>
                </c:extLst>
              </c15:ser>
            </c15:filteredBarSeries>
            <c15:filteredBarSeries>
              <c15:ser>
                <c:idx val="9"/>
                <c:order val="9"/>
                <c:tx>
                  <c:strRef>
                    <c:extLst xmlns:c15="http://schemas.microsoft.com/office/drawing/2012/chart">
                      <c:ext xmlns:c15="http://schemas.microsoft.com/office/drawing/2012/chart" uri="{02D57815-91ED-43cb-92C2-25804820EDAC}">
                        <c15:formulaRef>
                          <c15:sqref>'Financial Model'!$B$95</c15:sqref>
                        </c15:formulaRef>
                      </c:ext>
                    </c:extLst>
                    <c:strCache>
                      <c:ptCount val="1"/>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'Financial Model'!$C$85:$J$85</c15:sqref>
                        </c15:fullRef>
                        <c15:formulaRef>
                          <c15:sqref>'Financial Model'!$D$85:$J$85</c15:sqref>
                        </c15:formulaRef>
                      </c:ext>
                    </c:extLst>
                    <c:strCache>
                      <c:ptCount val="7"/>
                      <c:pt idx="0">
                        <c:v>FY 20</c:v>
                      </c:pt>
                      <c:pt idx="1">
                        <c:v>FY 21</c:v>
                      </c:pt>
                      <c:pt idx="2">
                        <c:v>FY 22</c:v>
                      </c:pt>
                      <c:pt idx="3">
                        <c:v>FY 23</c:v>
                      </c:pt>
                      <c:pt idx="4">
                        <c:v>FY 24</c:v>
                      </c:pt>
                      <c:pt idx="5">
                        <c:v>FY 25</c:v>
                      </c:pt>
                      <c:pt idx="6">
                        <c:v>FY 26</c:v>
                      </c:pt>
                    </c:strCache>
                  </c:strRef>
                </c:cat>
                <c:val>
                  <c:numRef>
                    <c:extLst>
                      <c:ext xmlns:c15="http://schemas.microsoft.com/office/drawing/2012/chart" uri="{02D57815-91ED-43cb-92C2-25804820EDAC}">
                        <c15:fullRef>
                          <c15:sqref>'Financial Model'!$C$95:$J$95</c15:sqref>
                        </c15:fullRef>
                        <c15:formulaRef>
                          <c15:sqref>'Financial Model'!$D$95:$J$95</c15:sqref>
                        </c15:formulaRef>
                      </c:ext>
                    </c:extLst>
                    <c:numCache>
                      <c:formatCode>0</c:formatCode>
                      <c:ptCount val="7"/>
                    </c:numCache>
                  </c:numRef>
                </c:val>
                <c:extLst xmlns:c15="http://schemas.microsoft.com/office/drawing/2012/chart">
                  <c:ext xmlns:c16="http://schemas.microsoft.com/office/drawing/2014/chart" uri="{C3380CC4-5D6E-409C-BE32-E72D297353CC}">
                    <c16:uniqueId val="{0000000A-B192-4413-8530-BE906175F015}"/>
                  </c:ext>
                </c:extLst>
              </c15:ser>
            </c15:filteredBarSeries>
            <c15:filteredBarSeries>
              <c15:ser>
                <c:idx val="10"/>
                <c:order val="10"/>
                <c:tx>
                  <c:strRef>
                    <c:extLst xmlns:c15="http://schemas.microsoft.com/office/drawing/2012/chart">
                      <c:ext xmlns:c15="http://schemas.microsoft.com/office/drawing/2012/chart" uri="{02D57815-91ED-43cb-92C2-25804820EDAC}">
                        <c15:formulaRef>
                          <c15:sqref>'Financial Model'!$B$96</c15:sqref>
                        </c15:formulaRef>
                      </c:ext>
                    </c:extLst>
                    <c:strCache>
                      <c:ptCount val="1"/>
                      <c:pt idx="0">
                        <c:v>LIABILITES &amp; EQUITY:</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'Financial Model'!$C$85:$J$85</c15:sqref>
                        </c15:fullRef>
                        <c15:formulaRef>
                          <c15:sqref>'Financial Model'!$D$85:$J$85</c15:sqref>
                        </c15:formulaRef>
                      </c:ext>
                    </c:extLst>
                    <c:strCache>
                      <c:ptCount val="7"/>
                      <c:pt idx="0">
                        <c:v>FY 20</c:v>
                      </c:pt>
                      <c:pt idx="1">
                        <c:v>FY 21</c:v>
                      </c:pt>
                      <c:pt idx="2">
                        <c:v>FY 22</c:v>
                      </c:pt>
                      <c:pt idx="3">
                        <c:v>FY 23</c:v>
                      </c:pt>
                      <c:pt idx="4">
                        <c:v>FY 24</c:v>
                      </c:pt>
                      <c:pt idx="5">
                        <c:v>FY 25</c:v>
                      </c:pt>
                      <c:pt idx="6">
                        <c:v>FY 26</c:v>
                      </c:pt>
                    </c:strCache>
                  </c:strRef>
                </c:cat>
                <c:val>
                  <c:numRef>
                    <c:extLst>
                      <c:ext xmlns:c15="http://schemas.microsoft.com/office/drawing/2012/chart" uri="{02D57815-91ED-43cb-92C2-25804820EDAC}">
                        <c15:fullRef>
                          <c15:sqref>'Financial Model'!$C$96:$J$96</c15:sqref>
                        </c15:fullRef>
                        <c15:formulaRef>
                          <c15:sqref>'Financial Model'!$D$96:$J$96</c15:sqref>
                        </c15:formulaRef>
                      </c:ext>
                    </c:extLst>
                    <c:numCache>
                      <c:formatCode>0</c:formatCode>
                      <c:ptCount val="7"/>
                    </c:numCache>
                  </c:numRef>
                </c:val>
                <c:extLst xmlns:c15="http://schemas.microsoft.com/office/drawing/2012/chart">
                  <c:ext xmlns:c16="http://schemas.microsoft.com/office/drawing/2014/chart" uri="{C3380CC4-5D6E-409C-BE32-E72D297353CC}">
                    <c16:uniqueId val="{0000000B-B192-4413-8530-BE906175F015}"/>
                  </c:ext>
                </c:extLst>
              </c15:ser>
            </c15:filteredBarSeries>
            <c15:filteredBarSeries>
              <c15:ser>
                <c:idx val="11"/>
                <c:order val="11"/>
                <c:tx>
                  <c:strRef>
                    <c:extLst xmlns:c15="http://schemas.microsoft.com/office/drawing/2012/chart">
                      <c:ext xmlns:c15="http://schemas.microsoft.com/office/drawing/2012/chart" uri="{02D57815-91ED-43cb-92C2-25804820EDAC}">
                        <c15:formulaRef>
                          <c15:sqref>'Financial Model'!$B$97</c15:sqref>
                        </c15:formulaRef>
                      </c:ext>
                    </c:extLst>
                    <c:strCache>
                      <c:ptCount val="1"/>
                      <c:pt idx="0">
                        <c:v>Accounts Payable:</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'Financial Model'!$C$85:$J$85</c15:sqref>
                        </c15:fullRef>
                        <c15:formulaRef>
                          <c15:sqref>'Financial Model'!$D$85:$J$85</c15:sqref>
                        </c15:formulaRef>
                      </c:ext>
                    </c:extLst>
                    <c:strCache>
                      <c:ptCount val="7"/>
                      <c:pt idx="0">
                        <c:v>FY 20</c:v>
                      </c:pt>
                      <c:pt idx="1">
                        <c:v>FY 21</c:v>
                      </c:pt>
                      <c:pt idx="2">
                        <c:v>FY 22</c:v>
                      </c:pt>
                      <c:pt idx="3">
                        <c:v>FY 23</c:v>
                      </c:pt>
                      <c:pt idx="4">
                        <c:v>FY 24</c:v>
                      </c:pt>
                      <c:pt idx="5">
                        <c:v>FY 25</c:v>
                      </c:pt>
                      <c:pt idx="6">
                        <c:v>FY 26</c:v>
                      </c:pt>
                    </c:strCache>
                  </c:strRef>
                </c:cat>
                <c:val>
                  <c:numRef>
                    <c:extLst>
                      <c:ext xmlns:c15="http://schemas.microsoft.com/office/drawing/2012/chart" uri="{02D57815-91ED-43cb-92C2-25804820EDAC}">
                        <c15:fullRef>
                          <c15:sqref>'Financial Model'!$C$97:$J$97</c15:sqref>
                        </c15:fullRef>
                        <c15:formulaRef>
                          <c15:sqref>'Financial Model'!$D$97:$J$97</c15:sqref>
                        </c15:formulaRef>
                      </c:ext>
                    </c:extLst>
                    <c:numCache>
                      <c:formatCode>0</c:formatCode>
                      <c:ptCount val="7"/>
                      <c:pt idx="0">
                        <c:v>1453</c:v>
                      </c:pt>
                      <c:pt idx="1">
                        <c:v>1556</c:v>
                      </c:pt>
                      <c:pt idx="2">
                        <c:v>1698.4745281825724</c:v>
                      </c:pt>
                      <c:pt idx="3">
                        <c:v>1806.8098737151176</c:v>
                      </c:pt>
                      <c:pt idx="4">
                        <c:v>1912.5192286779582</c:v>
                      </c:pt>
                      <c:pt idx="5">
                        <c:v>2014.0462448789576</c:v>
                      </c:pt>
                      <c:pt idx="6">
                        <c:v>2105.0318497605567</c:v>
                      </c:pt>
                    </c:numCache>
                  </c:numRef>
                </c:val>
                <c:extLst xmlns:c15="http://schemas.microsoft.com/office/drawing/2012/chart">
                  <c:ext xmlns:c16="http://schemas.microsoft.com/office/drawing/2014/chart" uri="{C3380CC4-5D6E-409C-BE32-E72D297353CC}">
                    <c16:uniqueId val="{0000000C-B192-4413-8530-BE906175F015}"/>
                  </c:ext>
                </c:extLst>
              </c15:ser>
            </c15:filteredBarSeries>
            <c15:filteredBarSeries>
              <c15:ser>
                <c:idx val="12"/>
                <c:order val="12"/>
                <c:tx>
                  <c:strRef>
                    <c:extLst xmlns:c15="http://schemas.microsoft.com/office/drawing/2012/chart">
                      <c:ext xmlns:c15="http://schemas.microsoft.com/office/drawing/2012/chart" uri="{02D57815-91ED-43cb-92C2-25804820EDAC}">
                        <c15:formulaRef>
                          <c15:sqref>'Financial Model'!$B$98</c15:sqref>
                        </c15:formulaRef>
                      </c:ext>
                    </c:extLst>
                    <c:strCache>
                      <c:ptCount val="1"/>
                      <c:pt idx="0">
                        <c:v>Accrued Liabilities:</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'Financial Model'!$C$85:$J$85</c15:sqref>
                        </c15:fullRef>
                        <c15:formulaRef>
                          <c15:sqref>'Financial Model'!$D$85:$J$85</c15:sqref>
                        </c15:formulaRef>
                      </c:ext>
                    </c:extLst>
                    <c:strCache>
                      <c:ptCount val="7"/>
                      <c:pt idx="0">
                        <c:v>FY 20</c:v>
                      </c:pt>
                      <c:pt idx="1">
                        <c:v>FY 21</c:v>
                      </c:pt>
                      <c:pt idx="2">
                        <c:v>FY 22</c:v>
                      </c:pt>
                      <c:pt idx="3">
                        <c:v>FY 23</c:v>
                      </c:pt>
                      <c:pt idx="4">
                        <c:v>FY 24</c:v>
                      </c:pt>
                      <c:pt idx="5">
                        <c:v>FY 25</c:v>
                      </c:pt>
                      <c:pt idx="6">
                        <c:v>FY 26</c:v>
                      </c:pt>
                    </c:strCache>
                  </c:strRef>
                </c:cat>
                <c:val>
                  <c:numRef>
                    <c:extLst>
                      <c:ext xmlns:c15="http://schemas.microsoft.com/office/drawing/2012/chart" uri="{02D57815-91ED-43cb-92C2-25804820EDAC}">
                        <c15:fullRef>
                          <c15:sqref>'Financial Model'!$C$98:$J$98</c15:sqref>
                        </c15:fullRef>
                        <c15:formulaRef>
                          <c15:sqref>'Financial Model'!$D$98:$J$98</c15:sqref>
                        </c15:formulaRef>
                      </c:ext>
                    </c:extLst>
                    <c:numCache>
                      <c:formatCode>0</c:formatCode>
                      <c:ptCount val="7"/>
                      <c:pt idx="0">
                        <c:v>1977</c:v>
                      </c:pt>
                      <c:pt idx="1">
                        <c:v>1993</c:v>
                      </c:pt>
                      <c:pt idx="2">
                        <c:v>2238.0333333154745</c:v>
                      </c:pt>
                      <c:pt idx="3">
                        <c:v>2380.9102321074088</c:v>
                      </c:pt>
                      <c:pt idx="4">
                        <c:v>2520.6564716514727</c:v>
                      </c:pt>
                      <c:pt idx="5">
                        <c:v>2654.9620512683459</c:v>
                      </c:pt>
                      <c:pt idx="6">
                        <c:v>2775.9587150083612</c:v>
                      </c:pt>
                    </c:numCache>
                  </c:numRef>
                </c:val>
                <c:extLst xmlns:c15="http://schemas.microsoft.com/office/drawing/2012/chart">
                  <c:ext xmlns:c16="http://schemas.microsoft.com/office/drawing/2014/chart" uri="{C3380CC4-5D6E-409C-BE32-E72D297353CC}">
                    <c16:uniqueId val="{0000000D-B192-4413-8530-BE906175F015}"/>
                  </c:ext>
                </c:extLst>
              </c15:ser>
            </c15:filteredBarSeries>
            <c15:filteredBarSeries>
              <c15:ser>
                <c:idx val="13"/>
                <c:order val="13"/>
                <c:tx>
                  <c:strRef>
                    <c:extLst xmlns:c15="http://schemas.microsoft.com/office/drawing/2012/chart">
                      <c:ext xmlns:c15="http://schemas.microsoft.com/office/drawing/2012/chart" uri="{02D57815-91ED-43cb-92C2-25804820EDAC}">
                        <c15:formulaRef>
                          <c15:sqref>'Financial Model'!$B$99</c15:sqref>
                        </c15:formulaRef>
                      </c:ext>
                    </c:extLst>
                    <c:strCache>
                      <c:ptCount val="1"/>
                      <c:pt idx="0">
                        <c:v>Contract Liabilities:</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'Financial Model'!$C$85:$J$85</c15:sqref>
                        </c15:fullRef>
                        <c15:formulaRef>
                          <c15:sqref>'Financial Model'!$D$85:$J$85</c15:sqref>
                        </c15:formulaRef>
                      </c:ext>
                    </c:extLst>
                    <c:strCache>
                      <c:ptCount val="7"/>
                      <c:pt idx="0">
                        <c:v>FY 20</c:v>
                      </c:pt>
                      <c:pt idx="1">
                        <c:v>FY 21</c:v>
                      </c:pt>
                      <c:pt idx="2">
                        <c:v>FY 22</c:v>
                      </c:pt>
                      <c:pt idx="3">
                        <c:v>FY 23</c:v>
                      </c:pt>
                      <c:pt idx="4">
                        <c:v>FY 24</c:v>
                      </c:pt>
                      <c:pt idx="5">
                        <c:v>FY 25</c:v>
                      </c:pt>
                      <c:pt idx="6">
                        <c:v>FY 26</c:v>
                      </c:pt>
                    </c:strCache>
                  </c:strRef>
                </c:cat>
                <c:val>
                  <c:numRef>
                    <c:extLst>
                      <c:ext xmlns:c15="http://schemas.microsoft.com/office/drawing/2012/chart" uri="{02D57815-91ED-43cb-92C2-25804820EDAC}">
                        <c15:fullRef>
                          <c15:sqref>'Financial Model'!$C$99:$J$99</c15:sqref>
                        </c15:fullRef>
                        <c15:formulaRef>
                          <c15:sqref>'Financial Model'!$D$99:$J$99</c15:sqref>
                        </c15:formulaRef>
                      </c:ext>
                    </c:extLst>
                    <c:numCache>
                      <c:formatCode>0</c:formatCode>
                      <c:ptCount val="7"/>
                      <c:pt idx="0">
                        <c:v>2542</c:v>
                      </c:pt>
                      <c:pt idx="1">
                        <c:v>2674</c:v>
                      </c:pt>
                      <c:pt idx="2">
                        <c:v>2937.3315096162314</c:v>
                      </c:pt>
                      <c:pt idx="3">
                        <c:v>3124.8518698228772</c:v>
                      </c:pt>
                      <c:pt idx="4">
                        <c:v>3308.2633618023374</c:v>
                      </c:pt>
                      <c:pt idx="5">
                        <c:v>3484.5341997087116</c:v>
                      </c:pt>
                      <c:pt idx="6">
                        <c:v>3643.3376043190788</c:v>
                      </c:pt>
                    </c:numCache>
                  </c:numRef>
                </c:val>
                <c:extLst xmlns:c15="http://schemas.microsoft.com/office/drawing/2012/chart">
                  <c:ext xmlns:c16="http://schemas.microsoft.com/office/drawing/2014/chart" uri="{C3380CC4-5D6E-409C-BE32-E72D297353CC}">
                    <c16:uniqueId val="{0000000E-B192-4413-8530-BE906175F015}"/>
                  </c:ext>
                </c:extLst>
              </c15:ser>
            </c15:filteredBarSeries>
            <c15:filteredBarSeries>
              <c15:ser>
                <c:idx val="14"/>
                <c:order val="14"/>
                <c:tx>
                  <c:strRef>
                    <c:extLst xmlns:c15="http://schemas.microsoft.com/office/drawing/2012/chart">
                      <c:ext xmlns:c15="http://schemas.microsoft.com/office/drawing/2012/chart" uri="{02D57815-91ED-43cb-92C2-25804820EDAC}">
                        <c15:formulaRef>
                          <c15:sqref>'Financial Model'!$B$100</c15:sqref>
                        </c15:formulaRef>
                      </c:ext>
                    </c:extLst>
                    <c:strCache>
                      <c:ptCount val="1"/>
                      <c:pt idx="0">
                        <c:v>Total Debt:</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'Financial Model'!$C$85:$J$85</c15:sqref>
                        </c15:fullRef>
                        <c15:formulaRef>
                          <c15:sqref>'Financial Model'!$D$85:$J$85</c15:sqref>
                        </c15:formulaRef>
                      </c:ext>
                    </c:extLst>
                    <c:strCache>
                      <c:ptCount val="7"/>
                      <c:pt idx="0">
                        <c:v>FY 20</c:v>
                      </c:pt>
                      <c:pt idx="1">
                        <c:v>FY 21</c:v>
                      </c:pt>
                      <c:pt idx="2">
                        <c:v>FY 22</c:v>
                      </c:pt>
                      <c:pt idx="3">
                        <c:v>FY 23</c:v>
                      </c:pt>
                      <c:pt idx="4">
                        <c:v>FY 24</c:v>
                      </c:pt>
                      <c:pt idx="5">
                        <c:v>FY 25</c:v>
                      </c:pt>
                      <c:pt idx="6">
                        <c:v>FY 26</c:v>
                      </c:pt>
                    </c:strCache>
                  </c:strRef>
                </c:cat>
                <c:val>
                  <c:numRef>
                    <c:extLst>
                      <c:ext xmlns:c15="http://schemas.microsoft.com/office/drawing/2012/chart" uri="{02D57815-91ED-43cb-92C2-25804820EDAC}">
                        <c15:fullRef>
                          <c15:sqref>'Financial Model'!$C$100:$J$100</c15:sqref>
                        </c15:fullRef>
                        <c15:formulaRef>
                          <c15:sqref>'Financial Model'!$D$100:$J$100</c15:sqref>
                        </c15:formulaRef>
                      </c:ext>
                    </c:extLst>
                    <c:numCache>
                      <c:formatCode>0</c:formatCode>
                      <c:ptCount val="7"/>
                      <c:pt idx="0">
                        <c:v>5963</c:v>
                      </c:pt>
                      <c:pt idx="1">
                        <c:v>7273</c:v>
                      </c:pt>
                      <c:pt idx="2">
                        <c:v>7024.8066420265986</c:v>
                      </c:pt>
                      <c:pt idx="3">
                        <c:v>6871.4853528788808</c:v>
                      </c:pt>
                      <c:pt idx="4">
                        <c:v>6714.6140347637775</c:v>
                      </c:pt>
                      <c:pt idx="5">
                        <c:v>6551.7914742967541</c:v>
                      </c:pt>
                      <c:pt idx="6">
                        <c:v>6383.1470415053973</c:v>
                      </c:pt>
                    </c:numCache>
                  </c:numRef>
                </c:val>
                <c:extLst xmlns:c15="http://schemas.microsoft.com/office/drawing/2012/chart">
                  <c:ext xmlns:c16="http://schemas.microsoft.com/office/drawing/2014/chart" uri="{C3380CC4-5D6E-409C-BE32-E72D297353CC}">
                    <c16:uniqueId val="{0000000F-B192-4413-8530-BE906175F015}"/>
                  </c:ext>
                </c:extLst>
              </c15:ser>
            </c15:filteredBarSeries>
            <c15:filteredBarSeries>
              <c15:ser>
                <c:idx val="15"/>
                <c:order val="15"/>
                <c:tx>
                  <c:strRef>
                    <c:extLst xmlns:c15="http://schemas.microsoft.com/office/drawing/2012/chart">
                      <c:ext xmlns:c15="http://schemas.microsoft.com/office/drawing/2012/chart" uri="{02D57815-91ED-43cb-92C2-25804820EDAC}">
                        <c15:formulaRef>
                          <c15:sqref>'Financial Model'!$B$101</c15:sqref>
                        </c15:formulaRef>
                      </c:ext>
                    </c:extLst>
                    <c:strCache>
                      <c:ptCount val="1"/>
                      <c:pt idx="0">
                        <c:v>Op. Lease Liabilities:</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'Financial Model'!$C$85:$J$85</c15:sqref>
                        </c15:fullRef>
                        <c15:formulaRef>
                          <c15:sqref>'Financial Model'!$D$85:$J$85</c15:sqref>
                        </c15:formulaRef>
                      </c:ext>
                    </c:extLst>
                    <c:strCache>
                      <c:ptCount val="7"/>
                      <c:pt idx="0">
                        <c:v>FY 20</c:v>
                      </c:pt>
                      <c:pt idx="1">
                        <c:v>FY 21</c:v>
                      </c:pt>
                      <c:pt idx="2">
                        <c:v>FY 22</c:v>
                      </c:pt>
                      <c:pt idx="3">
                        <c:v>FY 23</c:v>
                      </c:pt>
                      <c:pt idx="4">
                        <c:v>FY 24</c:v>
                      </c:pt>
                      <c:pt idx="5">
                        <c:v>FY 25</c:v>
                      </c:pt>
                      <c:pt idx="6">
                        <c:v>FY 26</c:v>
                      </c:pt>
                    </c:strCache>
                  </c:strRef>
                </c:cat>
                <c:val>
                  <c:numRef>
                    <c:extLst>
                      <c:ext xmlns:c15="http://schemas.microsoft.com/office/drawing/2012/chart" uri="{02D57815-91ED-43cb-92C2-25804820EDAC}">
                        <c15:fullRef>
                          <c15:sqref>'Financial Model'!$C$101:$J$101</c15:sqref>
                        </c15:fullRef>
                        <c15:formulaRef>
                          <c15:sqref>'Financial Model'!$D$101:$J$101</c15:sqref>
                        </c15:formulaRef>
                      </c:ext>
                    </c:extLst>
                    <c:numCache>
                      <c:formatCode>0</c:formatCode>
                      <c:ptCount val="7"/>
                      <c:pt idx="0">
                        <c:v>367</c:v>
                      </c:pt>
                      <c:pt idx="1">
                        <c:v>336</c:v>
                      </c:pt>
                      <c:pt idx="2">
                        <c:v>405.03389935550365</c:v>
                      </c:pt>
                      <c:pt idx="3">
                        <c:v>443.17618501912739</c:v>
                      </c:pt>
                      <c:pt idx="4">
                        <c:v>480.89051256897858</c:v>
                      </c:pt>
                      <c:pt idx="5">
                        <c:v>517.24457507621628</c:v>
                      </c:pt>
                      <c:pt idx="6">
                        <c:v>550.77340285259231</c:v>
                      </c:pt>
                    </c:numCache>
                  </c:numRef>
                </c:val>
                <c:extLst xmlns:c15="http://schemas.microsoft.com/office/drawing/2012/chart">
                  <c:ext xmlns:c16="http://schemas.microsoft.com/office/drawing/2014/chart" uri="{C3380CC4-5D6E-409C-BE32-E72D297353CC}">
                    <c16:uniqueId val="{00000010-B192-4413-8530-BE906175F015}"/>
                  </c:ext>
                </c:extLst>
              </c15:ser>
            </c15:filteredBarSeries>
            <c15:filteredBarSeries>
              <c15:ser>
                <c:idx val="16"/>
                <c:order val="16"/>
                <c:tx>
                  <c:strRef>
                    <c:extLst xmlns:c15="http://schemas.microsoft.com/office/drawing/2012/chart">
                      <c:ext xmlns:c15="http://schemas.microsoft.com/office/drawing/2012/chart" uri="{02D57815-91ED-43cb-92C2-25804820EDAC}">
                        <c15:formulaRef>
                          <c15:sqref>'Financial Model'!$B$102</c15:sqref>
                        </c15:formulaRef>
                      </c:ext>
                    </c:extLst>
                    <c:strCache>
                      <c:ptCount val="1"/>
                      <c:pt idx="0">
                        <c:v>Other Liabilities:</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'Financial Model'!$C$85:$J$85</c15:sqref>
                        </c15:fullRef>
                        <c15:formulaRef>
                          <c15:sqref>'Financial Model'!$D$85:$J$85</c15:sqref>
                        </c15:formulaRef>
                      </c:ext>
                    </c:extLst>
                    <c:strCache>
                      <c:ptCount val="7"/>
                      <c:pt idx="0">
                        <c:v>FY 20</c:v>
                      </c:pt>
                      <c:pt idx="1">
                        <c:v>FY 21</c:v>
                      </c:pt>
                      <c:pt idx="2">
                        <c:v>FY 22</c:v>
                      </c:pt>
                      <c:pt idx="3">
                        <c:v>FY 23</c:v>
                      </c:pt>
                      <c:pt idx="4">
                        <c:v>FY 24</c:v>
                      </c:pt>
                      <c:pt idx="5">
                        <c:v>FY 25</c:v>
                      </c:pt>
                      <c:pt idx="6">
                        <c:v>FY 26</c:v>
                      </c:pt>
                    </c:strCache>
                  </c:strRef>
                </c:cat>
                <c:val>
                  <c:numRef>
                    <c:extLst>
                      <c:ext xmlns:c15="http://schemas.microsoft.com/office/drawing/2012/chart" uri="{02D57815-91ED-43cb-92C2-25804820EDAC}">
                        <c15:fullRef>
                          <c15:sqref>'Financial Model'!$C$102:$J$102</c15:sqref>
                        </c15:fullRef>
                        <c15:formulaRef>
                          <c15:sqref>'Financial Model'!$D$102:$J$102</c15:sqref>
                        </c15:formulaRef>
                      </c:ext>
                    </c:extLst>
                    <c:numCache>
                      <c:formatCode>0</c:formatCode>
                      <c:ptCount val="7"/>
                      <c:pt idx="0">
                        <c:v>1609</c:v>
                      </c:pt>
                      <c:pt idx="1">
                        <c:v>1431</c:v>
                      </c:pt>
                      <c:pt idx="2">
                        <c:v>1719.1025979830847</c:v>
                      </c:pt>
                      <c:pt idx="3">
                        <c:v>1828.8507613587897</c:v>
                      </c:pt>
                      <c:pt idx="4">
                        <c:v>1936.1941685736733</c:v>
                      </c:pt>
                      <c:pt idx="5">
                        <c:v>2039.3584366862278</c:v>
                      </c:pt>
                      <c:pt idx="6">
                        <c:v>2132.2997150337674</c:v>
                      </c:pt>
                    </c:numCache>
                  </c:numRef>
                </c:val>
                <c:extLst xmlns:c15="http://schemas.microsoft.com/office/drawing/2012/chart">
                  <c:ext xmlns:c16="http://schemas.microsoft.com/office/drawing/2014/chart" uri="{C3380CC4-5D6E-409C-BE32-E72D297353CC}">
                    <c16:uniqueId val="{00000011-B192-4413-8530-BE906175F015}"/>
                  </c:ext>
                </c:extLst>
              </c15:ser>
            </c15:filteredBarSeries>
            <c15:filteredBarSeries>
              <c15:ser>
                <c:idx val="18"/>
                <c:order val="18"/>
                <c:tx>
                  <c:strRef>
                    <c:extLst xmlns:c15="http://schemas.microsoft.com/office/drawing/2012/chart">
                      <c:ext xmlns:c15="http://schemas.microsoft.com/office/drawing/2012/chart" uri="{02D57815-91ED-43cb-92C2-25804820EDAC}">
                        <c15:formulaRef>
                          <c15:sqref>'Financial Model'!$B$104</c15:sqref>
                        </c15:formulaRef>
                      </c:ext>
                    </c:extLst>
                    <c:strCache>
                      <c:ptCount val="1"/>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'Financial Model'!$C$85:$J$85</c15:sqref>
                        </c15:fullRef>
                        <c15:formulaRef>
                          <c15:sqref>'Financial Model'!$D$85:$J$85</c15:sqref>
                        </c15:formulaRef>
                      </c:ext>
                    </c:extLst>
                    <c:strCache>
                      <c:ptCount val="7"/>
                      <c:pt idx="0">
                        <c:v>FY 20</c:v>
                      </c:pt>
                      <c:pt idx="1">
                        <c:v>FY 21</c:v>
                      </c:pt>
                      <c:pt idx="2">
                        <c:v>FY 22</c:v>
                      </c:pt>
                      <c:pt idx="3">
                        <c:v>FY 23</c:v>
                      </c:pt>
                      <c:pt idx="4">
                        <c:v>FY 24</c:v>
                      </c:pt>
                      <c:pt idx="5">
                        <c:v>FY 25</c:v>
                      </c:pt>
                      <c:pt idx="6">
                        <c:v>FY 26</c:v>
                      </c:pt>
                    </c:strCache>
                  </c:strRef>
                </c:cat>
                <c:val>
                  <c:numRef>
                    <c:extLst>
                      <c:ext xmlns:c15="http://schemas.microsoft.com/office/drawing/2012/chart" uri="{02D57815-91ED-43cb-92C2-25804820EDAC}">
                        <c15:fullRef>
                          <c15:sqref>'Financial Model'!$C$104:$J$104</c15:sqref>
                        </c15:fullRef>
                        <c15:formulaRef>
                          <c15:sqref>'Financial Model'!$D$104:$J$104</c15:sqref>
                        </c15:formulaRef>
                      </c:ext>
                    </c:extLst>
                    <c:numCache>
                      <c:formatCode>0</c:formatCode>
                      <c:ptCount val="7"/>
                    </c:numCache>
                  </c:numRef>
                </c:val>
                <c:extLst xmlns:c15="http://schemas.microsoft.com/office/drawing/2012/chart">
                  <c:ext xmlns:c16="http://schemas.microsoft.com/office/drawing/2014/chart" uri="{C3380CC4-5D6E-409C-BE32-E72D297353CC}">
                    <c16:uniqueId val="{00000012-B192-4413-8530-BE906175F015}"/>
                  </c:ext>
                </c:extLst>
              </c15:ser>
            </c15:filteredBarSeries>
            <c15:filteredBarSeries>
              <c15:ser>
                <c:idx val="19"/>
                <c:order val="19"/>
                <c:tx>
                  <c:strRef>
                    <c:extLst xmlns:c15="http://schemas.microsoft.com/office/drawing/2012/chart">
                      <c:ext xmlns:c15="http://schemas.microsoft.com/office/drawing/2012/chart" uri="{02D57815-91ED-43cb-92C2-25804820EDAC}">
                        <c15:formulaRef>
                          <c15:sqref>'Financial Model'!$B$105</c15:sqref>
                        </c15:formulaRef>
                      </c:ext>
                    </c:extLst>
                    <c:strCache>
                      <c:ptCount val="1"/>
                      <c:pt idx="0">
                        <c:v>Common Shareholders' Equity:</c:v>
                      </c:pt>
                    </c:strCache>
                  </c:strRef>
                </c:tx>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'Financial Model'!$C$85:$J$85</c15:sqref>
                        </c15:fullRef>
                        <c15:formulaRef>
                          <c15:sqref>'Financial Model'!$D$85:$J$85</c15:sqref>
                        </c15:formulaRef>
                      </c:ext>
                    </c:extLst>
                    <c:strCache>
                      <c:ptCount val="7"/>
                      <c:pt idx="0">
                        <c:v>FY 20</c:v>
                      </c:pt>
                      <c:pt idx="1">
                        <c:v>FY 21</c:v>
                      </c:pt>
                      <c:pt idx="2">
                        <c:v>FY 22</c:v>
                      </c:pt>
                      <c:pt idx="3">
                        <c:v>FY 23</c:v>
                      </c:pt>
                      <c:pt idx="4">
                        <c:v>FY 24</c:v>
                      </c:pt>
                      <c:pt idx="5">
                        <c:v>FY 25</c:v>
                      </c:pt>
                      <c:pt idx="6">
                        <c:v>FY 26</c:v>
                      </c:pt>
                    </c:strCache>
                  </c:strRef>
                </c:cat>
                <c:val>
                  <c:numRef>
                    <c:extLst>
                      <c:ext xmlns:c15="http://schemas.microsoft.com/office/drawing/2012/chart" uri="{02D57815-91ED-43cb-92C2-25804820EDAC}">
                        <c15:fullRef>
                          <c15:sqref>'Financial Model'!$C$105:$J$105</c15:sqref>
                        </c15:fullRef>
                        <c15:formulaRef>
                          <c15:sqref>'Financial Model'!$D$105:$J$105</c15:sqref>
                        </c15:formulaRef>
                      </c:ext>
                    </c:extLst>
                    <c:numCache>
                      <c:formatCode>0</c:formatCode>
                      <c:ptCount val="7"/>
                      <c:pt idx="0">
                        <c:v>-3862</c:v>
                      </c:pt>
                      <c:pt idx="1">
                        <c:v>-3625</c:v>
                      </c:pt>
                      <c:pt idx="2">
                        <c:v>-4266.3280456559914</c:v>
                      </c:pt>
                      <c:pt idx="3">
                        <c:v>-4357.8625275747027</c:v>
                      </c:pt>
                      <c:pt idx="4">
                        <c:v>-4445.6442089847251</c:v>
                      </c:pt>
                      <c:pt idx="5">
                        <c:v>-4525.5505676999956</c:v>
                      </c:pt>
                      <c:pt idx="6">
                        <c:v>-4582.06058002182</c:v>
                      </c:pt>
                    </c:numCache>
                  </c:numRef>
                </c:val>
                <c:extLst xmlns:c15="http://schemas.microsoft.com/office/drawing/2012/chart">
                  <c:ext xmlns:c16="http://schemas.microsoft.com/office/drawing/2014/chart" uri="{C3380CC4-5D6E-409C-BE32-E72D297353CC}">
                    <c16:uniqueId val="{00000013-B192-4413-8530-BE906175F015}"/>
                  </c:ext>
                </c:extLst>
              </c15:ser>
            </c15:filteredBarSeries>
            <c15:filteredBarSeries>
              <c15:ser>
                <c:idx val="20"/>
                <c:order val="20"/>
                <c:tx>
                  <c:strRef>
                    <c:extLst xmlns:c15="http://schemas.microsoft.com/office/drawing/2012/chart">
                      <c:ext xmlns:c15="http://schemas.microsoft.com/office/drawing/2012/chart" uri="{02D57815-91ED-43cb-92C2-25804820EDAC}">
                        <c15:formulaRef>
                          <c15:sqref>'Financial Model'!$B$106</c15:sqref>
                        </c15:formulaRef>
                      </c:ext>
                    </c:extLst>
                    <c:strCache>
                      <c:ptCount val="1"/>
                      <c:pt idx="0">
                        <c:v>Noncontrolling Interests:</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'Financial Model'!$C$85:$J$85</c15:sqref>
                        </c15:fullRef>
                        <c15:formulaRef>
                          <c15:sqref>'Financial Model'!$D$85:$J$85</c15:sqref>
                        </c15:formulaRef>
                      </c:ext>
                    </c:extLst>
                    <c:strCache>
                      <c:ptCount val="7"/>
                      <c:pt idx="0">
                        <c:v>FY 20</c:v>
                      </c:pt>
                      <c:pt idx="1">
                        <c:v>FY 21</c:v>
                      </c:pt>
                      <c:pt idx="2">
                        <c:v>FY 22</c:v>
                      </c:pt>
                      <c:pt idx="3">
                        <c:v>FY 23</c:v>
                      </c:pt>
                      <c:pt idx="4">
                        <c:v>FY 24</c:v>
                      </c:pt>
                      <c:pt idx="5">
                        <c:v>FY 25</c:v>
                      </c:pt>
                      <c:pt idx="6">
                        <c:v>FY 26</c:v>
                      </c:pt>
                    </c:strCache>
                  </c:strRef>
                </c:cat>
                <c:val>
                  <c:numRef>
                    <c:extLst>
                      <c:ext xmlns:c15="http://schemas.microsoft.com/office/drawing/2012/chart" uri="{02D57815-91ED-43cb-92C2-25804820EDAC}">
                        <c15:fullRef>
                          <c15:sqref>'Financial Model'!$C$106:$J$106</c15:sqref>
                        </c15:fullRef>
                        <c15:formulaRef>
                          <c15:sqref>'Financial Model'!$D$106:$J$106</c15:sqref>
                        </c15:formulaRef>
                      </c:ext>
                    </c:extLst>
                    <c:numCache>
                      <c:formatCode>0</c:formatCode>
                      <c:ptCount val="7"/>
                      <c:pt idx="0">
                        <c:v>661</c:v>
                      </c:pt>
                      <c:pt idx="1">
                        <c:v>641</c:v>
                      </c:pt>
                      <c:pt idx="2">
                        <c:v>643.09316059083096</c:v>
                      </c:pt>
                      <c:pt idx="3">
                        <c:v>645.30465250159455</c:v>
                      </c:pt>
                      <c:pt idx="4">
                        <c:v>647.67898920509504</c:v>
                      </c:pt>
                      <c:pt idx="5">
                        <c:v>650.17660685155442</c:v>
                      </c:pt>
                      <c:pt idx="6">
                        <c:v>652.84136728109672</c:v>
                      </c:pt>
                    </c:numCache>
                  </c:numRef>
                </c:val>
                <c:extLst xmlns:c15="http://schemas.microsoft.com/office/drawing/2012/chart">
                  <c:ext xmlns:c16="http://schemas.microsoft.com/office/drawing/2014/chart" uri="{C3380CC4-5D6E-409C-BE32-E72D297353CC}">
                    <c16:uniqueId val="{00000014-B192-4413-8530-BE906175F015}"/>
                  </c:ext>
                </c:extLst>
              </c15:ser>
            </c15:filteredBarSeries>
            <c15:filteredBarSeries>
              <c15:ser>
                <c:idx val="21"/>
                <c:order val="21"/>
                <c:tx>
                  <c:strRef>
                    <c:extLst xmlns:c15="http://schemas.microsoft.com/office/drawing/2012/chart">
                      <c:ext xmlns:c15="http://schemas.microsoft.com/office/drawing/2012/chart" uri="{02D57815-91ED-43cb-92C2-25804820EDAC}">
                        <c15:formulaRef>
                          <c15:sqref>'Financial Model'!$B$107</c15:sqref>
                        </c15:formulaRef>
                      </c:ext>
                    </c:extLst>
                    <c:strCache>
                      <c:ptCount val="1"/>
                      <c:pt idx="0">
                        <c:v>Total Equity:</c:v>
                      </c:pt>
                    </c:strCache>
                  </c:strRef>
                </c:tx>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'Financial Model'!$C$85:$J$85</c15:sqref>
                        </c15:fullRef>
                        <c15:formulaRef>
                          <c15:sqref>'Financial Model'!$D$85:$J$85</c15:sqref>
                        </c15:formulaRef>
                      </c:ext>
                    </c:extLst>
                    <c:strCache>
                      <c:ptCount val="7"/>
                      <c:pt idx="0">
                        <c:v>FY 20</c:v>
                      </c:pt>
                      <c:pt idx="1">
                        <c:v>FY 21</c:v>
                      </c:pt>
                      <c:pt idx="2">
                        <c:v>FY 22</c:v>
                      </c:pt>
                      <c:pt idx="3">
                        <c:v>FY 23</c:v>
                      </c:pt>
                      <c:pt idx="4">
                        <c:v>FY 24</c:v>
                      </c:pt>
                      <c:pt idx="5">
                        <c:v>FY 25</c:v>
                      </c:pt>
                      <c:pt idx="6">
                        <c:v>FY 26</c:v>
                      </c:pt>
                    </c:strCache>
                  </c:strRef>
                </c:cat>
                <c:val>
                  <c:numRef>
                    <c:extLst>
                      <c:ext xmlns:c15="http://schemas.microsoft.com/office/drawing/2012/chart" uri="{02D57815-91ED-43cb-92C2-25804820EDAC}">
                        <c15:fullRef>
                          <c15:sqref>'Financial Model'!$C$107:$J$107</c15:sqref>
                        </c15:fullRef>
                        <c15:formulaRef>
                          <c15:sqref>'Financial Model'!$D$107:$J$107</c15:sqref>
                        </c15:formulaRef>
                      </c:ext>
                    </c:extLst>
                    <c:numCache>
                      <c:formatCode>0</c:formatCode>
                      <c:ptCount val="7"/>
                      <c:pt idx="0">
                        <c:v>-3201</c:v>
                      </c:pt>
                      <c:pt idx="1">
                        <c:v>-2984</c:v>
                      </c:pt>
                      <c:pt idx="2">
                        <c:v>-3623.2348850651606</c:v>
                      </c:pt>
                      <c:pt idx="3">
                        <c:v>-3712.5578750731083</c:v>
                      </c:pt>
                      <c:pt idx="4">
                        <c:v>-3797.9652197796299</c:v>
                      </c:pt>
                      <c:pt idx="5">
                        <c:v>-3875.3739608484411</c:v>
                      </c:pt>
                      <c:pt idx="6">
                        <c:v>-3929.2192127407234</c:v>
                      </c:pt>
                    </c:numCache>
                  </c:numRef>
                </c:val>
                <c:extLst xmlns:c15="http://schemas.microsoft.com/office/drawing/2012/chart">
                  <c:ext xmlns:c16="http://schemas.microsoft.com/office/drawing/2014/chart" uri="{C3380CC4-5D6E-409C-BE32-E72D297353CC}">
                    <c16:uniqueId val="{00000015-B192-4413-8530-BE906175F015}"/>
                  </c:ext>
                </c:extLst>
              </c15:ser>
            </c15:filteredBarSeries>
            <c15:filteredBarSeries>
              <c15:ser>
                <c:idx val="22"/>
                <c:order val="22"/>
                <c:tx>
                  <c:strRef>
                    <c:extLst xmlns:c15="http://schemas.microsoft.com/office/drawing/2012/chart">
                      <c:ext xmlns:c15="http://schemas.microsoft.com/office/drawing/2012/chart" uri="{02D57815-91ED-43cb-92C2-25804820EDAC}">
                        <c15:formulaRef>
                          <c15:sqref>'Financial Model'!$B$108</c15:sqref>
                        </c15:formulaRef>
                      </c:ext>
                    </c:extLst>
                    <c:strCache>
                      <c:ptCount val="1"/>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'Financial Model'!$C$85:$J$85</c15:sqref>
                        </c15:fullRef>
                        <c15:formulaRef>
                          <c15:sqref>'Financial Model'!$D$85:$J$85</c15:sqref>
                        </c15:formulaRef>
                      </c:ext>
                    </c:extLst>
                    <c:strCache>
                      <c:ptCount val="7"/>
                      <c:pt idx="0">
                        <c:v>FY 20</c:v>
                      </c:pt>
                      <c:pt idx="1">
                        <c:v>FY 21</c:v>
                      </c:pt>
                      <c:pt idx="2">
                        <c:v>FY 22</c:v>
                      </c:pt>
                      <c:pt idx="3">
                        <c:v>FY 23</c:v>
                      </c:pt>
                      <c:pt idx="4">
                        <c:v>FY 24</c:v>
                      </c:pt>
                      <c:pt idx="5">
                        <c:v>FY 25</c:v>
                      </c:pt>
                      <c:pt idx="6">
                        <c:v>FY 26</c:v>
                      </c:pt>
                    </c:strCache>
                  </c:strRef>
                </c:cat>
                <c:val>
                  <c:numRef>
                    <c:extLst>
                      <c:ext xmlns:c15="http://schemas.microsoft.com/office/drawing/2012/chart" uri="{02D57815-91ED-43cb-92C2-25804820EDAC}">
                        <c15:fullRef>
                          <c15:sqref>'Financial Model'!$C$108:$J$108</c15:sqref>
                        </c15:fullRef>
                        <c15:formulaRef>
                          <c15:sqref>'Financial Model'!$D$108:$J$108</c15:sqref>
                        </c15:formulaRef>
                      </c:ext>
                    </c:extLst>
                    <c:numCache>
                      <c:formatCode>0</c:formatCode>
                      <c:ptCount val="7"/>
                    </c:numCache>
                  </c:numRef>
                </c:val>
                <c:extLst xmlns:c15="http://schemas.microsoft.com/office/drawing/2012/chart">
                  <c:ext xmlns:c16="http://schemas.microsoft.com/office/drawing/2014/chart" uri="{C3380CC4-5D6E-409C-BE32-E72D297353CC}">
                    <c16:uniqueId val="{00000016-B192-4413-8530-BE906175F015}"/>
                  </c:ext>
                </c:extLst>
              </c15:ser>
            </c15:filteredBarSeries>
            <c15:filteredBarSeries>
              <c15:ser>
                <c:idx val="23"/>
                <c:order val="23"/>
                <c:tx>
                  <c:strRef>
                    <c:extLst xmlns:c15="http://schemas.microsoft.com/office/drawing/2012/chart">
                      <c:ext xmlns:c15="http://schemas.microsoft.com/office/drawing/2012/chart" uri="{02D57815-91ED-43cb-92C2-25804820EDAC}">
                        <c15:formulaRef>
                          <c15:sqref>'Financial Model'!$B$109</c15:sqref>
                        </c15:formulaRef>
                      </c:ext>
                    </c:extLst>
                    <c:strCache>
                      <c:ptCount val="1"/>
                      <c:pt idx="0">
                        <c:v>TOTAL LIABILITIES + EQUITY:</c:v>
                      </c:pt>
                    </c:strCache>
                  </c:strRef>
                </c:tx>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'Financial Model'!$C$85:$J$85</c15:sqref>
                        </c15:fullRef>
                        <c15:formulaRef>
                          <c15:sqref>'Financial Model'!$D$85:$J$85</c15:sqref>
                        </c15:formulaRef>
                      </c:ext>
                    </c:extLst>
                    <c:strCache>
                      <c:ptCount val="7"/>
                      <c:pt idx="0">
                        <c:v>FY 20</c:v>
                      </c:pt>
                      <c:pt idx="1">
                        <c:v>FY 21</c:v>
                      </c:pt>
                      <c:pt idx="2">
                        <c:v>FY 22</c:v>
                      </c:pt>
                      <c:pt idx="3">
                        <c:v>FY 23</c:v>
                      </c:pt>
                      <c:pt idx="4">
                        <c:v>FY 24</c:v>
                      </c:pt>
                      <c:pt idx="5">
                        <c:v>FY 25</c:v>
                      </c:pt>
                      <c:pt idx="6">
                        <c:v>FY 26</c:v>
                      </c:pt>
                    </c:strCache>
                  </c:strRef>
                </c:cat>
                <c:val>
                  <c:numRef>
                    <c:extLst>
                      <c:ext xmlns:c15="http://schemas.microsoft.com/office/drawing/2012/chart" uri="{02D57815-91ED-43cb-92C2-25804820EDAC}">
                        <c15:fullRef>
                          <c15:sqref>'Financial Model'!$C$109:$J$109</c15:sqref>
                        </c15:fullRef>
                        <c15:formulaRef>
                          <c15:sqref>'Financial Model'!$D$109:$J$109</c15:sqref>
                        </c15:formulaRef>
                      </c:ext>
                    </c:extLst>
                    <c:numCache>
                      <c:formatCode>0</c:formatCode>
                      <c:ptCount val="7"/>
                      <c:pt idx="0">
                        <c:v>10710</c:v>
                      </c:pt>
                      <c:pt idx="1">
                        <c:v>12279</c:v>
                      </c:pt>
                      <c:pt idx="2">
                        <c:v>12399.547625414303</c:v>
                      </c:pt>
                      <c:pt idx="3">
                        <c:v>12743.526399829094</c:v>
                      </c:pt>
                      <c:pt idx="4">
                        <c:v>13075.17255825857</c:v>
                      </c:pt>
                      <c:pt idx="5">
                        <c:v>13386.563021066771</c:v>
                      </c:pt>
                      <c:pt idx="6">
                        <c:v>13661.329115739029</c:v>
                      </c:pt>
                    </c:numCache>
                  </c:numRef>
                </c:val>
                <c:extLst xmlns:c15="http://schemas.microsoft.com/office/drawing/2012/chart">
                  <c:ext xmlns:c16="http://schemas.microsoft.com/office/drawing/2014/chart" uri="{C3380CC4-5D6E-409C-BE32-E72D297353CC}">
                    <c16:uniqueId val="{00000017-B192-4413-8530-BE906175F015}"/>
                  </c:ext>
                </c:extLst>
              </c15:ser>
            </c15:filteredBarSeries>
            <c15:filteredBarSeries>
              <c15:ser>
                <c:idx val="24"/>
                <c:order val="24"/>
                <c:tx>
                  <c:strRef>
                    <c:extLst xmlns:c15="http://schemas.microsoft.com/office/drawing/2012/chart">
                      <c:ext xmlns:c15="http://schemas.microsoft.com/office/drawing/2012/chart" uri="{02D57815-91ED-43cb-92C2-25804820EDAC}">
                        <c15:formulaRef>
                          <c15:sqref>'Financial Model'!$B$110</c15:sqref>
                        </c15:formulaRef>
                      </c:ext>
                    </c:extLst>
                    <c:strCache>
                      <c:ptCount val="1"/>
                    </c:strCache>
                  </c:strRef>
                </c:tx>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'Financial Model'!$C$85:$J$85</c15:sqref>
                        </c15:fullRef>
                        <c15:formulaRef>
                          <c15:sqref>'Financial Model'!$D$85:$J$85</c15:sqref>
                        </c15:formulaRef>
                      </c:ext>
                    </c:extLst>
                    <c:strCache>
                      <c:ptCount val="7"/>
                      <c:pt idx="0">
                        <c:v>FY 20</c:v>
                      </c:pt>
                      <c:pt idx="1">
                        <c:v>FY 21</c:v>
                      </c:pt>
                      <c:pt idx="2">
                        <c:v>FY 22</c:v>
                      </c:pt>
                      <c:pt idx="3">
                        <c:v>FY 23</c:v>
                      </c:pt>
                      <c:pt idx="4">
                        <c:v>FY 24</c:v>
                      </c:pt>
                      <c:pt idx="5">
                        <c:v>FY 25</c:v>
                      </c:pt>
                      <c:pt idx="6">
                        <c:v>FY 26</c:v>
                      </c:pt>
                    </c:strCache>
                  </c:strRef>
                </c:cat>
                <c:val>
                  <c:numRef>
                    <c:extLst>
                      <c:ext xmlns:c15="http://schemas.microsoft.com/office/drawing/2012/chart" uri="{02D57815-91ED-43cb-92C2-25804820EDAC}">
                        <c15:fullRef>
                          <c15:sqref>'Financial Model'!$C$110:$J$110</c15:sqref>
                        </c15:fullRef>
                        <c15:formulaRef>
                          <c15:sqref>'Financial Model'!$D$110:$J$110</c15:sqref>
                        </c15:formulaRef>
                      </c:ext>
                    </c:extLst>
                    <c:numCache>
                      <c:formatCode>0</c:formatCode>
                      <c:ptCount val="7"/>
                    </c:numCache>
                  </c:numRef>
                </c:val>
                <c:extLst xmlns:c15="http://schemas.microsoft.com/office/drawing/2012/chart">
                  <c:ext xmlns:c16="http://schemas.microsoft.com/office/drawing/2014/chart" uri="{C3380CC4-5D6E-409C-BE32-E72D297353CC}">
                    <c16:uniqueId val="{00000018-B192-4413-8530-BE906175F015}"/>
                  </c:ext>
                </c:extLst>
              </c15:ser>
            </c15:filteredBarSeries>
          </c:ext>
        </c:extLst>
      </c:barChart>
      <c:catAx>
        <c:axId val="180799812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87797695"/>
        <c:crosses val="autoZero"/>
        <c:auto val="1"/>
        <c:lblAlgn val="ctr"/>
        <c:lblOffset val="100"/>
        <c:noMultiLvlLbl val="0"/>
      </c:catAx>
      <c:valAx>
        <c:axId val="1687797695"/>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7998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Cash Flow</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'Financial Model'!$C$113</c:f>
              <c:strCache>
                <c:ptCount val="1"/>
                <c:pt idx="0">
                  <c:v>FY 19</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'Financial Model'!$B$114:$B$137</c15:sqref>
                  </c15:fullRef>
                </c:ext>
              </c:extLst>
              <c:f>('Financial Model'!$B$120,'Financial Model'!$B$125,'Financial Model'!$B$133)</c:f>
              <c:strCache>
                <c:ptCount val="3"/>
                <c:pt idx="0">
                  <c:v>Cash Flow from Operations:</c:v>
                </c:pt>
                <c:pt idx="1">
                  <c:v>Cash Flow from Investing:</c:v>
                </c:pt>
                <c:pt idx="2">
                  <c:v>Cash Flow from Financing:</c:v>
                </c:pt>
              </c:strCache>
            </c:strRef>
          </c:cat>
          <c:val>
            <c:numRef>
              <c:extLst>
                <c:ext xmlns:c15="http://schemas.microsoft.com/office/drawing/2012/chart" uri="{02D57815-91ED-43cb-92C2-25804820EDAC}">
                  <c15:fullRef>
                    <c15:sqref>'Financial Model'!$C$114:$C$137</c15:sqref>
                  </c15:fullRef>
                </c:ext>
              </c:extLst>
              <c:f>('Financial Model'!$C$120,'Financial Model'!$C$125,'Financial Model'!$C$133)</c:f>
              <c:numCache>
                <c:formatCode>0</c:formatCode>
                <c:ptCount val="3"/>
                <c:pt idx="0">
                  <c:v>1469</c:v>
                </c:pt>
                <c:pt idx="1">
                  <c:v>-203</c:v>
                </c:pt>
                <c:pt idx="2">
                  <c:v>-1133</c:v>
                </c:pt>
              </c:numCache>
            </c:numRef>
          </c:val>
          <c:extLst>
            <c:ext xmlns:c16="http://schemas.microsoft.com/office/drawing/2014/chart" uri="{C3380CC4-5D6E-409C-BE32-E72D297353CC}">
              <c16:uniqueId val="{00000000-F9AB-492B-B9BB-8CC355B0BE95}"/>
            </c:ext>
          </c:extLst>
        </c:ser>
        <c:ser>
          <c:idx val="1"/>
          <c:order val="1"/>
          <c:tx>
            <c:strRef>
              <c:f>'Financial Model'!$D$113</c:f>
              <c:strCache>
                <c:ptCount val="1"/>
                <c:pt idx="0">
                  <c:v>FY 20</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'Financial Model'!$B$114:$B$137</c15:sqref>
                  </c15:fullRef>
                </c:ext>
              </c:extLst>
              <c:f>('Financial Model'!$B$120,'Financial Model'!$B$125,'Financial Model'!$B$133)</c:f>
              <c:strCache>
                <c:ptCount val="3"/>
                <c:pt idx="0">
                  <c:v>Cash Flow from Operations:</c:v>
                </c:pt>
                <c:pt idx="1">
                  <c:v>Cash Flow from Investing:</c:v>
                </c:pt>
                <c:pt idx="2">
                  <c:v>Cash Flow from Financing:</c:v>
                </c:pt>
              </c:strCache>
            </c:strRef>
          </c:cat>
          <c:val>
            <c:numRef>
              <c:extLst>
                <c:ext xmlns:c15="http://schemas.microsoft.com/office/drawing/2012/chart" uri="{02D57815-91ED-43cb-92C2-25804820EDAC}">
                  <c15:fullRef>
                    <c15:sqref>'Financial Model'!$D$114:$D$137</c15:sqref>
                  </c15:fullRef>
                </c:ext>
              </c:extLst>
              <c:f>('Financial Model'!$D$120,'Financial Model'!$D$125,'Financial Model'!$D$133)</c:f>
              <c:numCache>
                <c:formatCode>0</c:formatCode>
                <c:ptCount val="3"/>
                <c:pt idx="0">
                  <c:v>1480</c:v>
                </c:pt>
                <c:pt idx="1">
                  <c:v>-353</c:v>
                </c:pt>
                <c:pt idx="2">
                  <c:v>-844</c:v>
                </c:pt>
              </c:numCache>
            </c:numRef>
          </c:val>
          <c:extLst>
            <c:ext xmlns:c16="http://schemas.microsoft.com/office/drawing/2014/chart" uri="{C3380CC4-5D6E-409C-BE32-E72D297353CC}">
              <c16:uniqueId val="{00000001-F9AB-492B-B9BB-8CC355B0BE95}"/>
            </c:ext>
          </c:extLst>
        </c:ser>
        <c:ser>
          <c:idx val="2"/>
          <c:order val="2"/>
          <c:tx>
            <c:strRef>
              <c:f>'Financial Model'!$E$113</c:f>
              <c:strCache>
                <c:ptCount val="1"/>
                <c:pt idx="0">
                  <c:v>FY 21</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'Financial Model'!$B$114:$B$137</c15:sqref>
                  </c15:fullRef>
                </c:ext>
              </c:extLst>
              <c:f>('Financial Model'!$B$120,'Financial Model'!$B$125,'Financial Model'!$B$133)</c:f>
              <c:strCache>
                <c:ptCount val="3"/>
                <c:pt idx="0">
                  <c:v>Cash Flow from Operations:</c:v>
                </c:pt>
                <c:pt idx="1">
                  <c:v>Cash Flow from Investing:</c:v>
                </c:pt>
                <c:pt idx="2">
                  <c:v>Cash Flow from Financing:</c:v>
                </c:pt>
              </c:strCache>
            </c:strRef>
          </c:cat>
          <c:val>
            <c:numRef>
              <c:extLst>
                <c:ext xmlns:c15="http://schemas.microsoft.com/office/drawing/2012/chart" uri="{02D57815-91ED-43cb-92C2-25804820EDAC}">
                  <c15:fullRef>
                    <c15:sqref>'Financial Model'!$E$114:$E$137</c15:sqref>
                  </c15:fullRef>
                </c:ext>
              </c:extLst>
              <c:f>('Financial Model'!$E$120,'Financial Model'!$E$125,'Financial Model'!$E$133)</c:f>
              <c:numCache>
                <c:formatCode>0</c:formatCode>
                <c:ptCount val="3"/>
                <c:pt idx="0">
                  <c:v>1750</c:v>
                </c:pt>
                <c:pt idx="1">
                  <c:v>-89</c:v>
                </c:pt>
                <c:pt idx="2">
                  <c:v>58</c:v>
                </c:pt>
              </c:numCache>
            </c:numRef>
          </c:val>
          <c:extLst>
            <c:ext xmlns:c16="http://schemas.microsoft.com/office/drawing/2014/chart" uri="{C3380CC4-5D6E-409C-BE32-E72D297353CC}">
              <c16:uniqueId val="{00000002-F9AB-492B-B9BB-8CC355B0BE95}"/>
            </c:ext>
          </c:extLst>
        </c:ser>
        <c:ser>
          <c:idx val="3"/>
          <c:order val="3"/>
          <c:tx>
            <c:strRef>
              <c:f>'Financial Model'!$F$113</c:f>
              <c:strCache>
                <c:ptCount val="1"/>
                <c:pt idx="0">
                  <c:v>FY 22</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'Financial Model'!$B$114:$B$137</c15:sqref>
                  </c15:fullRef>
                </c:ext>
              </c:extLst>
              <c:f>('Financial Model'!$B$120,'Financial Model'!$B$125,'Financial Model'!$B$133)</c:f>
              <c:strCache>
                <c:ptCount val="3"/>
                <c:pt idx="0">
                  <c:v>Cash Flow from Operations:</c:v>
                </c:pt>
                <c:pt idx="1">
                  <c:v>Cash Flow from Investing:</c:v>
                </c:pt>
                <c:pt idx="2">
                  <c:v>Cash Flow from Financing:</c:v>
                </c:pt>
              </c:strCache>
            </c:strRef>
          </c:cat>
          <c:val>
            <c:numRef>
              <c:extLst>
                <c:ext xmlns:c15="http://schemas.microsoft.com/office/drawing/2012/chart" uri="{02D57815-91ED-43cb-92C2-25804820EDAC}">
                  <c15:fullRef>
                    <c15:sqref>'Financial Model'!$F$114:$F$137</c15:sqref>
                  </c15:fullRef>
                </c:ext>
              </c:extLst>
              <c:f>('Financial Model'!$F$120,'Financial Model'!$F$125,'Financial Model'!$F$133)</c:f>
              <c:numCache>
                <c:formatCode>0</c:formatCode>
                <c:ptCount val="3"/>
                <c:pt idx="0">
                  <c:v>2020.0597681060153</c:v>
                </c:pt>
                <c:pt idx="1">
                  <c:v>-258.72712655311824</c:v>
                </c:pt>
                <c:pt idx="2">
                  <c:v>-2236.8044183851489</c:v>
                </c:pt>
              </c:numCache>
            </c:numRef>
          </c:val>
          <c:extLst>
            <c:ext xmlns:c16="http://schemas.microsoft.com/office/drawing/2014/chart" uri="{C3380CC4-5D6E-409C-BE32-E72D297353CC}">
              <c16:uniqueId val="{00000003-F9AB-492B-B9BB-8CC355B0BE95}"/>
            </c:ext>
          </c:extLst>
        </c:ser>
        <c:ser>
          <c:idx val="4"/>
          <c:order val="4"/>
          <c:tx>
            <c:strRef>
              <c:f>'Financial Model'!$G$113</c:f>
              <c:strCache>
                <c:ptCount val="1"/>
                <c:pt idx="0">
                  <c:v>FY 23</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'Financial Model'!$B$114:$B$137</c15:sqref>
                  </c15:fullRef>
                </c:ext>
              </c:extLst>
              <c:f>('Financial Model'!$B$120,'Financial Model'!$B$125,'Financial Model'!$B$133)</c:f>
              <c:strCache>
                <c:ptCount val="3"/>
                <c:pt idx="0">
                  <c:v>Cash Flow from Operations:</c:v>
                </c:pt>
                <c:pt idx="1">
                  <c:v>Cash Flow from Investing:</c:v>
                </c:pt>
                <c:pt idx="2">
                  <c:v>Cash Flow from Financing:</c:v>
                </c:pt>
              </c:strCache>
            </c:strRef>
          </c:cat>
          <c:val>
            <c:numRef>
              <c:extLst>
                <c:ext xmlns:c15="http://schemas.microsoft.com/office/drawing/2012/chart" uri="{02D57815-91ED-43cb-92C2-25804820EDAC}">
                  <c15:fullRef>
                    <c15:sqref>'Financial Model'!$G$114:$G$137</c15:sqref>
                  </c15:fullRef>
                </c:ext>
              </c:extLst>
              <c:f>('Financial Model'!$G$120,'Financial Model'!$G$125,'Financial Model'!$G$133)</c:f>
              <c:numCache>
                <c:formatCode>0</c:formatCode>
                <c:ptCount val="3"/>
                <c:pt idx="0">
                  <c:v>1938.3096589360046</c:v>
                </c:pt>
                <c:pt idx="1">
                  <c:v>-270.50422455162902</c:v>
                </c:pt>
                <c:pt idx="2">
                  <c:v>-1668.30745259737</c:v>
                </c:pt>
              </c:numCache>
            </c:numRef>
          </c:val>
          <c:extLst>
            <c:ext xmlns:c16="http://schemas.microsoft.com/office/drawing/2014/chart" uri="{C3380CC4-5D6E-409C-BE32-E72D297353CC}">
              <c16:uniqueId val="{00000004-F9AB-492B-B9BB-8CC355B0BE95}"/>
            </c:ext>
          </c:extLst>
        </c:ser>
        <c:ser>
          <c:idx val="5"/>
          <c:order val="5"/>
          <c:tx>
            <c:strRef>
              <c:f>'Financial Model'!$H$113</c:f>
              <c:strCache>
                <c:ptCount val="1"/>
                <c:pt idx="0">
                  <c:v>FY 24</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'Financial Model'!$B$114:$B$137</c15:sqref>
                  </c15:fullRef>
                </c:ext>
              </c:extLst>
              <c:f>('Financial Model'!$B$120,'Financial Model'!$B$125,'Financial Model'!$B$133)</c:f>
              <c:strCache>
                <c:ptCount val="3"/>
                <c:pt idx="0">
                  <c:v>Cash Flow from Operations:</c:v>
                </c:pt>
                <c:pt idx="1">
                  <c:v>Cash Flow from Investing:</c:v>
                </c:pt>
                <c:pt idx="2">
                  <c:v>Cash Flow from Financing:</c:v>
                </c:pt>
              </c:strCache>
            </c:strRef>
          </c:cat>
          <c:val>
            <c:numRef>
              <c:extLst>
                <c:ext xmlns:c15="http://schemas.microsoft.com/office/drawing/2012/chart" uri="{02D57815-91ED-43cb-92C2-25804820EDAC}">
                  <c15:fullRef>
                    <c15:sqref>'Financial Model'!$H$114:$H$137</c15:sqref>
                  </c15:fullRef>
                </c:ext>
              </c:extLst>
              <c:f>('Financial Model'!$H$120,'Financial Model'!$H$125,'Financial Model'!$H$133)</c:f>
              <c:numCache>
                <c:formatCode>0</c:formatCode>
                <c:ptCount val="3"/>
                <c:pt idx="0">
                  <c:v>2054.5317647115016</c:v>
                </c:pt>
                <c:pt idx="1">
                  <c:v>-282.14918299537885</c:v>
                </c:pt>
                <c:pt idx="2">
                  <c:v>-1772.9145020002447</c:v>
                </c:pt>
              </c:numCache>
            </c:numRef>
          </c:val>
          <c:extLst>
            <c:ext xmlns:c16="http://schemas.microsoft.com/office/drawing/2014/chart" uri="{C3380CC4-5D6E-409C-BE32-E72D297353CC}">
              <c16:uniqueId val="{00000005-F9AB-492B-B9BB-8CC355B0BE95}"/>
            </c:ext>
          </c:extLst>
        </c:ser>
        <c:ser>
          <c:idx val="6"/>
          <c:order val="6"/>
          <c:tx>
            <c:strRef>
              <c:f>'Financial Model'!$I$113</c:f>
              <c:strCache>
                <c:ptCount val="1"/>
                <c:pt idx="0">
                  <c:v>FY 25</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'Financial Model'!$B$114:$B$137</c15:sqref>
                  </c15:fullRef>
                </c:ext>
              </c:extLst>
              <c:f>('Financial Model'!$B$120,'Financial Model'!$B$125,'Financial Model'!$B$133)</c:f>
              <c:strCache>
                <c:ptCount val="3"/>
                <c:pt idx="0">
                  <c:v>Cash Flow from Operations:</c:v>
                </c:pt>
                <c:pt idx="1">
                  <c:v>Cash Flow from Investing:</c:v>
                </c:pt>
                <c:pt idx="2">
                  <c:v>Cash Flow from Financing:</c:v>
                </c:pt>
              </c:strCache>
            </c:strRef>
          </c:cat>
          <c:val>
            <c:numRef>
              <c:extLst>
                <c:ext xmlns:c15="http://schemas.microsoft.com/office/drawing/2012/chart" uri="{02D57815-91ED-43cb-92C2-25804820EDAC}">
                  <c15:fullRef>
                    <c15:sqref>'Financial Model'!$I$114:$I$137</c15:sqref>
                  </c15:fullRef>
                </c:ext>
              </c:extLst>
              <c:f>('Financial Model'!$I$120,'Financial Model'!$I$125,'Financial Model'!$I$133)</c:f>
              <c:numCache>
                <c:formatCode>0</c:formatCode>
                <c:ptCount val="3"/>
                <c:pt idx="0">
                  <c:v>2143.1558196112201</c:v>
                </c:pt>
                <c:pt idx="1">
                  <c:v>-293.37413580936425</c:v>
                </c:pt>
                <c:pt idx="2">
                  <c:v>-1850.3424276613546</c:v>
                </c:pt>
              </c:numCache>
            </c:numRef>
          </c:val>
          <c:extLst>
            <c:ext xmlns:c16="http://schemas.microsoft.com/office/drawing/2014/chart" uri="{C3380CC4-5D6E-409C-BE32-E72D297353CC}">
              <c16:uniqueId val="{00000006-F9AB-492B-B9BB-8CC355B0BE95}"/>
            </c:ext>
          </c:extLst>
        </c:ser>
        <c:ser>
          <c:idx val="7"/>
          <c:order val="7"/>
          <c:tx>
            <c:strRef>
              <c:f>'Financial Model'!$J$113</c:f>
              <c:strCache>
                <c:ptCount val="1"/>
                <c:pt idx="0">
                  <c:v>FY 26</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'Financial Model'!$B$114:$B$137</c15:sqref>
                  </c15:fullRef>
                </c:ext>
              </c:extLst>
              <c:f>('Financial Model'!$B$120,'Financial Model'!$B$125,'Financial Model'!$B$133)</c:f>
              <c:strCache>
                <c:ptCount val="3"/>
                <c:pt idx="0">
                  <c:v>Cash Flow from Operations:</c:v>
                </c:pt>
                <c:pt idx="1">
                  <c:v>Cash Flow from Investing:</c:v>
                </c:pt>
                <c:pt idx="2">
                  <c:v>Cash Flow from Financing:</c:v>
                </c:pt>
              </c:strCache>
            </c:strRef>
          </c:cat>
          <c:val>
            <c:numRef>
              <c:extLst>
                <c:ext xmlns:c15="http://schemas.microsoft.com/office/drawing/2012/chart" uri="{02D57815-91ED-43cb-92C2-25804820EDAC}">
                  <c15:fullRef>
                    <c15:sqref>'Financial Model'!$J$114:$J$137</c15:sqref>
                  </c15:fullRef>
                </c:ext>
              </c:extLst>
              <c:f>('Financial Model'!$J$120,'Financial Model'!$J$125,'Financial Model'!$J$133)</c:f>
              <c:numCache>
                <c:formatCode>0</c:formatCode>
                <c:ptCount val="3"/>
                <c:pt idx="0">
                  <c:v>2243.4793508204689</c:v>
                </c:pt>
                <c:pt idx="1">
                  <c:v>-303.72674797267149</c:v>
                </c:pt>
                <c:pt idx="2">
                  <c:v>-1940.3399302753464</c:v>
                </c:pt>
              </c:numCache>
            </c:numRef>
          </c:val>
          <c:extLst>
            <c:ext xmlns:c16="http://schemas.microsoft.com/office/drawing/2014/chart" uri="{C3380CC4-5D6E-409C-BE32-E72D297353CC}">
              <c16:uniqueId val="{00000007-F9AB-492B-B9BB-8CC355B0BE95}"/>
            </c:ext>
          </c:extLst>
        </c:ser>
        <c:dLbls>
          <c:showLegendKey val="0"/>
          <c:showVal val="0"/>
          <c:showCatName val="0"/>
          <c:showSerName val="0"/>
          <c:showPercent val="0"/>
          <c:showBubbleSize val="0"/>
        </c:dLbls>
        <c:gapWidth val="100"/>
        <c:overlap val="-24"/>
        <c:axId val="316681663"/>
        <c:axId val="316689343"/>
      </c:barChart>
      <c:catAx>
        <c:axId val="31668166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t>
                </a:r>
              </a:p>
            </c:rich>
          </c:tx>
          <c:layout>
            <c:manualLayout>
              <c:xMode val="edge"/>
              <c:yMode val="edge"/>
              <c:x val="0.88011001749781281"/>
              <c:y val="0.9255548264800233"/>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6689343"/>
        <c:crosses val="autoZero"/>
        <c:auto val="1"/>
        <c:lblAlgn val="ctr"/>
        <c:lblOffset val="100"/>
        <c:noMultiLvlLbl val="0"/>
      </c:catAx>
      <c:valAx>
        <c:axId val="31668934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t>
                </a:r>
              </a:p>
              <a:p>
                <a:pPr>
                  <a:defRPr/>
                </a:pPr>
                <a:endParaRPr lang="en-IN"/>
              </a:p>
            </c:rich>
          </c:tx>
          <c:layout>
            <c:manualLayout>
              <c:xMode val="edge"/>
              <c:yMode val="edge"/>
              <c:x val="2.7777777777777779E-3"/>
              <c:y val="4.1666666666668241E-4"/>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6681663"/>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0</xdr:rowOff>
    </xdr:from>
    <xdr:to>
      <xdr:col>9</xdr:col>
      <xdr:colOff>60960</xdr:colOff>
      <xdr:row>18</xdr:row>
      <xdr:rowOff>19050</xdr:rowOff>
    </xdr:to>
    <xdr:graphicFrame macro="">
      <xdr:nvGraphicFramePr>
        <xdr:cNvPr id="2" name="Chart 1">
          <a:extLst>
            <a:ext uri="{FF2B5EF4-FFF2-40B4-BE49-F238E27FC236}">
              <a16:creationId xmlns:a16="http://schemas.microsoft.com/office/drawing/2014/main" id="{3090AC93-D8E5-4818-918B-47B2BAEDAB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2</xdr:row>
      <xdr:rowOff>0</xdr:rowOff>
    </xdr:from>
    <xdr:to>
      <xdr:col>19</xdr:col>
      <xdr:colOff>22860</xdr:colOff>
      <xdr:row>18</xdr:row>
      <xdr:rowOff>22860</xdr:rowOff>
    </xdr:to>
    <xdr:graphicFrame macro="">
      <xdr:nvGraphicFramePr>
        <xdr:cNvPr id="3" name="Chart 2">
          <a:extLst>
            <a:ext uri="{FF2B5EF4-FFF2-40B4-BE49-F238E27FC236}">
              <a16:creationId xmlns:a16="http://schemas.microsoft.com/office/drawing/2014/main" id="{1CB7A359-A540-4D93-9867-482FF6A833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22</xdr:row>
      <xdr:rowOff>0</xdr:rowOff>
    </xdr:from>
    <xdr:to>
      <xdr:col>8</xdr:col>
      <xdr:colOff>304800</xdr:colOff>
      <xdr:row>37</xdr:row>
      <xdr:rowOff>0</xdr:rowOff>
    </xdr:to>
    <xdr:graphicFrame macro="">
      <xdr:nvGraphicFramePr>
        <xdr:cNvPr id="4" name="Chart 3">
          <a:extLst>
            <a:ext uri="{FF2B5EF4-FFF2-40B4-BE49-F238E27FC236}">
              <a16:creationId xmlns:a16="http://schemas.microsoft.com/office/drawing/2014/main" id="{511CA528-0FB0-47F4-88DE-A9BD6D9206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Custom 1">
      <a:dk1>
        <a:sysClr val="windowText" lastClr="000000"/>
      </a:dk1>
      <a:lt1>
        <a:sysClr val="window" lastClr="FFFFFF"/>
      </a:lt1>
      <a:dk2>
        <a:srgbClr val="000000"/>
      </a:dk2>
      <a:lt2>
        <a:srgbClr val="E5DEDB"/>
      </a:lt2>
      <a:accent1>
        <a:srgbClr val="FFCA08"/>
      </a:accent1>
      <a:accent2>
        <a:srgbClr val="F8931D"/>
      </a:accent2>
      <a:accent3>
        <a:srgbClr val="CE8D3E"/>
      </a:accent3>
      <a:accent4>
        <a:srgbClr val="EC7016"/>
      </a:accent4>
      <a:accent5>
        <a:srgbClr val="E64823"/>
      </a:accent5>
      <a:accent6>
        <a:srgbClr val="9C6A6A"/>
      </a:accent6>
      <a:hlink>
        <a:srgbClr val="2998E3"/>
      </a:hlink>
      <a:folHlink>
        <a:srgbClr val="7F723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8ECDE-88EF-4472-BCF5-1F4133CAF5B7}">
  <dimension ref="A1:Q26"/>
  <sheetViews>
    <sheetView workbookViewId="0">
      <selection activeCell="S17" sqref="S17"/>
    </sheetView>
  </sheetViews>
  <sheetFormatPr defaultRowHeight="14.45"/>
  <cols>
    <col min="2" max="2" width="8.85546875" customWidth="1"/>
  </cols>
  <sheetData>
    <row r="1" spans="1:17">
      <c r="A1" s="74"/>
      <c r="B1" s="74"/>
      <c r="C1" s="74"/>
      <c r="D1" s="74"/>
      <c r="E1" s="74"/>
      <c r="F1" s="74"/>
      <c r="G1" s="74"/>
      <c r="H1" s="74"/>
      <c r="I1" s="74"/>
      <c r="J1" s="74"/>
      <c r="K1" s="74"/>
      <c r="L1" s="74"/>
      <c r="M1" s="74"/>
      <c r="N1" s="74"/>
      <c r="O1" s="74"/>
      <c r="P1" s="74"/>
      <c r="Q1" s="74"/>
    </row>
    <row r="2" spans="1:17" ht="30">
      <c r="A2" s="74"/>
      <c r="B2" s="75" t="s">
        <v>0</v>
      </c>
      <c r="C2" s="75"/>
      <c r="D2" s="75"/>
      <c r="E2" s="75"/>
      <c r="F2" s="75"/>
      <c r="G2" s="74"/>
      <c r="H2" s="74"/>
      <c r="I2" s="74"/>
      <c r="J2" s="74"/>
      <c r="K2" s="74"/>
      <c r="L2" s="74"/>
      <c r="M2" s="74"/>
      <c r="N2" s="74"/>
      <c r="O2" s="74"/>
      <c r="P2" s="74"/>
      <c r="Q2" s="74"/>
    </row>
    <row r="3" spans="1:17" ht="14.45" customHeight="1">
      <c r="A3" s="74"/>
      <c r="B3" s="77"/>
      <c r="C3" s="77"/>
      <c r="D3" s="77"/>
      <c r="E3" s="77"/>
      <c r="F3" s="77"/>
      <c r="G3" s="77"/>
      <c r="H3" s="77"/>
      <c r="I3" s="77"/>
      <c r="J3" s="77"/>
      <c r="K3" s="77"/>
      <c r="L3" s="77"/>
      <c r="M3" s="77"/>
      <c r="N3" s="77"/>
      <c r="O3" s="77"/>
      <c r="P3" s="77"/>
      <c r="Q3" s="77"/>
    </row>
    <row r="4" spans="1:17" ht="14.45" customHeight="1">
      <c r="A4" s="74"/>
      <c r="B4" s="76" t="s">
        <v>1</v>
      </c>
      <c r="C4" s="76"/>
      <c r="D4" s="76"/>
      <c r="E4" s="76"/>
      <c r="F4" s="76"/>
      <c r="G4" s="76"/>
      <c r="H4" s="76"/>
      <c r="I4" s="76"/>
      <c r="J4" s="76"/>
      <c r="K4" s="76"/>
      <c r="L4" s="76"/>
      <c r="M4" s="76"/>
      <c r="N4" s="76"/>
      <c r="O4" s="76"/>
      <c r="P4" s="76"/>
      <c r="Q4" s="76"/>
    </row>
    <row r="5" spans="1:17" ht="14.45" customHeight="1">
      <c r="A5" s="74"/>
      <c r="B5" s="76"/>
      <c r="C5" s="76"/>
      <c r="D5" s="76"/>
      <c r="E5" s="76"/>
      <c r="F5" s="76"/>
      <c r="G5" s="76"/>
      <c r="H5" s="76"/>
      <c r="I5" s="76"/>
      <c r="J5" s="76"/>
      <c r="K5" s="76"/>
      <c r="L5" s="76"/>
      <c r="M5" s="76"/>
      <c r="N5" s="76"/>
      <c r="O5" s="76"/>
      <c r="P5" s="76"/>
      <c r="Q5" s="76"/>
    </row>
    <row r="6" spans="1:17" ht="14.45" customHeight="1">
      <c r="A6" s="74"/>
      <c r="B6" s="76"/>
      <c r="C6" s="76"/>
      <c r="D6" s="76"/>
      <c r="E6" s="76"/>
      <c r="F6" s="76"/>
      <c r="G6" s="76"/>
      <c r="H6" s="76"/>
      <c r="I6" s="76"/>
      <c r="J6" s="76"/>
      <c r="K6" s="76"/>
      <c r="L6" s="76"/>
      <c r="M6" s="76"/>
      <c r="N6" s="76"/>
      <c r="O6" s="76"/>
      <c r="P6" s="76"/>
      <c r="Q6" s="76"/>
    </row>
    <row r="7" spans="1:17" ht="14.45" customHeight="1">
      <c r="A7" s="74"/>
      <c r="B7" s="76"/>
      <c r="C7" s="76"/>
      <c r="D7" s="76"/>
      <c r="E7" s="76"/>
      <c r="F7" s="76"/>
      <c r="G7" s="76"/>
      <c r="H7" s="76"/>
      <c r="I7" s="76"/>
      <c r="J7" s="76"/>
      <c r="K7" s="76"/>
      <c r="L7" s="76"/>
      <c r="M7" s="76"/>
      <c r="N7" s="76"/>
      <c r="O7" s="76"/>
      <c r="P7" s="76"/>
      <c r="Q7" s="76"/>
    </row>
    <row r="8" spans="1:17" ht="14.45" customHeight="1">
      <c r="A8" s="74"/>
      <c r="B8" s="76"/>
      <c r="C8" s="76"/>
      <c r="D8" s="76"/>
      <c r="E8" s="76"/>
      <c r="F8" s="76"/>
      <c r="G8" s="76"/>
      <c r="H8" s="76"/>
      <c r="I8" s="76"/>
      <c r="J8" s="76"/>
      <c r="K8" s="76"/>
      <c r="L8" s="76"/>
      <c r="M8" s="76"/>
      <c r="N8" s="76"/>
      <c r="O8" s="76"/>
      <c r="P8" s="76"/>
      <c r="Q8" s="76"/>
    </row>
    <row r="9" spans="1:17" ht="14.45" customHeight="1">
      <c r="A9" s="74"/>
      <c r="B9" s="76"/>
      <c r="C9" s="76"/>
      <c r="D9" s="76"/>
      <c r="E9" s="76"/>
      <c r="F9" s="76"/>
      <c r="G9" s="76"/>
      <c r="H9" s="76"/>
      <c r="I9" s="76"/>
      <c r="J9" s="76"/>
      <c r="K9" s="76"/>
      <c r="L9" s="76"/>
      <c r="M9" s="76"/>
      <c r="N9" s="76"/>
      <c r="O9" s="76"/>
      <c r="P9" s="76"/>
      <c r="Q9" s="76"/>
    </row>
    <row r="10" spans="1:17" ht="14.45" customHeight="1">
      <c r="A10" s="74"/>
      <c r="B10" s="76"/>
      <c r="C10" s="76"/>
      <c r="D10" s="76"/>
      <c r="E10" s="76"/>
      <c r="F10" s="76"/>
      <c r="G10" s="76"/>
      <c r="H10" s="76"/>
      <c r="I10" s="76"/>
      <c r="J10" s="76"/>
      <c r="K10" s="76"/>
      <c r="L10" s="76"/>
      <c r="M10" s="76"/>
      <c r="N10" s="76"/>
      <c r="O10" s="76"/>
      <c r="P10" s="76"/>
      <c r="Q10" s="76"/>
    </row>
    <row r="11" spans="1:17" ht="14.45" customHeight="1">
      <c r="A11" s="74"/>
      <c r="B11" s="76"/>
      <c r="C11" s="76"/>
      <c r="D11" s="76"/>
      <c r="E11" s="76"/>
      <c r="F11" s="76"/>
      <c r="G11" s="76"/>
      <c r="H11" s="76"/>
      <c r="I11" s="76"/>
      <c r="J11" s="76"/>
      <c r="K11" s="76"/>
      <c r="L11" s="76"/>
      <c r="M11" s="76"/>
      <c r="N11" s="76"/>
      <c r="O11" s="76"/>
      <c r="P11" s="76"/>
      <c r="Q11" s="76"/>
    </row>
    <row r="12" spans="1:17" ht="14.45" customHeight="1">
      <c r="A12" s="74"/>
      <c r="B12" s="76"/>
      <c r="C12" s="76"/>
      <c r="D12" s="76"/>
      <c r="E12" s="76"/>
      <c r="F12" s="76"/>
      <c r="G12" s="76"/>
      <c r="H12" s="76"/>
      <c r="I12" s="76"/>
      <c r="J12" s="76"/>
      <c r="K12" s="76"/>
      <c r="L12" s="76"/>
      <c r="M12" s="76"/>
      <c r="N12" s="76"/>
      <c r="O12" s="76"/>
      <c r="P12" s="76"/>
      <c r="Q12" s="76"/>
    </row>
    <row r="13" spans="1:17" ht="14.45" customHeight="1">
      <c r="A13" s="74"/>
      <c r="B13" s="76"/>
      <c r="C13" s="76"/>
      <c r="D13" s="76"/>
      <c r="E13" s="76"/>
      <c r="F13" s="76"/>
      <c r="G13" s="76"/>
      <c r="H13" s="76"/>
      <c r="I13" s="76"/>
      <c r="J13" s="76"/>
      <c r="K13" s="76"/>
      <c r="L13" s="76"/>
      <c r="M13" s="76"/>
      <c r="N13" s="76"/>
      <c r="O13" s="76"/>
      <c r="P13" s="76"/>
      <c r="Q13" s="76"/>
    </row>
    <row r="14" spans="1:17" ht="14.45" customHeight="1">
      <c r="A14" s="74"/>
      <c r="B14" s="76"/>
      <c r="C14" s="76"/>
      <c r="D14" s="76"/>
      <c r="E14" s="76"/>
      <c r="F14" s="76"/>
      <c r="G14" s="76"/>
      <c r="H14" s="76"/>
      <c r="I14" s="76"/>
      <c r="J14" s="76"/>
      <c r="K14" s="76"/>
      <c r="L14" s="76"/>
      <c r="M14" s="76"/>
      <c r="N14" s="76"/>
      <c r="O14" s="76"/>
      <c r="P14" s="76"/>
      <c r="Q14" s="76"/>
    </row>
    <row r="15" spans="1:17" ht="14.45" customHeight="1">
      <c r="A15" s="74"/>
      <c r="B15" s="76"/>
      <c r="C15" s="76"/>
      <c r="D15" s="76"/>
      <c r="E15" s="76"/>
      <c r="F15" s="76"/>
      <c r="G15" s="76"/>
      <c r="H15" s="76"/>
      <c r="I15" s="76"/>
      <c r="J15" s="76"/>
      <c r="K15" s="76"/>
      <c r="L15" s="76"/>
      <c r="M15" s="76"/>
      <c r="N15" s="76"/>
      <c r="O15" s="76"/>
      <c r="P15" s="76"/>
      <c r="Q15" s="76"/>
    </row>
    <row r="16" spans="1:17" ht="14.45" customHeight="1">
      <c r="A16" s="74"/>
      <c r="B16" s="76"/>
      <c r="C16" s="76"/>
      <c r="D16" s="76"/>
      <c r="E16" s="76"/>
      <c r="F16" s="76"/>
      <c r="G16" s="76"/>
      <c r="H16" s="76"/>
      <c r="I16" s="76"/>
      <c r="J16" s="76"/>
      <c r="K16" s="76"/>
      <c r="L16" s="76"/>
      <c r="M16" s="76"/>
      <c r="N16" s="76"/>
      <c r="O16" s="76"/>
      <c r="P16" s="76"/>
      <c r="Q16" s="76"/>
    </row>
    <row r="17" spans="1:17" ht="14.45" customHeight="1">
      <c r="A17" s="74"/>
      <c r="B17" s="76"/>
      <c r="C17" s="76"/>
      <c r="D17" s="76"/>
      <c r="E17" s="76"/>
      <c r="F17" s="76"/>
      <c r="G17" s="76"/>
      <c r="H17" s="76"/>
      <c r="I17" s="76"/>
      <c r="J17" s="76"/>
      <c r="K17" s="76"/>
      <c r="L17" s="76"/>
      <c r="M17" s="76"/>
      <c r="N17" s="76"/>
      <c r="O17" s="76"/>
      <c r="P17" s="76"/>
      <c r="Q17" s="76"/>
    </row>
    <row r="18" spans="1:17" ht="14.45" customHeight="1">
      <c r="A18" s="74"/>
      <c r="B18" s="76"/>
      <c r="C18" s="76"/>
      <c r="D18" s="76"/>
      <c r="E18" s="76"/>
      <c r="F18" s="76"/>
      <c r="G18" s="76"/>
      <c r="H18" s="76"/>
      <c r="I18" s="76"/>
      <c r="J18" s="76"/>
      <c r="K18" s="76"/>
      <c r="L18" s="76"/>
      <c r="M18" s="76"/>
      <c r="N18" s="76"/>
      <c r="O18" s="76"/>
      <c r="P18" s="76"/>
      <c r="Q18" s="76"/>
    </row>
    <row r="19" spans="1:17" ht="14.45" customHeight="1">
      <c r="A19" s="74"/>
      <c r="B19" s="76"/>
      <c r="C19" s="76"/>
      <c r="D19" s="76"/>
      <c r="E19" s="76"/>
      <c r="F19" s="76"/>
      <c r="G19" s="76"/>
      <c r="H19" s="76"/>
      <c r="I19" s="76"/>
      <c r="J19" s="76"/>
      <c r="K19" s="76"/>
      <c r="L19" s="76"/>
      <c r="M19" s="76"/>
      <c r="N19" s="76"/>
      <c r="O19" s="76"/>
      <c r="P19" s="76"/>
      <c r="Q19" s="76"/>
    </row>
    <row r="20" spans="1:17" ht="14.45" customHeight="1">
      <c r="A20" s="74"/>
      <c r="B20" s="76"/>
      <c r="C20" s="76"/>
      <c r="D20" s="76"/>
      <c r="E20" s="76"/>
      <c r="F20" s="76"/>
      <c r="G20" s="76"/>
      <c r="H20" s="76"/>
      <c r="I20" s="76"/>
      <c r="J20" s="76"/>
      <c r="K20" s="76"/>
      <c r="L20" s="76"/>
      <c r="M20" s="76"/>
      <c r="N20" s="76"/>
      <c r="O20" s="76"/>
      <c r="P20" s="76"/>
      <c r="Q20" s="76"/>
    </row>
    <row r="21" spans="1:17" ht="14.45" customHeight="1">
      <c r="B21" s="20"/>
      <c r="C21" s="20"/>
      <c r="D21" s="20"/>
      <c r="E21" s="20"/>
      <c r="F21" s="20"/>
      <c r="G21" s="20"/>
      <c r="H21" s="20"/>
      <c r="I21" s="20"/>
      <c r="J21" s="20"/>
      <c r="K21" s="20"/>
      <c r="L21" s="20"/>
      <c r="M21" s="20"/>
      <c r="N21" s="20"/>
      <c r="O21" s="20"/>
      <c r="P21" s="19"/>
      <c r="Q21" s="19"/>
    </row>
    <row r="22" spans="1:17" ht="14.45" customHeight="1">
      <c r="B22" s="20"/>
      <c r="C22" s="20"/>
      <c r="D22" s="20"/>
      <c r="E22" s="20"/>
      <c r="F22" s="20"/>
      <c r="G22" s="20"/>
      <c r="H22" s="20"/>
      <c r="I22" s="20"/>
      <c r="J22" s="20"/>
      <c r="K22" s="20"/>
      <c r="L22" s="20"/>
      <c r="M22" s="20"/>
      <c r="N22" s="20"/>
      <c r="O22" s="20"/>
      <c r="P22" s="19"/>
      <c r="Q22" s="19"/>
    </row>
    <row r="23" spans="1:17" ht="14.45" customHeight="1">
      <c r="B23" s="20"/>
      <c r="C23" s="20"/>
      <c r="D23" s="20"/>
      <c r="E23" s="20"/>
      <c r="F23" s="20"/>
      <c r="G23" s="20"/>
      <c r="H23" s="20"/>
      <c r="I23" s="20"/>
      <c r="J23" s="20"/>
      <c r="K23" s="20"/>
      <c r="L23" s="20"/>
      <c r="M23" s="20"/>
      <c r="N23" s="20"/>
      <c r="O23" s="20"/>
      <c r="P23" s="19"/>
      <c r="Q23" s="19"/>
    </row>
    <row r="24" spans="1:17" ht="14.45" customHeight="1">
      <c r="B24" s="20"/>
      <c r="C24" s="20"/>
      <c r="D24" s="20"/>
      <c r="E24" s="20"/>
      <c r="F24" s="20"/>
      <c r="G24" s="20"/>
      <c r="H24" s="20"/>
      <c r="I24" s="20"/>
      <c r="J24" s="20"/>
      <c r="K24" s="20"/>
      <c r="L24" s="20"/>
      <c r="M24" s="20"/>
      <c r="N24" s="20"/>
      <c r="O24" s="20"/>
      <c r="P24" s="19"/>
      <c r="Q24" s="19"/>
    </row>
    <row r="25" spans="1:17" ht="14.45" customHeight="1">
      <c r="B25" s="20"/>
      <c r="C25" s="20"/>
      <c r="D25" s="20"/>
      <c r="E25" s="20"/>
      <c r="F25" s="20"/>
      <c r="G25" s="20"/>
      <c r="H25" s="20"/>
      <c r="I25" s="20"/>
      <c r="J25" s="20"/>
      <c r="K25" s="20"/>
      <c r="L25" s="20"/>
      <c r="M25" s="20"/>
      <c r="N25" s="20"/>
      <c r="O25" s="20"/>
      <c r="P25" s="19"/>
      <c r="Q25" s="19"/>
    </row>
    <row r="26" spans="1:17" ht="14.45" customHeight="1">
      <c r="B26" s="19"/>
      <c r="C26" s="19"/>
      <c r="D26" s="19"/>
      <c r="E26" s="19"/>
      <c r="F26" s="19"/>
      <c r="G26" s="19"/>
      <c r="H26" s="19"/>
      <c r="I26" s="19"/>
      <c r="J26" s="19"/>
      <c r="K26" s="19"/>
      <c r="L26" s="19"/>
      <c r="M26" s="19"/>
      <c r="N26" s="19"/>
      <c r="O26" s="19"/>
      <c r="P26" s="19"/>
    </row>
  </sheetData>
  <mergeCells count="6">
    <mergeCell ref="A1:A20"/>
    <mergeCell ref="B1:Q1"/>
    <mergeCell ref="G2:Q2"/>
    <mergeCell ref="B2:F2"/>
    <mergeCell ref="B4:Q20"/>
    <mergeCell ref="B3:Q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BDB02-DB4F-4E0C-8B8D-B0DD6A6C1240}">
  <dimension ref="A2:K139"/>
  <sheetViews>
    <sheetView topLeftCell="A152" zoomScale="98" workbookViewId="0">
      <selection activeCell="P7" sqref="P7"/>
    </sheetView>
  </sheetViews>
  <sheetFormatPr defaultColWidth="8.85546875" defaultRowHeight="15.6"/>
  <cols>
    <col min="1" max="1" width="8.85546875" style="1"/>
    <col min="2" max="2" width="36.5703125" style="1" bestFit="1" customWidth="1"/>
    <col min="3" max="3" width="11.7109375" style="1" bestFit="1" customWidth="1"/>
    <col min="4" max="4" width="12.28515625" style="1" bestFit="1" customWidth="1"/>
    <col min="5" max="5" width="11.7109375" style="1" bestFit="1" customWidth="1"/>
    <col min="6" max="10" width="11.7109375" style="1" customWidth="1"/>
    <col min="11" max="16384" width="8.85546875" style="1"/>
  </cols>
  <sheetData>
    <row r="2" spans="2:10" ht="36.6">
      <c r="B2" s="72" t="s">
        <v>2</v>
      </c>
    </row>
    <row r="4" spans="2:10">
      <c r="B4" s="2" t="s">
        <v>3</v>
      </c>
      <c r="C4" s="3">
        <v>43830</v>
      </c>
      <c r="D4" s="3">
        <v>44196</v>
      </c>
      <c r="E4" s="3">
        <v>44561</v>
      </c>
      <c r="F4" s="3">
        <v>44926</v>
      </c>
      <c r="G4" s="3">
        <v>45291</v>
      </c>
      <c r="H4" s="3">
        <v>45657</v>
      </c>
      <c r="I4" s="3">
        <v>46022</v>
      </c>
      <c r="J4" s="3">
        <v>46387</v>
      </c>
    </row>
    <row r="6" spans="2:10">
      <c r="B6" s="4" t="s">
        <v>4</v>
      </c>
      <c r="C6" s="5">
        <f>C65/C9</f>
        <v>35300</v>
      </c>
      <c r="D6" s="5">
        <f t="shared" ref="D6:E6" si="0">D65/D9</f>
        <v>31594.117647058822</v>
      </c>
      <c r="E6" s="5">
        <f t="shared" si="0"/>
        <v>35711.111111111109</v>
      </c>
      <c r="F6" s="5">
        <f>E6*(1+F7)</f>
        <v>37496.666666666664</v>
      </c>
      <c r="G6" s="5">
        <f t="shared" ref="G6:J6" si="1">F6*(1+G7)</f>
        <v>39371.5</v>
      </c>
      <c r="H6" s="5">
        <f t="shared" si="1"/>
        <v>40946.36</v>
      </c>
      <c r="I6" s="5">
        <f t="shared" si="1"/>
        <v>42584.214400000004</v>
      </c>
      <c r="J6" s="5">
        <f t="shared" si="1"/>
        <v>43861.740832000003</v>
      </c>
    </row>
    <row r="7" spans="2:10">
      <c r="B7" s="6" t="s">
        <v>5</v>
      </c>
      <c r="D7" s="7">
        <f>D6/C6-1</f>
        <v>-0.10498250291618072</v>
      </c>
      <c r="E7" s="7">
        <f>E6/D6-1</f>
        <v>0.13030886034051181</v>
      </c>
      <c r="F7" s="8">
        <v>0.05</v>
      </c>
      <c r="G7" s="8">
        <v>0.05</v>
      </c>
      <c r="H7" s="8">
        <v>0.04</v>
      </c>
      <c r="I7" s="8">
        <v>0.04</v>
      </c>
      <c r="J7" s="8">
        <v>0.03</v>
      </c>
    </row>
    <row r="9" spans="2:10">
      <c r="B9" s="4" t="s">
        <v>6</v>
      </c>
      <c r="C9" s="8">
        <v>0.16</v>
      </c>
      <c r="D9" s="8">
        <v>0.17</v>
      </c>
      <c r="E9" s="8">
        <v>0.18</v>
      </c>
      <c r="F9" s="8">
        <v>0.18</v>
      </c>
      <c r="G9" s="8">
        <v>0.182</v>
      </c>
      <c r="H9" s="8">
        <v>0.184</v>
      </c>
      <c r="I9" s="8">
        <v>0.185</v>
      </c>
      <c r="J9" s="8">
        <v>0.185</v>
      </c>
    </row>
    <row r="11" spans="2:10">
      <c r="B11" s="4" t="s">
        <v>7</v>
      </c>
      <c r="C11" s="9">
        <v>2</v>
      </c>
      <c r="D11" s="9">
        <v>2.1</v>
      </c>
      <c r="E11" s="9">
        <v>2.15</v>
      </c>
      <c r="F11" s="10">
        <f>E11*(1+F12)</f>
        <v>2.2145000000000001</v>
      </c>
      <c r="G11" s="10">
        <f t="shared" ref="G11:J11" si="2">F11*(1+G12)</f>
        <v>2.2809350000000004</v>
      </c>
      <c r="H11" s="10">
        <f t="shared" si="2"/>
        <v>2.3493630500000005</v>
      </c>
      <c r="I11" s="10">
        <f t="shared" si="2"/>
        <v>2.4198439415000004</v>
      </c>
      <c r="J11" s="10">
        <f t="shared" si="2"/>
        <v>2.4924392597450002</v>
      </c>
    </row>
    <row r="12" spans="2:10">
      <c r="B12" s="6" t="s">
        <v>5</v>
      </c>
      <c r="D12" s="7">
        <f>D11/C11-1</f>
        <v>5.0000000000000044E-2</v>
      </c>
      <c r="E12" s="7">
        <f>E11/D11-1</f>
        <v>2.3809523809523725E-2</v>
      </c>
      <c r="F12" s="8">
        <v>0.03</v>
      </c>
      <c r="G12" s="8">
        <v>0.03</v>
      </c>
      <c r="H12" s="8">
        <v>0.03</v>
      </c>
      <c r="I12" s="8">
        <v>0.03</v>
      </c>
      <c r="J12" s="8">
        <v>0.03</v>
      </c>
    </row>
    <row r="14" spans="2:10">
      <c r="B14" s="4" t="s">
        <v>8</v>
      </c>
      <c r="C14" s="5">
        <f>C66/C11</f>
        <v>3735</v>
      </c>
      <c r="D14" s="5">
        <f t="shared" ref="D14:E14" si="3">D66/D11</f>
        <v>3516.6666666666665</v>
      </c>
      <c r="E14" s="5">
        <f t="shared" si="3"/>
        <v>3660.4651162790701</v>
      </c>
      <c r="F14" s="5">
        <f>E14*(1+F15)</f>
        <v>3806.8837209302333</v>
      </c>
      <c r="G14" s="5">
        <f t="shared" ref="G14:J14" si="4">F14*(1+G15)</f>
        <v>3940.124651162791</v>
      </c>
      <c r="H14" s="5">
        <f t="shared" si="4"/>
        <v>4078.0290139534882</v>
      </c>
      <c r="I14" s="5">
        <f t="shared" si="4"/>
        <v>4200.3698843720931</v>
      </c>
      <c r="J14" s="5">
        <f t="shared" si="4"/>
        <v>4326.3809809032564</v>
      </c>
    </row>
    <row r="15" spans="2:10">
      <c r="B15" s="6" t="s">
        <v>5</v>
      </c>
      <c r="D15" s="7">
        <f>D14/C14-1</f>
        <v>-5.8456046407853623E-2</v>
      </c>
      <c r="E15" s="7">
        <f>E14/D14-1</f>
        <v>4.0890554392152723E-2</v>
      </c>
      <c r="F15" s="8">
        <v>0.04</v>
      </c>
      <c r="G15" s="8">
        <v>3.5000000000000003E-2</v>
      </c>
      <c r="H15" s="8">
        <v>3.5000000000000003E-2</v>
      </c>
      <c r="I15" s="8">
        <v>0.03</v>
      </c>
      <c r="J15" s="8">
        <v>0.03</v>
      </c>
    </row>
    <row r="17" spans="2:11">
      <c r="B17" s="4" t="s">
        <v>9</v>
      </c>
      <c r="C17" s="7">
        <f>-C69/C65</f>
        <v>0.82152974504249288</v>
      </c>
      <c r="D17" s="7">
        <f t="shared" ref="D17:E17" si="5">-D69/D65</f>
        <v>0.82647551666356356</v>
      </c>
      <c r="E17" s="7">
        <f t="shared" si="5"/>
        <v>0.82342874922215303</v>
      </c>
      <c r="F17" s="7">
        <f>AVERAGE(C17:E17)</f>
        <v>0.82381133697606979</v>
      </c>
      <c r="G17" s="7">
        <f>F17</f>
        <v>0.82381133697606979</v>
      </c>
      <c r="H17" s="7">
        <f>G17</f>
        <v>0.82381133697606979</v>
      </c>
      <c r="I17" s="7">
        <f t="shared" ref="I17:J17" si="6">H17</f>
        <v>0.82381133697606979</v>
      </c>
      <c r="J17" s="7">
        <f t="shared" si="6"/>
        <v>0.82381133697606979</v>
      </c>
      <c r="K17" s="7"/>
    </row>
    <row r="18" spans="2:11">
      <c r="B18" s="4" t="s">
        <v>10</v>
      </c>
      <c r="C18" s="7">
        <f>-C70/C66</f>
        <v>0.62275769745649268</v>
      </c>
      <c r="D18" s="7">
        <f t="shared" ref="D18:E18" si="7">-D70/D66</f>
        <v>0.61448882870683819</v>
      </c>
      <c r="E18" s="7">
        <f t="shared" si="7"/>
        <v>0.61143583227445997</v>
      </c>
      <c r="F18" s="7">
        <f t="shared" ref="F18:F30" si="8">AVERAGE(C18:E18)</f>
        <v>0.61622745281259694</v>
      </c>
      <c r="G18" s="7">
        <f>F18</f>
        <v>0.61622745281259694</v>
      </c>
      <c r="H18" s="7">
        <f t="shared" ref="H18:J18" si="9">G18</f>
        <v>0.61622745281259694</v>
      </c>
      <c r="I18" s="7">
        <f t="shared" si="9"/>
        <v>0.61622745281259694</v>
      </c>
      <c r="J18" s="7">
        <f t="shared" si="9"/>
        <v>0.61622745281259694</v>
      </c>
      <c r="K18" s="7"/>
    </row>
    <row r="19" spans="2:11">
      <c r="B19" s="4" t="s">
        <v>11</v>
      </c>
      <c r="C19" s="7">
        <f>-C71/C67</f>
        <v>0.15040402500381156</v>
      </c>
      <c r="D19" s="7">
        <f t="shared" ref="D19:E19" si="10">-D71/D67</f>
        <v>0.16274694261523989</v>
      </c>
      <c r="E19" s="7">
        <f t="shared" si="10"/>
        <v>0.1473632675898727</v>
      </c>
      <c r="F19" s="7">
        <f t="shared" si="8"/>
        <v>0.1535047450696414</v>
      </c>
      <c r="G19" s="7">
        <f>F19</f>
        <v>0.1535047450696414</v>
      </c>
      <c r="H19" s="7">
        <f t="shared" ref="H19:J19" si="11">G19</f>
        <v>0.1535047450696414</v>
      </c>
      <c r="I19" s="7">
        <f t="shared" si="11"/>
        <v>0.1535047450696414</v>
      </c>
      <c r="J19" s="7">
        <f t="shared" si="11"/>
        <v>0.1535047450696414</v>
      </c>
    </row>
    <row r="20" spans="2:11">
      <c r="F20" s="7"/>
    </row>
    <row r="21" spans="2:11">
      <c r="B21" s="4" t="s">
        <v>12</v>
      </c>
      <c r="C21" s="7">
        <f>-C79/C77</f>
        <v>0.31918323481998923</v>
      </c>
      <c r="D21" s="7">
        <f t="shared" ref="D21:E21" si="12">-D79/D77</f>
        <v>0.3011250827266711</v>
      </c>
      <c r="E21" s="7">
        <f t="shared" si="12"/>
        <v>0.27587965323814378</v>
      </c>
      <c r="F21" s="7">
        <f t="shared" si="8"/>
        <v>0.2987293235949347</v>
      </c>
      <c r="G21" s="7">
        <f>F21</f>
        <v>0.2987293235949347</v>
      </c>
      <c r="H21" s="7">
        <f t="shared" ref="H21:J21" si="13">G21</f>
        <v>0.2987293235949347</v>
      </c>
      <c r="I21" s="7">
        <f t="shared" si="13"/>
        <v>0.2987293235949347</v>
      </c>
      <c r="J21" s="7">
        <f t="shared" si="13"/>
        <v>0.2987293235949347</v>
      </c>
    </row>
    <row r="22" spans="2:11">
      <c r="B22" s="4" t="s">
        <v>13</v>
      </c>
      <c r="C22" s="7">
        <f>-C82/C81</f>
        <v>0.11917916337805841</v>
      </c>
      <c r="D22" s="7">
        <f t="shared" ref="D22:E22" si="14">-D82/D81</f>
        <v>0.14204545454545456</v>
      </c>
      <c r="E22" s="7">
        <f t="shared" si="14"/>
        <v>0.12253521126760564</v>
      </c>
      <c r="F22" s="7">
        <f t="shared" si="8"/>
        <v>0.12791994306370622</v>
      </c>
      <c r="G22" s="7">
        <f>F22</f>
        <v>0.12791994306370622</v>
      </c>
      <c r="H22" s="7">
        <f t="shared" ref="H22:J22" si="15">G22</f>
        <v>0.12791994306370622</v>
      </c>
      <c r="I22" s="7">
        <f t="shared" si="15"/>
        <v>0.12791994306370622</v>
      </c>
      <c r="J22" s="7">
        <f t="shared" si="15"/>
        <v>0.12791994306370622</v>
      </c>
    </row>
    <row r="23" spans="2:11">
      <c r="F23" s="7"/>
    </row>
    <row r="24" spans="2:11">
      <c r="B24" s="4" t="s">
        <v>14</v>
      </c>
      <c r="C24" s="12"/>
      <c r="D24" s="7">
        <f>D89/D67</f>
        <v>0.24678582627783005</v>
      </c>
      <c r="E24" s="7">
        <f>E89/E67</f>
        <v>0.22604560078332633</v>
      </c>
      <c r="F24" s="7">
        <f t="shared" si="8"/>
        <v>0.23641571353057819</v>
      </c>
      <c r="G24" s="7">
        <f>F24</f>
        <v>0.23641571353057819</v>
      </c>
      <c r="H24" s="7">
        <f t="shared" ref="H24:J24" si="16">G24</f>
        <v>0.23641571353057819</v>
      </c>
      <c r="I24" s="7">
        <f t="shared" si="16"/>
        <v>0.23641571353057819</v>
      </c>
      <c r="J24" s="7">
        <f t="shared" si="16"/>
        <v>0.23641571353057819</v>
      </c>
    </row>
    <row r="25" spans="2:11">
      <c r="B25" s="4" t="s">
        <v>15</v>
      </c>
      <c r="C25" s="12"/>
      <c r="D25" s="7">
        <f>-D90/SUM(D69:D70)</f>
        <v>0.1722178901637518</v>
      </c>
      <c r="E25" s="7">
        <f>-E90/SUM(E69:E70)</f>
        <v>0.15378525482434438</v>
      </c>
      <c r="F25" s="7">
        <f t="shared" si="8"/>
        <v>0.16300157249404809</v>
      </c>
      <c r="G25" s="7">
        <f>F25</f>
        <v>0.16300157249404809</v>
      </c>
      <c r="H25" s="7">
        <f t="shared" ref="H25:J25" si="17">G25</f>
        <v>0.16300157249404809</v>
      </c>
      <c r="I25" s="7">
        <f t="shared" si="17"/>
        <v>0.16300157249404809</v>
      </c>
      <c r="J25" s="7">
        <f t="shared" si="17"/>
        <v>0.16300157249404809</v>
      </c>
    </row>
    <row r="26" spans="2:11">
      <c r="B26" s="4" t="s">
        <v>16</v>
      </c>
      <c r="C26" s="12"/>
      <c r="D26" s="7">
        <f>-D92/D71</f>
        <v>0.26107899807321772</v>
      </c>
      <c r="E26" s="7">
        <f>-E92/E71</f>
        <v>0.24964404366397722</v>
      </c>
      <c r="F26" s="7">
        <f t="shared" si="8"/>
        <v>0.25536152086859748</v>
      </c>
      <c r="G26" s="7">
        <f>F26</f>
        <v>0.25536152086859748</v>
      </c>
      <c r="H26" s="7">
        <f t="shared" ref="H26:J26" si="18">G26</f>
        <v>0.25536152086859748</v>
      </c>
      <c r="I26" s="7">
        <f t="shared" si="18"/>
        <v>0.25536152086859748</v>
      </c>
      <c r="J26" s="7">
        <f t="shared" si="18"/>
        <v>0.25536152086859748</v>
      </c>
    </row>
    <row r="27" spans="2:11">
      <c r="C27" s="12"/>
      <c r="D27" s="12"/>
      <c r="E27" s="12"/>
      <c r="F27" s="7"/>
      <c r="G27" s="12"/>
      <c r="H27" s="12"/>
      <c r="I27" s="12"/>
      <c r="J27" s="12"/>
    </row>
    <row r="28" spans="2:11">
      <c r="B28" s="4" t="s">
        <v>17</v>
      </c>
      <c r="C28" s="12"/>
      <c r="D28" s="7">
        <f>-D97/SUM(D69:D70)</f>
        <v>0.1618580817645093</v>
      </c>
      <c r="E28" s="7">
        <f>-E97/SUM(E69:E70)</f>
        <v>0.15398317664522512</v>
      </c>
      <c r="F28" s="7">
        <f t="shared" si="8"/>
        <v>0.15792062920486721</v>
      </c>
      <c r="G28" s="7">
        <f>F28</f>
        <v>0.15792062920486721</v>
      </c>
      <c r="H28" s="7">
        <f t="shared" ref="H28:J28" si="19">G28</f>
        <v>0.15792062920486721</v>
      </c>
      <c r="I28" s="7">
        <f t="shared" si="19"/>
        <v>0.15792062920486721</v>
      </c>
      <c r="J28" s="7">
        <f t="shared" si="19"/>
        <v>0.15792062920486721</v>
      </c>
    </row>
    <row r="29" spans="2:11">
      <c r="B29" s="4" t="s">
        <v>18</v>
      </c>
      <c r="C29" s="12"/>
      <c r="D29" s="7">
        <f>-D98/SUM(D69:D71)</f>
        <v>0.1788654663892156</v>
      </c>
      <c r="E29" s="7">
        <f>-E98/SUM(E69:E71)</f>
        <v>0.16320013101867015</v>
      </c>
      <c r="F29" s="7">
        <f t="shared" si="8"/>
        <v>0.17103279870394289</v>
      </c>
      <c r="G29" s="7">
        <f>F29</f>
        <v>0.17103279870394289</v>
      </c>
      <c r="H29" s="7">
        <f t="shared" ref="H29:J29" si="20">G29</f>
        <v>0.17103279870394289</v>
      </c>
      <c r="I29" s="7">
        <f t="shared" si="20"/>
        <v>0.17103279870394289</v>
      </c>
      <c r="J29" s="7">
        <f t="shared" si="20"/>
        <v>0.17103279870394289</v>
      </c>
    </row>
    <row r="30" spans="2:11">
      <c r="B30" s="4" t="s">
        <v>19</v>
      </c>
      <c r="C30" s="12"/>
      <c r="D30" s="7">
        <f>-D99/SUM(D69:D71)</f>
        <v>0.22998281009680629</v>
      </c>
      <c r="E30" s="7">
        <f>-E99/SUM(E69:E71)</f>
        <v>0.21896495250573206</v>
      </c>
      <c r="F30" s="7">
        <f t="shared" si="8"/>
        <v>0.22447388130126916</v>
      </c>
      <c r="G30" s="7">
        <f>F30</f>
        <v>0.22447388130126916</v>
      </c>
      <c r="H30" s="7">
        <f t="shared" ref="H30:J30" si="21">G30</f>
        <v>0.22447388130126916</v>
      </c>
      <c r="I30" s="7">
        <f t="shared" si="21"/>
        <v>0.22447388130126916</v>
      </c>
      <c r="J30" s="7">
        <f t="shared" si="21"/>
        <v>0.22447388130126916</v>
      </c>
    </row>
    <row r="31" spans="2:11">
      <c r="B31" s="4" t="s">
        <v>20</v>
      </c>
      <c r="C31" s="12"/>
      <c r="D31" s="7">
        <f>-D102/SUM(D69:D71)</f>
        <v>0.14557133809825387</v>
      </c>
      <c r="E31" s="7">
        <f>-E102/SUM(E69:E71)</f>
        <v>0.11717982312479529</v>
      </c>
      <c r="F31" s="7">
        <f>AVERAGE(C31:E31)</f>
        <v>0.13137558061152457</v>
      </c>
      <c r="G31" s="7">
        <f>F31</f>
        <v>0.13137558061152457</v>
      </c>
      <c r="H31" s="7">
        <f t="shared" ref="H31:J31" si="22">G31</f>
        <v>0.13137558061152457</v>
      </c>
      <c r="I31" s="7">
        <f t="shared" si="22"/>
        <v>0.13137558061152457</v>
      </c>
      <c r="J31" s="7">
        <f t="shared" si="22"/>
        <v>0.13137558061152457</v>
      </c>
    </row>
    <row r="32" spans="2:11">
      <c r="F32" s="7"/>
    </row>
    <row r="33" spans="2:10">
      <c r="B33" s="4" t="s">
        <v>21</v>
      </c>
      <c r="C33" s="7">
        <f>-C123/C67</f>
        <v>1.1053514255221832E-2</v>
      </c>
      <c r="D33" s="7">
        <f t="shared" ref="D33:E33" si="23">-D123/D67</f>
        <v>1.4346190028222013E-2</v>
      </c>
      <c r="E33" s="7">
        <f t="shared" si="23"/>
        <v>1.0910616869492237E-2</v>
      </c>
      <c r="F33" s="7">
        <f t="shared" ref="F33:F35" si="24">AVERAGE(C33:E33)</f>
        <v>1.2103440384312028E-2</v>
      </c>
      <c r="G33" s="7">
        <f>F33</f>
        <v>1.2103440384312028E-2</v>
      </c>
      <c r="H33" s="7">
        <f t="shared" ref="H33:J33" si="25">G33</f>
        <v>1.2103440384312028E-2</v>
      </c>
      <c r="I33" s="7">
        <f t="shared" si="25"/>
        <v>1.2103440384312028E-2</v>
      </c>
      <c r="J33" s="7">
        <f t="shared" si="25"/>
        <v>1.2103440384312028E-2</v>
      </c>
    </row>
    <row r="34" spans="2:10">
      <c r="B34" s="4" t="s">
        <v>22</v>
      </c>
      <c r="C34" s="7">
        <f>C117/C67</f>
        <v>1.3721603903033999E-2</v>
      </c>
      <c r="D34" s="7">
        <f t="shared" ref="D34:E34" si="26">D117/D67</f>
        <v>1.4973345876450299E-2</v>
      </c>
      <c r="E34" s="7">
        <f t="shared" si="26"/>
        <v>1.4197789900685411E-2</v>
      </c>
      <c r="F34" s="7">
        <f t="shared" si="24"/>
        <v>1.4297579893389903E-2</v>
      </c>
      <c r="G34" s="7">
        <f>F34</f>
        <v>1.4297579893389903E-2</v>
      </c>
      <c r="H34" s="7">
        <f t="shared" ref="H34:J34" si="27">G34</f>
        <v>1.4297579893389903E-2</v>
      </c>
      <c r="I34" s="7">
        <f t="shared" si="27"/>
        <v>1.4297579893389903E-2</v>
      </c>
      <c r="J34" s="7">
        <f t="shared" si="27"/>
        <v>1.4297579893389903E-2</v>
      </c>
    </row>
    <row r="35" spans="2:10">
      <c r="B35" s="4" t="s">
        <v>23</v>
      </c>
      <c r="C35" s="7">
        <f>C118/C67</f>
        <v>4.1164811709102E-3</v>
      </c>
      <c r="D35" s="7">
        <f t="shared" ref="D35:E35" si="28">D118/D67</f>
        <v>1.2229539040451553E-2</v>
      </c>
      <c r="E35" s="7">
        <f t="shared" si="28"/>
        <v>-2.3080151070079733E-3</v>
      </c>
      <c r="F35" s="7">
        <f t="shared" si="24"/>
        <v>4.6793350347845934E-3</v>
      </c>
      <c r="G35" s="7">
        <f>F35</f>
        <v>4.6793350347845934E-3</v>
      </c>
      <c r="H35" s="7">
        <f t="shared" ref="H35:J35" si="29">G35</f>
        <v>4.6793350347845934E-3</v>
      </c>
      <c r="I35" s="7">
        <f t="shared" si="29"/>
        <v>4.6793350347845934E-3</v>
      </c>
      <c r="J35" s="7">
        <f t="shared" si="29"/>
        <v>4.6793350347845934E-3</v>
      </c>
    </row>
    <row r="37" spans="2:10">
      <c r="B37" s="4" t="s">
        <v>24</v>
      </c>
      <c r="C37" s="13">
        <f>C124</f>
        <v>-58</v>
      </c>
      <c r="D37" s="13">
        <f t="shared" ref="D37:E37" si="30">D124</f>
        <v>-170</v>
      </c>
      <c r="E37" s="13">
        <f t="shared" si="30"/>
        <v>67</v>
      </c>
      <c r="F37" s="14">
        <v>-75</v>
      </c>
      <c r="G37" s="13">
        <f>F37</f>
        <v>-75</v>
      </c>
      <c r="H37" s="13">
        <f t="shared" ref="H37:J37" si="31">G37</f>
        <v>-75</v>
      </c>
      <c r="I37" s="13">
        <f t="shared" si="31"/>
        <v>-75</v>
      </c>
      <c r="J37" s="13">
        <f t="shared" si="31"/>
        <v>-75</v>
      </c>
    </row>
    <row r="39" spans="2:10">
      <c r="B39" s="4" t="s">
        <v>25</v>
      </c>
      <c r="E39" s="15">
        <v>3000</v>
      </c>
    </row>
    <row r="40" spans="2:10">
      <c r="B40" s="4" t="s">
        <v>26</v>
      </c>
      <c r="F40" s="5">
        <f>E88+F120+F125+F129+F131+F135-$E$39</f>
        <v>1654.6223864893436</v>
      </c>
      <c r="G40" s="5">
        <f t="shared" ref="G40:J40" si="32">F88+G120+G125+G129+G131+G135-$E$39</f>
        <v>1022.1419276514534</v>
      </c>
      <c r="H40" s="5">
        <f t="shared" si="32"/>
        <v>1045.8087874340235</v>
      </c>
      <c r="I40" s="5">
        <f t="shared" si="32"/>
        <v>1085.4837364468235</v>
      </c>
      <c r="J40" s="5">
        <f t="shared" si="32"/>
        <v>1124.2962186090426</v>
      </c>
    </row>
    <row r="41" spans="2:10">
      <c r="B41" s="6" t="s">
        <v>27</v>
      </c>
      <c r="E41" s="16">
        <v>0.85</v>
      </c>
      <c r="F41" s="5"/>
    </row>
    <row r="42" spans="2:10">
      <c r="B42" s="6" t="s">
        <v>28</v>
      </c>
      <c r="E42" s="16">
        <v>0.15</v>
      </c>
      <c r="F42" s="5"/>
    </row>
    <row r="44" spans="2:10">
      <c r="B44" s="4" t="s">
        <v>29</v>
      </c>
      <c r="C44" s="12"/>
      <c r="D44" s="7">
        <f>-D76/D100</f>
        <v>2.0459500251551233E-2</v>
      </c>
      <c r="E44" s="7">
        <f>-E76/E100</f>
        <v>1.8699298776295888E-2</v>
      </c>
      <c r="F44" s="16">
        <v>2.5000000000000001E-2</v>
      </c>
      <c r="G44" s="16">
        <v>0.03</v>
      </c>
      <c r="H44" s="16">
        <v>0.03</v>
      </c>
      <c r="I44" s="16">
        <v>3.5000000000000003E-2</v>
      </c>
      <c r="J44" s="16">
        <v>3.5000000000000003E-2</v>
      </c>
    </row>
    <row r="46" spans="2:10">
      <c r="B46" s="4" t="s">
        <v>30</v>
      </c>
      <c r="F46" s="13">
        <f>IF(F40&lt;0,-F40,-F40*$E$42)</f>
        <v>-248.19335797340153</v>
      </c>
      <c r="G46" s="13">
        <f t="shared" ref="G46:J46" si="33">IF(G40&lt;0,-G40,-G40*$E$42)</f>
        <v>-153.32128914771801</v>
      </c>
      <c r="H46" s="13">
        <f t="shared" si="33"/>
        <v>-156.87131811510352</v>
      </c>
      <c r="I46" s="13">
        <f t="shared" si="33"/>
        <v>-162.82256046702352</v>
      </c>
      <c r="J46" s="13">
        <f t="shared" si="33"/>
        <v>-168.64443279135639</v>
      </c>
    </row>
    <row r="47" spans="2:10">
      <c r="B47" s="4" t="s">
        <v>31</v>
      </c>
      <c r="C47" s="7">
        <f>-C129/C83</f>
        <v>0</v>
      </c>
      <c r="D47" s="7">
        <f t="shared" ref="D47:E47" si="34">-D129/D83</f>
        <v>0.28697571743929362</v>
      </c>
      <c r="E47" s="7">
        <f t="shared" si="34"/>
        <v>0.31540930979133225</v>
      </c>
      <c r="F47" s="17">
        <v>0.35</v>
      </c>
      <c r="G47" s="16">
        <v>0.375</v>
      </c>
      <c r="H47" s="16">
        <v>0.4</v>
      </c>
      <c r="I47" s="16">
        <v>0.4</v>
      </c>
      <c r="J47" s="16">
        <v>0.4</v>
      </c>
    </row>
    <row r="48" spans="2:10">
      <c r="B48" s="4" t="s">
        <v>32</v>
      </c>
      <c r="C48" s="12"/>
      <c r="F48" s="13">
        <f>IF(F46&lt;0,-F40*$E$41,0)</f>
        <v>-1406.429028515942</v>
      </c>
      <c r="G48" s="13">
        <f t="shared" ref="G48:J48" si="35">IF(G46&lt;0,-G40*$E$41,0)</f>
        <v>-868.82063850373538</v>
      </c>
      <c r="H48" s="13">
        <f t="shared" si="35"/>
        <v>-888.93746931891997</v>
      </c>
      <c r="I48" s="13">
        <f t="shared" si="35"/>
        <v>-922.66117597979996</v>
      </c>
      <c r="J48" s="13">
        <f t="shared" si="35"/>
        <v>-955.65178581768623</v>
      </c>
    </row>
    <row r="49" spans="1:11">
      <c r="B49" s="4" t="s">
        <v>33</v>
      </c>
      <c r="C49" s="18">
        <f t="shared" ref="C49:D49" si="36">-C131/C116</f>
        <v>1.0794701986754967</v>
      </c>
      <c r="D49" s="18">
        <f t="shared" si="36"/>
        <v>0.99333333333333329</v>
      </c>
      <c r="E49" s="18">
        <f>-E131/E116</f>
        <v>0.89080459770114939</v>
      </c>
      <c r="F49" s="11">
        <f>AVERAGE(C49:E49)</f>
        <v>0.98786937656999319</v>
      </c>
      <c r="G49" s="7">
        <f>F49</f>
        <v>0.98786937656999319</v>
      </c>
      <c r="H49" s="7">
        <f t="shared" ref="H49:J49" si="37">G49</f>
        <v>0.98786937656999319</v>
      </c>
      <c r="I49" s="7">
        <f t="shared" si="37"/>
        <v>0.98786937656999319</v>
      </c>
      <c r="J49" s="7">
        <f t="shared" si="37"/>
        <v>0.98786937656999319</v>
      </c>
    </row>
    <row r="51" spans="1:11">
      <c r="B51" s="4" t="s">
        <v>34</v>
      </c>
      <c r="E51" s="7">
        <f>-E132/E128</f>
        <v>3.2000000000000001E-2</v>
      </c>
      <c r="F51" s="17">
        <v>0.02</v>
      </c>
      <c r="G51" s="16">
        <v>0.02</v>
      </c>
      <c r="H51" s="16">
        <v>0.02</v>
      </c>
      <c r="I51" s="16">
        <v>0.02</v>
      </c>
      <c r="J51" s="16">
        <v>0.02</v>
      </c>
    </row>
    <row r="52" spans="1:11">
      <c r="B52" s="4" t="s">
        <v>35</v>
      </c>
      <c r="C52" s="7">
        <f>C135/C67</f>
        <v>-1.5246226558926666E-3</v>
      </c>
      <c r="D52" s="7">
        <f t="shared" ref="D52:E52" si="38">D135/D67</f>
        <v>4.6252743806835996E-3</v>
      </c>
      <c r="E52" s="7">
        <f t="shared" si="38"/>
        <v>-3.0074136242831165E-3</v>
      </c>
      <c r="F52" s="11">
        <f>AVERAGE(C52:E52)</f>
        <v>3.1079366835938916E-5</v>
      </c>
      <c r="G52" s="7">
        <f>F52</f>
        <v>3.1079366835938916E-5</v>
      </c>
      <c r="H52" s="7">
        <f t="shared" ref="H52:J52" si="39">G52</f>
        <v>3.1079366835938916E-5</v>
      </c>
      <c r="I52" s="7">
        <f t="shared" si="39"/>
        <v>3.1079366835938916E-5</v>
      </c>
      <c r="J52" s="7">
        <f t="shared" si="39"/>
        <v>3.1079366835938916E-5</v>
      </c>
    </row>
    <row r="53" spans="1:11">
      <c r="B53" s="4"/>
      <c r="C53" s="7"/>
      <c r="D53" s="7"/>
      <c r="E53" s="7"/>
      <c r="F53" s="11"/>
      <c r="G53" s="7"/>
      <c r="H53" s="7"/>
      <c r="I53" s="7"/>
      <c r="J53" s="7"/>
    </row>
    <row r="54" spans="1:11">
      <c r="B54" s="4"/>
      <c r="C54" s="7"/>
      <c r="D54" s="7"/>
      <c r="E54" s="7"/>
      <c r="F54" s="11"/>
      <c r="G54" s="7"/>
      <c r="H54" s="7"/>
      <c r="I54" s="7"/>
      <c r="J54" s="7"/>
    </row>
    <row r="55" spans="1:11">
      <c r="B55" s="4"/>
      <c r="C55" s="7"/>
      <c r="D55" s="7"/>
      <c r="E55" s="7"/>
      <c r="F55" s="11"/>
      <c r="G55" s="7"/>
      <c r="H55" s="7"/>
      <c r="I55" s="7"/>
      <c r="J55" s="7"/>
    </row>
    <row r="56" spans="1:11">
      <c r="B56" s="4"/>
      <c r="C56" s="7"/>
      <c r="D56" s="7"/>
      <c r="E56" s="7"/>
      <c r="F56" s="11"/>
      <c r="G56" s="7"/>
      <c r="H56" s="7"/>
      <c r="I56" s="7"/>
      <c r="J56" s="7"/>
    </row>
    <row r="57" spans="1:11">
      <c r="B57" s="4"/>
      <c r="C57" s="7"/>
      <c r="D57" s="7"/>
      <c r="E57" s="7"/>
      <c r="F57" s="11"/>
      <c r="G57" s="7"/>
      <c r="H57" s="7"/>
      <c r="I57" s="7"/>
      <c r="J57" s="7"/>
    </row>
    <row r="58" spans="1:11">
      <c r="B58" s="4"/>
      <c r="C58" s="7"/>
      <c r="D58" s="7"/>
      <c r="E58" s="7"/>
      <c r="F58" s="11"/>
      <c r="G58" s="7"/>
      <c r="H58" s="7"/>
      <c r="I58" s="7"/>
      <c r="J58" s="7"/>
    </row>
    <row r="59" spans="1:11">
      <c r="B59" s="4"/>
      <c r="C59" s="7"/>
      <c r="D59" s="7"/>
      <c r="E59" s="7"/>
      <c r="F59" s="11"/>
      <c r="G59" s="7"/>
      <c r="H59" s="7"/>
      <c r="I59" s="7"/>
      <c r="J59" s="7"/>
    </row>
    <row r="60" spans="1:11">
      <c r="A60" s="78"/>
      <c r="B60" s="78"/>
      <c r="C60" s="78"/>
      <c r="D60" s="78"/>
      <c r="E60" s="78"/>
      <c r="F60" s="78"/>
      <c r="G60" s="78"/>
      <c r="H60" s="78"/>
      <c r="I60" s="78"/>
      <c r="J60" s="78"/>
      <c r="K60" s="78"/>
    </row>
    <row r="61" spans="1:11">
      <c r="A61" s="78"/>
      <c r="B61" s="78"/>
      <c r="C61" s="78"/>
      <c r="D61" s="78"/>
      <c r="E61" s="78"/>
      <c r="F61" s="78"/>
      <c r="G61" s="78"/>
      <c r="H61" s="78"/>
      <c r="I61" s="78"/>
      <c r="J61" s="78"/>
      <c r="K61" s="78"/>
    </row>
    <row r="62" spans="1:11" ht="16.149999999999999" thickBot="1">
      <c r="A62" s="78"/>
      <c r="B62" s="78"/>
      <c r="C62" s="78"/>
      <c r="D62" s="78"/>
      <c r="E62" s="78"/>
      <c r="F62" s="78"/>
      <c r="G62" s="78"/>
      <c r="H62" s="78"/>
      <c r="I62" s="78"/>
      <c r="J62" s="78"/>
      <c r="K62" s="78"/>
    </row>
    <row r="63" spans="1:11">
      <c r="A63" s="78"/>
      <c r="B63" s="22" t="s">
        <v>36</v>
      </c>
      <c r="C63" s="23">
        <v>43830</v>
      </c>
      <c r="D63" s="23">
        <v>44196</v>
      </c>
      <c r="E63" s="23">
        <v>44561</v>
      </c>
      <c r="F63" s="23">
        <v>44926</v>
      </c>
      <c r="G63" s="23">
        <v>45291</v>
      </c>
      <c r="H63" s="23">
        <v>45657</v>
      </c>
      <c r="I63" s="23">
        <v>46022</v>
      </c>
      <c r="J63" s="24">
        <v>46387</v>
      </c>
      <c r="K63" s="78"/>
    </row>
    <row r="64" spans="1:11">
      <c r="A64" s="78"/>
      <c r="B64" s="25"/>
      <c r="J64" s="26"/>
      <c r="K64" s="78"/>
    </row>
    <row r="65" spans="1:11">
      <c r="A65" s="78"/>
      <c r="B65" s="27" t="s">
        <v>37</v>
      </c>
      <c r="C65" s="36">
        <v>5648</v>
      </c>
      <c r="D65" s="36">
        <v>5371</v>
      </c>
      <c r="E65" s="36">
        <v>6428</v>
      </c>
      <c r="F65" s="37">
        <f>F6*F9</f>
        <v>6749.4</v>
      </c>
      <c r="G65" s="37">
        <f t="shared" ref="G65:J65" si="40">G6*G9</f>
        <v>7165.6129999999994</v>
      </c>
      <c r="H65" s="37">
        <f t="shared" si="40"/>
        <v>7534.1302400000004</v>
      </c>
      <c r="I65" s="37">
        <f t="shared" si="40"/>
        <v>7878.0796640000008</v>
      </c>
      <c r="J65" s="38">
        <f t="shared" si="40"/>
        <v>8114.4220539200005</v>
      </c>
      <c r="K65" s="78"/>
    </row>
    <row r="66" spans="1:11">
      <c r="A66" s="78"/>
      <c r="B66" s="27" t="s">
        <v>38</v>
      </c>
      <c r="C66" s="36">
        <v>7470</v>
      </c>
      <c r="D66" s="36">
        <v>7385</v>
      </c>
      <c r="E66" s="36">
        <v>7870</v>
      </c>
      <c r="F66" s="37">
        <f>F11*F14</f>
        <v>8430.3440000000028</v>
      </c>
      <c r="G66" s="37">
        <f t="shared" ref="G66:J66" si="41">G11*G14</f>
        <v>8987.1682212000014</v>
      </c>
      <c r="H66" s="37">
        <f t="shared" si="41"/>
        <v>9580.7706822102609</v>
      </c>
      <c r="I66" s="37">
        <f t="shared" si="41"/>
        <v>10164.239616756866</v>
      </c>
      <c r="J66" s="38">
        <f t="shared" si="41"/>
        <v>10783.241809417361</v>
      </c>
      <c r="K66" s="78"/>
    </row>
    <row r="67" spans="1:11">
      <c r="A67" s="78"/>
      <c r="B67" s="28" t="s">
        <v>39</v>
      </c>
      <c r="C67" s="39">
        <v>13118</v>
      </c>
      <c r="D67" s="39">
        <v>12756</v>
      </c>
      <c r="E67" s="39">
        <v>14298</v>
      </c>
      <c r="F67" s="39">
        <f>SUM(F65:F66)</f>
        <v>15179.744000000002</v>
      </c>
      <c r="G67" s="39">
        <f t="shared" ref="G67:J67" si="42">SUM(G65:G66)</f>
        <v>16152.781221200001</v>
      </c>
      <c r="H67" s="39">
        <f t="shared" si="42"/>
        <v>17114.900922210261</v>
      </c>
      <c r="I67" s="39">
        <f t="shared" si="42"/>
        <v>18042.319280756867</v>
      </c>
      <c r="J67" s="40">
        <f t="shared" si="42"/>
        <v>18897.663863337362</v>
      </c>
      <c r="K67" s="78"/>
    </row>
    <row r="68" spans="1:11">
      <c r="A68" s="78"/>
      <c r="B68" s="25"/>
      <c r="C68" s="41"/>
      <c r="D68" s="41"/>
      <c r="E68" s="41"/>
      <c r="F68" s="41"/>
      <c r="G68" s="41"/>
      <c r="H68" s="41"/>
      <c r="I68" s="41"/>
      <c r="J68" s="42"/>
      <c r="K68" s="78"/>
    </row>
    <row r="69" spans="1:11">
      <c r="A69" s="78"/>
      <c r="B69" s="27" t="s">
        <v>40</v>
      </c>
      <c r="C69" s="36">
        <v>-4640</v>
      </c>
      <c r="D69" s="36">
        <v>-4439</v>
      </c>
      <c r="E69" s="36">
        <v>-5293</v>
      </c>
      <c r="F69" s="37">
        <f>-F65*F17</f>
        <v>-5560.2322377862847</v>
      </c>
      <c r="G69" s="37">
        <f t="shared" ref="G69:J69" si="43">-G65*G17</f>
        <v>-5903.1132257831059</v>
      </c>
      <c r="H69" s="37">
        <f t="shared" si="43"/>
        <v>-6206.701905966238</v>
      </c>
      <c r="I69" s="37">
        <f t="shared" si="43"/>
        <v>-6490.0513408038269</v>
      </c>
      <c r="J69" s="38">
        <f t="shared" si="43"/>
        <v>-6684.7528810279418</v>
      </c>
      <c r="K69" s="78"/>
    </row>
    <row r="70" spans="1:11">
      <c r="A70" s="78"/>
      <c r="B70" s="27" t="s">
        <v>41</v>
      </c>
      <c r="C70" s="36">
        <v>-4652</v>
      </c>
      <c r="D70" s="36">
        <v>-4538</v>
      </c>
      <c r="E70" s="36">
        <v>-4812</v>
      </c>
      <c r="F70" s="37">
        <f>-F66*F18</f>
        <v>-5195.0094094539618</v>
      </c>
      <c r="G70" s="37">
        <f t="shared" ref="G70:J71" si="44">-G66*G18</f>
        <v>-5538.1397809483951</v>
      </c>
      <c r="H70" s="37">
        <f t="shared" si="44"/>
        <v>-5903.9339134800357</v>
      </c>
      <c r="I70" s="37">
        <f t="shared" si="44"/>
        <v>-6263.4834888109699</v>
      </c>
      <c r="J70" s="38">
        <f t="shared" si="44"/>
        <v>-6644.9296332795593</v>
      </c>
      <c r="K70" s="78"/>
    </row>
    <row r="71" spans="1:11">
      <c r="A71" s="78"/>
      <c r="B71" s="27" t="s">
        <v>42</v>
      </c>
      <c r="C71" s="36">
        <v>-1973</v>
      </c>
      <c r="D71" s="36">
        <v>-2076</v>
      </c>
      <c r="E71" s="36">
        <v>-2107</v>
      </c>
      <c r="F71" s="37">
        <f>-F67*F19</f>
        <v>-2330.1627329424191</v>
      </c>
      <c r="G71" s="37">
        <f t="shared" si="44"/>
        <v>-2479.528563525997</v>
      </c>
      <c r="H71" s="37">
        <f t="shared" si="44"/>
        <v>-2627.2185029560569</v>
      </c>
      <c r="I71" s="37">
        <f t="shared" si="44"/>
        <v>-2769.5816216576586</v>
      </c>
      <c r="J71" s="38">
        <f t="shared" si="44"/>
        <v>-2900.8810737533763</v>
      </c>
      <c r="K71" s="78"/>
    </row>
    <row r="72" spans="1:11">
      <c r="A72" s="78"/>
      <c r="B72" s="28" t="s">
        <v>43</v>
      </c>
      <c r="C72" s="39">
        <v>1853</v>
      </c>
      <c r="D72" s="39">
        <v>1703</v>
      </c>
      <c r="E72" s="39">
        <v>2086</v>
      </c>
      <c r="F72" s="39">
        <f>F67+SUM(F69:F71)</f>
        <v>2094.3396198173359</v>
      </c>
      <c r="G72" s="39">
        <f t="shared" ref="G72:J72" si="45">G67+SUM(G69:G71)</f>
        <v>2231.9996509425018</v>
      </c>
      <c r="H72" s="39">
        <f t="shared" si="45"/>
        <v>2377.0465998079308</v>
      </c>
      <c r="I72" s="39">
        <f t="shared" si="45"/>
        <v>2519.2028294844113</v>
      </c>
      <c r="J72" s="40">
        <f t="shared" si="45"/>
        <v>2667.1002752764853</v>
      </c>
      <c r="K72" s="78"/>
    </row>
    <row r="73" spans="1:11">
      <c r="A73" s="78"/>
      <c r="B73" s="25"/>
      <c r="C73" s="41"/>
      <c r="D73" s="41"/>
      <c r="E73" s="41"/>
      <c r="F73" s="41"/>
      <c r="G73" s="41"/>
      <c r="H73" s="41"/>
      <c r="I73" s="41"/>
      <c r="J73" s="42"/>
      <c r="K73" s="78"/>
    </row>
    <row r="74" spans="1:11">
      <c r="A74" s="78"/>
      <c r="B74" s="27" t="s">
        <v>44</v>
      </c>
      <c r="C74" s="36">
        <v>-39</v>
      </c>
      <c r="D74" s="36">
        <v>-64</v>
      </c>
      <c r="E74" s="36">
        <v>22</v>
      </c>
      <c r="F74" s="37">
        <f>E74</f>
        <v>22</v>
      </c>
      <c r="G74" s="37">
        <f t="shared" ref="G74:J74" si="46">F74</f>
        <v>22</v>
      </c>
      <c r="H74" s="37">
        <f t="shared" si="46"/>
        <v>22</v>
      </c>
      <c r="I74" s="37">
        <f t="shared" si="46"/>
        <v>22</v>
      </c>
      <c r="J74" s="38">
        <f t="shared" si="46"/>
        <v>22</v>
      </c>
      <c r="K74" s="78"/>
    </row>
    <row r="75" spans="1:11">
      <c r="A75" s="78"/>
      <c r="B75" s="27" t="s">
        <v>45</v>
      </c>
      <c r="C75" s="36">
        <v>33</v>
      </c>
      <c r="D75" s="36">
        <v>-6</v>
      </c>
      <c r="E75" s="36">
        <v>-11</v>
      </c>
      <c r="F75" s="37">
        <f>E75</f>
        <v>-11</v>
      </c>
      <c r="G75" s="37">
        <f t="shared" ref="G75:J75" si="47">F75</f>
        <v>-11</v>
      </c>
      <c r="H75" s="37">
        <f t="shared" si="47"/>
        <v>-11</v>
      </c>
      <c r="I75" s="37">
        <f t="shared" si="47"/>
        <v>-11</v>
      </c>
      <c r="J75" s="38">
        <f t="shared" si="47"/>
        <v>-11</v>
      </c>
      <c r="K75" s="78"/>
    </row>
    <row r="76" spans="1:11">
      <c r="A76" s="78"/>
      <c r="B76" s="27" t="s">
        <v>46</v>
      </c>
      <c r="C76" s="36">
        <v>14</v>
      </c>
      <c r="D76" s="36">
        <v>-122</v>
      </c>
      <c r="E76" s="36">
        <v>-136</v>
      </c>
      <c r="F76" s="37">
        <f>-F44*E100</f>
        <v>-181.82500000000002</v>
      </c>
      <c r="G76" s="37">
        <f t="shared" ref="G76:J76" si="48">-G44*F100</f>
        <v>-210.74419926079796</v>
      </c>
      <c r="H76" s="37">
        <f t="shared" si="48"/>
        <v>-206.14456058636642</v>
      </c>
      <c r="I76" s="37">
        <f t="shared" si="48"/>
        <v>-235.01149121673222</v>
      </c>
      <c r="J76" s="38">
        <f t="shared" si="48"/>
        <v>-229.31270160038642</v>
      </c>
      <c r="K76" s="78"/>
    </row>
    <row r="77" spans="1:11">
      <c r="A77" s="78"/>
      <c r="B77" s="28" t="s">
        <v>47</v>
      </c>
      <c r="C77" s="39">
        <v>1861</v>
      </c>
      <c r="D77" s="39">
        <v>1511</v>
      </c>
      <c r="E77" s="39">
        <v>1961</v>
      </c>
      <c r="F77" s="39">
        <f>F72+SUM(F74:F76)</f>
        <v>1923.5146198173359</v>
      </c>
      <c r="G77" s="39">
        <f t="shared" ref="G77:J77" si="49">G72+SUM(G74:G76)</f>
        <v>2032.2554516817038</v>
      </c>
      <c r="H77" s="39">
        <f t="shared" si="49"/>
        <v>2181.9020392215643</v>
      </c>
      <c r="I77" s="39">
        <f t="shared" si="49"/>
        <v>2295.1913382676789</v>
      </c>
      <c r="J77" s="40">
        <f t="shared" si="49"/>
        <v>2448.7875736760989</v>
      </c>
      <c r="K77" s="78"/>
    </row>
    <row r="78" spans="1:11">
      <c r="A78" s="78"/>
      <c r="B78" s="25"/>
      <c r="C78" s="41"/>
      <c r="D78" s="41"/>
      <c r="E78" s="41"/>
      <c r="F78" s="41"/>
      <c r="G78" s="41"/>
      <c r="H78" s="41"/>
      <c r="I78" s="41"/>
      <c r="J78" s="42"/>
      <c r="K78" s="78"/>
    </row>
    <row r="79" spans="1:11">
      <c r="A79" s="78"/>
      <c r="B79" s="29" t="s">
        <v>48</v>
      </c>
      <c r="C79" s="36">
        <v>-594</v>
      </c>
      <c r="D79" s="36">
        <v>-455</v>
      </c>
      <c r="E79" s="36">
        <v>-541</v>
      </c>
      <c r="F79" s="37">
        <f>-F77*F21</f>
        <v>-574.61022130300069</v>
      </c>
      <c r="G79" s="37">
        <f t="shared" ref="G79:J79" si="50">-G77*G21</f>
        <v>-607.09429645299383</v>
      </c>
      <c r="H79" s="37">
        <f t="shared" si="50"/>
        <v>-651.79812032706661</v>
      </c>
      <c r="I79" s="37">
        <f t="shared" si="50"/>
        <v>-685.64095600165672</v>
      </c>
      <c r="J79" s="38">
        <f t="shared" si="50"/>
        <v>-731.52465551194234</v>
      </c>
      <c r="K79" s="78"/>
    </row>
    <row r="80" spans="1:11">
      <c r="A80" s="78"/>
      <c r="B80" s="25"/>
      <c r="C80" s="41"/>
      <c r="D80" s="41"/>
      <c r="E80" s="41"/>
      <c r="F80" s="41"/>
      <c r="G80" s="41"/>
      <c r="H80" s="41"/>
      <c r="I80" s="41"/>
      <c r="J80" s="42"/>
      <c r="K80" s="78"/>
    </row>
    <row r="81" spans="1:11">
      <c r="A81" s="78"/>
      <c r="B81" s="30" t="s">
        <v>49</v>
      </c>
      <c r="C81" s="43">
        <v>1267</v>
      </c>
      <c r="D81" s="43">
        <v>1056</v>
      </c>
      <c r="E81" s="43">
        <v>1420</v>
      </c>
      <c r="F81" s="43">
        <f>F77+F79</f>
        <v>1348.9043985143353</v>
      </c>
      <c r="G81" s="43">
        <f t="shared" ref="G81:J81" si="51">G77+G79</f>
        <v>1425.16115522871</v>
      </c>
      <c r="H81" s="43">
        <f t="shared" si="51"/>
        <v>1530.1039188944978</v>
      </c>
      <c r="I81" s="43">
        <f t="shared" si="51"/>
        <v>1609.5503822660221</v>
      </c>
      <c r="J81" s="44">
        <f t="shared" si="51"/>
        <v>1717.2629181641564</v>
      </c>
      <c r="K81" s="78"/>
    </row>
    <row r="82" spans="1:11">
      <c r="A82" s="78"/>
      <c r="B82" s="27" t="s">
        <v>50</v>
      </c>
      <c r="C82" s="36">
        <v>-151</v>
      </c>
      <c r="D82" s="36">
        <v>-150</v>
      </c>
      <c r="E82" s="36">
        <v>-174</v>
      </c>
      <c r="F82" s="37">
        <f>-F81*F22</f>
        <v>-172.55177385633664</v>
      </c>
      <c r="G82" s="37">
        <f t="shared" ref="G82:J82" si="52">-G81*G22</f>
        <v>-182.30653383346234</v>
      </c>
      <c r="H82" s="37">
        <f t="shared" si="52"/>
        <v>-195.7308061865379</v>
      </c>
      <c r="I82" s="37">
        <f t="shared" si="52"/>
        <v>-205.89359325763613</v>
      </c>
      <c r="J82" s="38">
        <f t="shared" si="52"/>
        <v>-219.67217471697288</v>
      </c>
      <c r="K82" s="78"/>
    </row>
    <row r="83" spans="1:11">
      <c r="A83" s="78"/>
      <c r="B83" s="28" t="s">
        <v>51</v>
      </c>
      <c r="C83" s="39">
        <v>1116</v>
      </c>
      <c r="D83" s="39">
        <v>906</v>
      </c>
      <c r="E83" s="39">
        <v>1246</v>
      </c>
      <c r="F83" s="39">
        <f>SUM(F81:F82)</f>
        <v>1176.3526246579986</v>
      </c>
      <c r="G83" s="39">
        <f t="shared" ref="G83:J83" si="53">SUM(G81:G82)</f>
        <v>1242.8546213952477</v>
      </c>
      <c r="H83" s="39">
        <f t="shared" si="53"/>
        <v>1334.37311270796</v>
      </c>
      <c r="I83" s="39">
        <f t="shared" si="53"/>
        <v>1403.6567890083859</v>
      </c>
      <c r="J83" s="40">
        <f t="shared" si="53"/>
        <v>1497.5907434471835</v>
      </c>
      <c r="K83" s="78"/>
    </row>
    <row r="84" spans="1:11" ht="16.149999999999999" thickBot="1">
      <c r="A84" s="78"/>
      <c r="B84" s="25"/>
      <c r="C84" s="41"/>
      <c r="D84" s="41"/>
      <c r="E84" s="41"/>
      <c r="F84" s="41"/>
      <c r="G84" s="41"/>
      <c r="H84" s="41"/>
      <c r="I84" s="41"/>
      <c r="J84" s="42"/>
      <c r="K84" s="78"/>
    </row>
    <row r="85" spans="1:11">
      <c r="A85" s="78"/>
      <c r="B85" s="22" t="s">
        <v>52</v>
      </c>
      <c r="C85" s="66" t="s">
        <v>53</v>
      </c>
      <c r="D85" s="66" t="s">
        <v>54</v>
      </c>
      <c r="E85" s="66" t="s">
        <v>55</v>
      </c>
      <c r="F85" s="66" t="s">
        <v>56</v>
      </c>
      <c r="G85" s="66" t="s">
        <v>57</v>
      </c>
      <c r="H85" s="66" t="s">
        <v>58</v>
      </c>
      <c r="I85" s="66" t="s">
        <v>59</v>
      </c>
      <c r="J85" s="67" t="s">
        <v>60</v>
      </c>
      <c r="K85" s="78"/>
    </row>
    <row r="86" spans="1:11">
      <c r="A86" s="78"/>
      <c r="B86" s="25"/>
      <c r="C86" s="41"/>
      <c r="D86" s="41"/>
      <c r="E86" s="41"/>
      <c r="F86" s="41"/>
      <c r="G86" s="41"/>
      <c r="H86" s="41"/>
      <c r="I86" s="41"/>
      <c r="J86" s="42"/>
      <c r="K86" s="78"/>
    </row>
    <row r="87" spans="1:11">
      <c r="A87" s="78"/>
      <c r="B87" s="30" t="s">
        <v>61</v>
      </c>
      <c r="C87" s="41"/>
      <c r="D87" s="41"/>
      <c r="E87" s="41"/>
      <c r="F87" s="41"/>
      <c r="G87" s="41"/>
      <c r="H87" s="41"/>
      <c r="I87" s="41"/>
      <c r="J87" s="42"/>
      <c r="K87" s="78"/>
    </row>
    <row r="88" spans="1:11">
      <c r="A88" s="78"/>
      <c r="B88" s="27" t="s">
        <v>62</v>
      </c>
      <c r="C88" s="41"/>
      <c r="D88" s="36">
        <v>1799</v>
      </c>
      <c r="E88" s="36">
        <v>3475</v>
      </c>
      <c r="F88" s="37">
        <f>E88+F137</f>
        <v>3000</v>
      </c>
      <c r="G88" s="37">
        <f t="shared" ref="G88:J88" si="54">F88+G137</f>
        <v>3000</v>
      </c>
      <c r="H88" s="37">
        <f t="shared" si="54"/>
        <v>3000</v>
      </c>
      <c r="I88" s="37">
        <f t="shared" si="54"/>
        <v>2999.9999999999991</v>
      </c>
      <c r="J88" s="38">
        <f t="shared" si="54"/>
        <v>3000.0000000000009</v>
      </c>
      <c r="K88" s="78"/>
    </row>
    <row r="89" spans="1:11">
      <c r="A89" s="78"/>
      <c r="B89" s="27" t="s">
        <v>63</v>
      </c>
      <c r="C89" s="41"/>
      <c r="D89" s="36">
        <v>3148</v>
      </c>
      <c r="E89" s="36">
        <v>3232</v>
      </c>
      <c r="F89" s="37">
        <f>F67*F24</f>
        <v>3588.7300089715136</v>
      </c>
      <c r="G89" s="37">
        <f t="shared" ref="G89:J89" si="55">G67*G24</f>
        <v>3818.7712979133225</v>
      </c>
      <c r="H89" s="37">
        <f t="shared" si="55"/>
        <v>4046.2315135294898</v>
      </c>
      <c r="I89" s="37">
        <f t="shared" si="55"/>
        <v>4265.4877865066428</v>
      </c>
      <c r="J89" s="38">
        <f t="shared" si="55"/>
        <v>4467.7046863119258</v>
      </c>
      <c r="K89" s="78"/>
    </row>
    <row r="90" spans="1:11">
      <c r="A90" s="78"/>
      <c r="B90" s="27" t="s">
        <v>64</v>
      </c>
      <c r="C90" s="41"/>
      <c r="D90" s="36">
        <v>1546</v>
      </c>
      <c r="E90" s="36">
        <v>1554</v>
      </c>
      <c r="F90" s="37">
        <f>-SUM(F69:F70)*F25</f>
        <v>1753.1213010536364</v>
      </c>
      <c r="G90" s="37">
        <f t="shared" ref="G90:J90" si="56">-SUM(G69:G70)*G25</f>
        <v>1864.9422313994905</v>
      </c>
      <c r="H90" s="37">
        <f t="shared" si="56"/>
        <v>1974.0526824724873</v>
      </c>
      <c r="I90" s="37">
        <f t="shared" si="56"/>
        <v>2078.8462320848234</v>
      </c>
      <c r="J90" s="38">
        <f t="shared" si="56"/>
        <v>2172.7592106785391</v>
      </c>
      <c r="K90" s="78"/>
    </row>
    <row r="91" spans="1:11">
      <c r="A91" s="78"/>
      <c r="B91" s="27" t="s">
        <v>65</v>
      </c>
      <c r="C91" s="41"/>
      <c r="D91" s="36">
        <v>3031</v>
      </c>
      <c r="E91" s="36">
        <v>2860</v>
      </c>
      <c r="F91" s="37">
        <f>E91-F123-F117</f>
        <v>2826.6935239519121</v>
      </c>
      <c r="G91" s="37">
        <f t="shared" ref="G91:J91" si="57">F91-G123-G117</f>
        <v>2791.2520684929864</v>
      </c>
      <c r="H91" s="37">
        <f t="shared" si="57"/>
        <v>2753.6995881856114</v>
      </c>
      <c r="I91" s="37">
        <f t="shared" si="57"/>
        <v>2714.1122226163056</v>
      </c>
      <c r="J91" s="38">
        <f t="shared" si="57"/>
        <v>2672.6481117044841</v>
      </c>
      <c r="K91" s="78"/>
    </row>
    <row r="92" spans="1:11">
      <c r="A92" s="78"/>
      <c r="B92" s="27" t="s">
        <v>66</v>
      </c>
      <c r="C92" s="41"/>
      <c r="D92" s="36">
        <v>542</v>
      </c>
      <c r="E92" s="36">
        <v>526</v>
      </c>
      <c r="F92" s="37">
        <f>-F71*F26</f>
        <v>595.03389935550365</v>
      </c>
      <c r="G92" s="37">
        <f t="shared" ref="G92:J92" si="58">-G71*G26</f>
        <v>633.17618501912739</v>
      </c>
      <c r="H92" s="37">
        <f t="shared" si="58"/>
        <v>670.89051256897858</v>
      </c>
      <c r="I92" s="37">
        <f t="shared" si="58"/>
        <v>707.24457507621628</v>
      </c>
      <c r="J92" s="38">
        <f t="shared" si="58"/>
        <v>740.77340285259231</v>
      </c>
      <c r="K92" s="78"/>
    </row>
    <row r="93" spans="1:11">
      <c r="A93" s="78"/>
      <c r="B93" s="27" t="s">
        <v>67</v>
      </c>
      <c r="C93" s="47"/>
      <c r="D93" s="36">
        <v>644</v>
      </c>
      <c r="E93" s="36">
        <v>632</v>
      </c>
      <c r="F93" s="37">
        <f>E93-F118-F124</f>
        <v>635.96889208173877</v>
      </c>
      <c r="G93" s="37">
        <f t="shared" ref="G93:J93" si="59">F93-G118-G124</f>
        <v>635.3846170041669</v>
      </c>
      <c r="H93" s="37">
        <f t="shared" si="59"/>
        <v>630.29826150200131</v>
      </c>
      <c r="I93" s="37">
        <f t="shared" si="59"/>
        <v>620.87220478278618</v>
      </c>
      <c r="J93" s="38">
        <f t="shared" si="59"/>
        <v>607.44370419148891</v>
      </c>
      <c r="K93" s="78"/>
    </row>
    <row r="94" spans="1:11">
      <c r="A94" s="78"/>
      <c r="B94" s="28" t="s">
        <v>68</v>
      </c>
      <c r="C94" s="41"/>
      <c r="D94" s="39">
        <v>10710</v>
      </c>
      <c r="E94" s="39">
        <v>12279</v>
      </c>
      <c r="F94" s="43">
        <f>SUM(F88:F93)</f>
        <v>12399.547625414303</v>
      </c>
      <c r="G94" s="43">
        <f t="shared" ref="G94:J94" si="60">SUM(G88:G93)</f>
        <v>12743.526399829094</v>
      </c>
      <c r="H94" s="43">
        <f t="shared" si="60"/>
        <v>13075.172558258568</v>
      </c>
      <c r="I94" s="43">
        <f t="shared" si="60"/>
        <v>13386.563021066775</v>
      </c>
      <c r="J94" s="44">
        <f t="shared" si="60"/>
        <v>13661.32911573903</v>
      </c>
      <c r="K94" s="78"/>
    </row>
    <row r="95" spans="1:11">
      <c r="A95" s="78"/>
      <c r="B95" s="25"/>
      <c r="C95" s="41"/>
      <c r="D95" s="41"/>
      <c r="E95" s="41"/>
      <c r="F95" s="41"/>
      <c r="G95" s="41"/>
      <c r="H95" s="41"/>
      <c r="I95" s="41"/>
      <c r="J95" s="42"/>
      <c r="K95" s="78"/>
    </row>
    <row r="96" spans="1:11">
      <c r="A96" s="78"/>
      <c r="B96" s="30" t="s">
        <v>69</v>
      </c>
      <c r="C96" s="41"/>
      <c r="D96" s="41"/>
      <c r="E96" s="41"/>
      <c r="F96" s="41"/>
      <c r="G96" s="41"/>
      <c r="H96" s="41"/>
      <c r="I96" s="41"/>
      <c r="J96" s="42"/>
      <c r="K96" s="78"/>
    </row>
    <row r="97" spans="1:11">
      <c r="A97" s="78"/>
      <c r="B97" s="27" t="s">
        <v>70</v>
      </c>
      <c r="C97" s="41"/>
      <c r="D97" s="36">
        <v>1453</v>
      </c>
      <c r="E97" s="36">
        <v>1556</v>
      </c>
      <c r="F97" s="37">
        <f>-SUM(F69:F70)*F28</f>
        <v>1698.4745281825724</v>
      </c>
      <c r="G97" s="37">
        <f t="shared" ref="G97:J97" si="61">-SUM(G69:G70)*G28</f>
        <v>1806.8098737151176</v>
      </c>
      <c r="H97" s="37">
        <f t="shared" si="61"/>
        <v>1912.5192286779582</v>
      </c>
      <c r="I97" s="37">
        <f t="shared" si="61"/>
        <v>2014.0462448789576</v>
      </c>
      <c r="J97" s="38">
        <f t="shared" si="61"/>
        <v>2105.0318497605567</v>
      </c>
      <c r="K97" s="78"/>
    </row>
    <row r="98" spans="1:11">
      <c r="A98" s="78"/>
      <c r="B98" s="27" t="s">
        <v>71</v>
      </c>
      <c r="C98" s="41"/>
      <c r="D98" s="36">
        <v>1977</v>
      </c>
      <c r="E98" s="36">
        <v>1993</v>
      </c>
      <c r="F98" s="37">
        <f>-SUM(F$69:F$71)*F29</f>
        <v>2238.0333333154745</v>
      </c>
      <c r="G98" s="37">
        <f t="shared" ref="G98:J98" si="62">-SUM(G$69:G$71)*G29</f>
        <v>2380.9102321074088</v>
      </c>
      <c r="H98" s="37">
        <f t="shared" si="62"/>
        <v>2520.6564716514727</v>
      </c>
      <c r="I98" s="37">
        <f t="shared" si="62"/>
        <v>2654.9620512683459</v>
      </c>
      <c r="J98" s="38">
        <f t="shared" si="62"/>
        <v>2775.9587150083612</v>
      </c>
      <c r="K98" s="78"/>
    </row>
    <row r="99" spans="1:11">
      <c r="A99" s="78"/>
      <c r="B99" s="27" t="s">
        <v>72</v>
      </c>
      <c r="C99" s="41"/>
      <c r="D99" s="36">
        <v>2542</v>
      </c>
      <c r="E99" s="36">
        <v>2674</v>
      </c>
      <c r="F99" s="37">
        <f>-SUM(F$69:F$71)*F30</f>
        <v>2937.3315096162314</v>
      </c>
      <c r="G99" s="37">
        <f t="shared" ref="G99:J99" si="63">-SUM(G$69:G$71)*G30</f>
        <v>3124.8518698228772</v>
      </c>
      <c r="H99" s="37">
        <f t="shared" si="63"/>
        <v>3308.2633618023374</v>
      </c>
      <c r="I99" s="37">
        <f t="shared" si="63"/>
        <v>3484.5341997087116</v>
      </c>
      <c r="J99" s="38">
        <f t="shared" si="63"/>
        <v>3643.3376043190788</v>
      </c>
      <c r="K99" s="78"/>
    </row>
    <row r="100" spans="1:11">
      <c r="A100" s="78"/>
      <c r="B100" s="27" t="s">
        <v>73</v>
      </c>
      <c r="C100" s="41"/>
      <c r="D100" s="36">
        <v>5963</v>
      </c>
      <c r="E100" s="36">
        <v>7273</v>
      </c>
      <c r="F100" s="37">
        <f>E100+F128</f>
        <v>7024.8066420265986</v>
      </c>
      <c r="G100" s="37">
        <f t="shared" ref="G100:J100" si="64">F100+G128</f>
        <v>6871.4853528788808</v>
      </c>
      <c r="H100" s="37">
        <f t="shared" si="64"/>
        <v>6714.6140347637775</v>
      </c>
      <c r="I100" s="37">
        <f t="shared" si="64"/>
        <v>6551.7914742967541</v>
      </c>
      <c r="J100" s="38">
        <f t="shared" si="64"/>
        <v>6383.1470415053973</v>
      </c>
      <c r="K100" s="78"/>
    </row>
    <row r="101" spans="1:11">
      <c r="A101" s="78"/>
      <c r="B101" s="27" t="s">
        <v>74</v>
      </c>
      <c r="C101" s="41"/>
      <c r="D101" s="36">
        <v>367</v>
      </c>
      <c r="E101" s="36">
        <v>336</v>
      </c>
      <c r="F101" s="37">
        <f>E101+(F92-E92)</f>
        <v>405.03389935550365</v>
      </c>
      <c r="G101" s="37">
        <f t="shared" ref="G101:J101" si="65">F101+(G92-F92)</f>
        <v>443.17618501912739</v>
      </c>
      <c r="H101" s="37">
        <f t="shared" si="65"/>
        <v>480.89051256897858</v>
      </c>
      <c r="I101" s="37">
        <f t="shared" si="65"/>
        <v>517.24457507621628</v>
      </c>
      <c r="J101" s="38">
        <f t="shared" si="65"/>
        <v>550.77340285259231</v>
      </c>
      <c r="K101" s="78"/>
    </row>
    <row r="102" spans="1:11">
      <c r="A102" s="78"/>
      <c r="B102" s="27" t="s">
        <v>75</v>
      </c>
      <c r="C102" s="47"/>
      <c r="D102" s="36">
        <v>1609</v>
      </c>
      <c r="E102" s="36">
        <v>1431</v>
      </c>
      <c r="F102" s="37">
        <f>-SUM(F$69:F$71)*F31</f>
        <v>1719.1025979830847</v>
      </c>
      <c r="G102" s="37">
        <f t="shared" ref="G102:J102" si="66">-SUM(G$69:G$71)*G31</f>
        <v>1828.8507613587897</v>
      </c>
      <c r="H102" s="37">
        <f t="shared" si="66"/>
        <v>1936.1941685736733</v>
      </c>
      <c r="I102" s="37">
        <f t="shared" si="66"/>
        <v>2039.3584366862278</v>
      </c>
      <c r="J102" s="38">
        <f t="shared" si="66"/>
        <v>2132.2997150337674</v>
      </c>
      <c r="K102" s="78"/>
    </row>
    <row r="103" spans="1:11">
      <c r="A103" s="78"/>
      <c r="B103" s="28" t="s">
        <v>76</v>
      </c>
      <c r="C103" s="41"/>
      <c r="D103" s="39">
        <v>13911</v>
      </c>
      <c r="E103" s="39">
        <v>15263</v>
      </c>
      <c r="F103" s="39">
        <f>SUM(F97:F102)</f>
        <v>16022.782510479465</v>
      </c>
      <c r="G103" s="39">
        <f t="shared" ref="G103:J103" si="67">SUM(G97:G102)</f>
        <v>16456.084274902201</v>
      </c>
      <c r="H103" s="39">
        <f t="shared" si="67"/>
        <v>16873.137778038199</v>
      </c>
      <c r="I103" s="39">
        <f t="shared" si="67"/>
        <v>17261.936981915213</v>
      </c>
      <c r="J103" s="40">
        <f t="shared" si="67"/>
        <v>17590.548328479752</v>
      </c>
      <c r="K103" s="78"/>
    </row>
    <row r="104" spans="1:11">
      <c r="A104" s="78"/>
      <c r="B104" s="25"/>
      <c r="C104" s="41"/>
      <c r="D104" s="41"/>
      <c r="E104" s="41"/>
      <c r="F104" s="41"/>
      <c r="G104" s="41"/>
      <c r="H104" s="41"/>
      <c r="I104" s="41"/>
      <c r="J104" s="42"/>
      <c r="K104" s="78"/>
    </row>
    <row r="105" spans="1:11">
      <c r="A105" s="78"/>
      <c r="B105" s="27" t="s">
        <v>77</v>
      </c>
      <c r="C105" s="41"/>
      <c r="D105" s="36">
        <v>-3862</v>
      </c>
      <c r="E105" s="36">
        <v>-3625</v>
      </c>
      <c r="F105" s="37">
        <f>E105+F115+F129+F130+F132+F135</f>
        <v>-4266.3280456559914</v>
      </c>
      <c r="G105" s="37">
        <f t="shared" ref="G105:J105" si="68">F105+G115+G129+G130+G132+G135</f>
        <v>-4357.8625275747027</v>
      </c>
      <c r="H105" s="37">
        <f t="shared" si="68"/>
        <v>-4445.6442089847251</v>
      </c>
      <c r="I105" s="37">
        <f t="shared" si="68"/>
        <v>-4525.5505676999956</v>
      </c>
      <c r="J105" s="38">
        <f t="shared" si="68"/>
        <v>-4582.06058002182</v>
      </c>
      <c r="K105" s="78"/>
    </row>
    <row r="106" spans="1:11">
      <c r="A106" s="78"/>
      <c r="B106" s="27" t="s">
        <v>78</v>
      </c>
      <c r="C106" s="47"/>
      <c r="D106" s="36">
        <v>661</v>
      </c>
      <c r="E106" s="36">
        <v>641</v>
      </c>
      <c r="F106" s="37">
        <f>E106+F116+F131</f>
        <v>643.09316059083096</v>
      </c>
      <c r="G106" s="37">
        <f t="shared" ref="G106:J106" si="69">F106+G116+G131</f>
        <v>645.30465250159455</v>
      </c>
      <c r="H106" s="37">
        <f t="shared" si="69"/>
        <v>647.67898920509504</v>
      </c>
      <c r="I106" s="37">
        <f t="shared" si="69"/>
        <v>650.17660685155442</v>
      </c>
      <c r="J106" s="38">
        <f t="shared" si="69"/>
        <v>652.84136728109672</v>
      </c>
      <c r="K106" s="78"/>
    </row>
    <row r="107" spans="1:11">
      <c r="A107" s="78"/>
      <c r="B107" s="28" t="s">
        <v>79</v>
      </c>
      <c r="C107" s="41"/>
      <c r="D107" s="39">
        <v>-3201</v>
      </c>
      <c r="E107" s="39">
        <v>-2984</v>
      </c>
      <c r="F107" s="39">
        <f>SUM(F105:F106)</f>
        <v>-3623.2348850651606</v>
      </c>
      <c r="G107" s="39">
        <f t="shared" ref="G107:J107" si="70">SUM(G105:G106)</f>
        <v>-3712.5578750731083</v>
      </c>
      <c r="H107" s="39">
        <f t="shared" si="70"/>
        <v>-3797.9652197796299</v>
      </c>
      <c r="I107" s="39">
        <f t="shared" si="70"/>
        <v>-3875.3739608484411</v>
      </c>
      <c r="J107" s="40">
        <f t="shared" si="70"/>
        <v>-3929.2192127407234</v>
      </c>
      <c r="K107" s="78"/>
    </row>
    <row r="108" spans="1:11">
      <c r="A108" s="78"/>
      <c r="B108" s="25"/>
      <c r="C108" s="41"/>
      <c r="D108" s="41"/>
      <c r="E108" s="41"/>
      <c r="F108" s="41"/>
      <c r="G108" s="41"/>
      <c r="H108" s="41"/>
      <c r="I108" s="41"/>
      <c r="J108" s="42"/>
      <c r="K108" s="78"/>
    </row>
    <row r="109" spans="1:11">
      <c r="A109" s="78"/>
      <c r="B109" s="30" t="s">
        <v>80</v>
      </c>
      <c r="C109" s="41"/>
      <c r="D109" s="43">
        <v>10710</v>
      </c>
      <c r="E109" s="43">
        <v>12279</v>
      </c>
      <c r="F109" s="43">
        <f>F103+F107</f>
        <v>12399.547625414303</v>
      </c>
      <c r="G109" s="43">
        <f t="shared" ref="G109:J109" si="71">G103+G107</f>
        <v>12743.526399829094</v>
      </c>
      <c r="H109" s="43">
        <f t="shared" si="71"/>
        <v>13075.17255825857</v>
      </c>
      <c r="I109" s="43">
        <f t="shared" si="71"/>
        <v>13386.563021066771</v>
      </c>
      <c r="J109" s="44">
        <f t="shared" si="71"/>
        <v>13661.329115739029</v>
      </c>
      <c r="K109" s="78"/>
    </row>
    <row r="110" spans="1:11">
      <c r="A110" s="78"/>
      <c r="B110" s="25"/>
      <c r="C110" s="41"/>
      <c r="D110" s="41"/>
      <c r="E110" s="41"/>
      <c r="F110" s="41"/>
      <c r="G110" s="41"/>
      <c r="H110" s="41"/>
      <c r="I110" s="41"/>
      <c r="J110" s="42"/>
      <c r="K110" s="78"/>
    </row>
    <row r="111" spans="1:11" ht="16.149999999999999" thickBot="1">
      <c r="A111" s="78"/>
      <c r="B111" s="68" t="s">
        <v>81</v>
      </c>
      <c r="C111" s="59"/>
      <c r="D111" s="69">
        <v>0</v>
      </c>
      <c r="E111" s="69">
        <v>0</v>
      </c>
      <c r="F111" s="69"/>
      <c r="G111" s="69"/>
      <c r="H111" s="69"/>
      <c r="I111" s="69"/>
      <c r="J111" s="70"/>
      <c r="K111" s="78"/>
    </row>
    <row r="112" spans="1:11">
      <c r="A112" s="78"/>
      <c r="B112" s="25"/>
      <c r="C112" s="41"/>
      <c r="D112" s="41"/>
      <c r="E112" s="41"/>
      <c r="F112" s="41"/>
      <c r="G112" s="41"/>
      <c r="H112" s="41"/>
      <c r="I112" s="41"/>
      <c r="J112" s="42"/>
      <c r="K112" s="78"/>
    </row>
    <row r="113" spans="1:11">
      <c r="A113" s="78"/>
      <c r="B113" s="31" t="s">
        <v>82</v>
      </c>
      <c r="C113" s="45" t="s">
        <v>53</v>
      </c>
      <c r="D113" s="45" t="s">
        <v>54</v>
      </c>
      <c r="E113" s="45" t="s">
        <v>55</v>
      </c>
      <c r="F113" s="45" t="s">
        <v>56</v>
      </c>
      <c r="G113" s="45" t="s">
        <v>57</v>
      </c>
      <c r="H113" s="45" t="s">
        <v>58</v>
      </c>
      <c r="I113" s="45" t="s">
        <v>59</v>
      </c>
      <c r="J113" s="46" t="s">
        <v>60</v>
      </c>
      <c r="K113" s="78"/>
    </row>
    <row r="114" spans="1:11">
      <c r="A114" s="78"/>
      <c r="B114" s="30" t="s">
        <v>83</v>
      </c>
      <c r="C114" s="41"/>
      <c r="D114" s="41"/>
      <c r="E114" s="41"/>
      <c r="F114" s="41"/>
      <c r="G114" s="41"/>
      <c r="H114" s="41"/>
      <c r="I114" s="41"/>
      <c r="J114" s="42"/>
      <c r="K114" s="78"/>
    </row>
    <row r="115" spans="1:11">
      <c r="A115" s="78"/>
      <c r="B115" s="32" t="s">
        <v>51</v>
      </c>
      <c r="C115" s="37">
        <f>C83</f>
        <v>1116</v>
      </c>
      <c r="D115" s="37">
        <f t="shared" ref="D115:J115" si="72">D83</f>
        <v>906</v>
      </c>
      <c r="E115" s="37">
        <f t="shared" si="72"/>
        <v>1246</v>
      </c>
      <c r="F115" s="37">
        <f t="shared" si="72"/>
        <v>1176.3526246579986</v>
      </c>
      <c r="G115" s="37">
        <f t="shared" si="72"/>
        <v>1242.8546213952477</v>
      </c>
      <c r="H115" s="37">
        <f t="shared" si="72"/>
        <v>1334.37311270796</v>
      </c>
      <c r="I115" s="37">
        <f t="shared" si="72"/>
        <v>1403.6567890083859</v>
      </c>
      <c r="J115" s="38">
        <f t="shared" si="72"/>
        <v>1497.5907434471835</v>
      </c>
      <c r="K115" s="78"/>
    </row>
    <row r="116" spans="1:11">
      <c r="A116" s="78"/>
      <c r="B116" s="33" t="s">
        <v>84</v>
      </c>
      <c r="C116" s="37">
        <f>-C82</f>
        <v>151</v>
      </c>
      <c r="D116" s="37">
        <f t="shared" ref="D116:J116" si="73">-D82</f>
        <v>150</v>
      </c>
      <c r="E116" s="37">
        <f t="shared" si="73"/>
        <v>174</v>
      </c>
      <c r="F116" s="37">
        <f t="shared" si="73"/>
        <v>172.55177385633664</v>
      </c>
      <c r="G116" s="37">
        <f t="shared" si="73"/>
        <v>182.30653383346234</v>
      </c>
      <c r="H116" s="37">
        <f t="shared" si="73"/>
        <v>195.7308061865379</v>
      </c>
      <c r="I116" s="37">
        <f t="shared" si="73"/>
        <v>205.89359325763613</v>
      </c>
      <c r="J116" s="38">
        <f t="shared" si="73"/>
        <v>219.67217471697288</v>
      </c>
      <c r="K116" s="78"/>
    </row>
    <row r="117" spans="1:11">
      <c r="A117" s="78"/>
      <c r="B117" s="33" t="s">
        <v>85</v>
      </c>
      <c r="C117" s="36">
        <v>180</v>
      </c>
      <c r="D117" s="36">
        <v>191</v>
      </c>
      <c r="E117" s="36">
        <v>203</v>
      </c>
      <c r="F117" s="37">
        <f>F67*F34</f>
        <v>217.03360260120607</v>
      </c>
      <c r="G117" s="37">
        <f t="shared" ref="G117:J117" si="74">G67*G34</f>
        <v>230.94568001055515</v>
      </c>
      <c r="H117" s="37">
        <f t="shared" si="74"/>
        <v>244.70166330275376</v>
      </c>
      <c r="I117" s="37">
        <f t="shared" si="74"/>
        <v>257.96150137867033</v>
      </c>
      <c r="J117" s="38">
        <f t="shared" si="74"/>
        <v>270.19085888449325</v>
      </c>
      <c r="K117" s="78"/>
    </row>
    <row r="118" spans="1:11">
      <c r="A118" s="78"/>
      <c r="B118" s="33" t="s">
        <v>86</v>
      </c>
      <c r="C118" s="36">
        <v>54</v>
      </c>
      <c r="D118" s="36">
        <v>156</v>
      </c>
      <c r="E118" s="36">
        <v>-33</v>
      </c>
      <c r="F118" s="37">
        <f>F67*F35</f>
        <v>71.031107918261227</v>
      </c>
      <c r="G118" s="37">
        <f t="shared" ref="G118:J118" si="75">G67*G35</f>
        <v>75.584275077571832</v>
      </c>
      <c r="H118" s="37">
        <f t="shared" si="75"/>
        <v>80.086355502165617</v>
      </c>
      <c r="I118" s="37">
        <f t="shared" si="75"/>
        <v>84.426056719215168</v>
      </c>
      <c r="J118" s="38">
        <f t="shared" si="75"/>
        <v>88.428500591297293</v>
      </c>
      <c r="K118" s="78"/>
    </row>
    <row r="119" spans="1:11">
      <c r="A119" s="78"/>
      <c r="B119" s="33" t="s">
        <v>87</v>
      </c>
      <c r="C119" s="36">
        <v>-32</v>
      </c>
      <c r="D119" s="36">
        <v>77</v>
      </c>
      <c r="E119" s="36">
        <v>160</v>
      </c>
      <c r="F119" s="37">
        <f>E89-F89+E90-F90+E92-F92+SUM(F97:F99)-SUM(E97:E99)+SUM(F101:F102)-SUM(E101:E102)</f>
        <v>383.09065907221293</v>
      </c>
      <c r="G119" s="37">
        <f t="shared" ref="G119:J119" si="76">F89-G89+F90-G90+F92-G92+SUM(G97:G99)-SUM(F97:F99)+SUM(G101:G102)-SUM(F101:F102)</f>
        <v>206.61854861916754</v>
      </c>
      <c r="H119" s="37">
        <f t="shared" si="76"/>
        <v>199.63982701208442</v>
      </c>
      <c r="I119" s="37">
        <f t="shared" si="76"/>
        <v>191.21787924731234</v>
      </c>
      <c r="J119" s="38">
        <f t="shared" si="76"/>
        <v>167.59707318052187</v>
      </c>
      <c r="K119" s="78"/>
    </row>
    <row r="120" spans="1:11">
      <c r="A120" s="78"/>
      <c r="B120" s="28" t="s">
        <v>83</v>
      </c>
      <c r="C120" s="39">
        <f t="shared" ref="C120:E120" si="77">SUM(C115:C119)</f>
        <v>1469</v>
      </c>
      <c r="D120" s="39">
        <f t="shared" si="77"/>
        <v>1480</v>
      </c>
      <c r="E120" s="39">
        <f t="shared" si="77"/>
        <v>1750</v>
      </c>
      <c r="F120" s="39">
        <f>SUM(F115:F119)</f>
        <v>2020.0597681060153</v>
      </c>
      <c r="G120" s="39">
        <f t="shared" ref="G120:J120" si="78">SUM(G115:G119)</f>
        <v>1938.3096589360046</v>
      </c>
      <c r="H120" s="39">
        <f t="shared" si="78"/>
        <v>2054.5317647115016</v>
      </c>
      <c r="I120" s="39">
        <f t="shared" si="78"/>
        <v>2143.1558196112201</v>
      </c>
      <c r="J120" s="40">
        <f t="shared" si="78"/>
        <v>2243.4793508204689</v>
      </c>
      <c r="K120" s="78"/>
    </row>
    <row r="121" spans="1:11">
      <c r="A121" s="78"/>
      <c r="B121" s="25"/>
      <c r="C121" s="37"/>
      <c r="D121" s="37"/>
      <c r="E121" s="37"/>
      <c r="F121" s="37"/>
      <c r="G121" s="37"/>
      <c r="H121" s="37"/>
      <c r="I121" s="37"/>
      <c r="J121" s="38"/>
      <c r="K121" s="78"/>
    </row>
    <row r="122" spans="1:11">
      <c r="A122" s="78"/>
      <c r="B122" s="30" t="s">
        <v>88</v>
      </c>
      <c r="C122" s="41"/>
      <c r="D122" s="41"/>
      <c r="E122" s="41"/>
      <c r="F122" s="41"/>
      <c r="G122" s="41"/>
      <c r="H122" s="41"/>
      <c r="I122" s="41"/>
      <c r="J122" s="42"/>
      <c r="K122" s="78"/>
    </row>
    <row r="123" spans="1:11">
      <c r="A123" s="78"/>
      <c r="B123" s="27" t="s">
        <v>89</v>
      </c>
      <c r="C123" s="36">
        <v>-145</v>
      </c>
      <c r="D123" s="36">
        <v>-183</v>
      </c>
      <c r="E123" s="36">
        <v>-156</v>
      </c>
      <c r="F123" s="37">
        <f>-F67*F33</f>
        <v>-183.72712655311824</v>
      </c>
      <c r="G123" s="37">
        <f t="shared" ref="G123:J123" si="79">-G67*G33</f>
        <v>-195.50422455162905</v>
      </c>
      <c r="H123" s="37">
        <f t="shared" si="79"/>
        <v>-207.14918299537885</v>
      </c>
      <c r="I123" s="37">
        <f t="shared" si="79"/>
        <v>-218.37413580936422</v>
      </c>
      <c r="J123" s="38">
        <f t="shared" si="79"/>
        <v>-228.72674797267149</v>
      </c>
      <c r="K123" s="78"/>
    </row>
    <row r="124" spans="1:11">
      <c r="A124" s="78"/>
      <c r="B124" s="27" t="s">
        <v>90</v>
      </c>
      <c r="C124" s="36">
        <v>-58</v>
      </c>
      <c r="D124" s="36">
        <v>-170</v>
      </c>
      <c r="E124" s="36">
        <v>67</v>
      </c>
      <c r="F124" s="37">
        <f>F37</f>
        <v>-75</v>
      </c>
      <c r="G124" s="37">
        <f t="shared" ref="G124:J124" si="80">G37</f>
        <v>-75</v>
      </c>
      <c r="H124" s="37">
        <f t="shared" si="80"/>
        <v>-75</v>
      </c>
      <c r="I124" s="37">
        <f t="shared" si="80"/>
        <v>-75</v>
      </c>
      <c r="J124" s="38">
        <f t="shared" si="80"/>
        <v>-75</v>
      </c>
      <c r="K124" s="78"/>
    </row>
    <row r="125" spans="1:11">
      <c r="A125" s="78"/>
      <c r="B125" s="28" t="s">
        <v>88</v>
      </c>
      <c r="C125" s="39">
        <f t="shared" ref="C125:E125" si="81">SUM(C123:C124)</f>
        <v>-203</v>
      </c>
      <c r="D125" s="39">
        <f t="shared" si="81"/>
        <v>-353</v>
      </c>
      <c r="E125" s="39">
        <f t="shared" si="81"/>
        <v>-89</v>
      </c>
      <c r="F125" s="39">
        <f>SUM(F123:F124)</f>
        <v>-258.72712655311824</v>
      </c>
      <c r="G125" s="39">
        <f t="shared" ref="G125:J125" si="82">SUM(G123:G124)</f>
        <v>-270.50422455162902</v>
      </c>
      <c r="H125" s="39">
        <f t="shared" si="82"/>
        <v>-282.14918299537885</v>
      </c>
      <c r="I125" s="39">
        <f t="shared" si="82"/>
        <v>-293.37413580936425</v>
      </c>
      <c r="J125" s="40">
        <f t="shared" si="82"/>
        <v>-303.72674797267149</v>
      </c>
      <c r="K125" s="78"/>
    </row>
    <row r="126" spans="1:11">
      <c r="A126" s="78"/>
      <c r="B126" s="25"/>
      <c r="C126" s="41"/>
      <c r="D126" s="41"/>
      <c r="E126" s="41"/>
      <c r="F126" s="41"/>
      <c r="G126" s="41"/>
      <c r="H126" s="41"/>
      <c r="I126" s="41"/>
      <c r="J126" s="42"/>
      <c r="K126" s="78"/>
    </row>
    <row r="127" spans="1:11">
      <c r="A127" s="78"/>
      <c r="B127" s="30" t="s">
        <v>91</v>
      </c>
      <c r="C127" s="41"/>
      <c r="D127" s="41"/>
      <c r="E127" s="41"/>
      <c r="F127" s="41"/>
      <c r="G127" s="41"/>
      <c r="H127" s="41"/>
      <c r="I127" s="41"/>
      <c r="J127" s="42"/>
      <c r="K127" s="78"/>
    </row>
    <row r="128" spans="1:11">
      <c r="A128" s="78"/>
      <c r="B128" s="27" t="s">
        <v>92</v>
      </c>
      <c r="C128" s="36">
        <v>6</v>
      </c>
      <c r="D128" s="36">
        <v>5947</v>
      </c>
      <c r="E128" s="36">
        <v>1375</v>
      </c>
      <c r="F128" s="37">
        <f>F46</f>
        <v>-248.19335797340153</v>
      </c>
      <c r="G128" s="37">
        <f t="shared" ref="G128:J128" si="83">G46</f>
        <v>-153.32128914771801</v>
      </c>
      <c r="H128" s="37">
        <f t="shared" si="83"/>
        <v>-156.87131811510352</v>
      </c>
      <c r="I128" s="37">
        <f t="shared" si="83"/>
        <v>-162.82256046702352</v>
      </c>
      <c r="J128" s="38">
        <f t="shared" si="83"/>
        <v>-168.64443279135639</v>
      </c>
      <c r="K128" s="78"/>
    </row>
    <row r="129" spans="1:11">
      <c r="A129" s="78"/>
      <c r="B129" s="27" t="s">
        <v>93</v>
      </c>
      <c r="C129" s="36">
        <v>0</v>
      </c>
      <c r="D129" s="36">
        <v>-260</v>
      </c>
      <c r="E129" s="36">
        <v>-393</v>
      </c>
      <c r="F129" s="37">
        <f>-F83*F47</f>
        <v>-411.72341863029948</v>
      </c>
      <c r="G129" s="37">
        <f t="shared" ref="G129:J129" si="84">-G83*G47</f>
        <v>-466.07048302321789</v>
      </c>
      <c r="H129" s="37">
        <f t="shared" si="84"/>
        <v>-533.74924508318406</v>
      </c>
      <c r="I129" s="37">
        <f t="shared" si="84"/>
        <v>-561.46271560335435</v>
      </c>
      <c r="J129" s="38">
        <f t="shared" si="84"/>
        <v>-599.03629737887343</v>
      </c>
      <c r="K129" s="78"/>
    </row>
    <row r="130" spans="1:11">
      <c r="A130" s="78"/>
      <c r="B130" s="27" t="s">
        <v>94</v>
      </c>
      <c r="C130" s="36">
        <v>0</v>
      </c>
      <c r="D130" s="36">
        <v>0</v>
      </c>
      <c r="E130" s="36">
        <v>-725</v>
      </c>
      <c r="F130" s="37">
        <f>F48</f>
        <v>-1406.429028515942</v>
      </c>
      <c r="G130" s="37">
        <f t="shared" ref="G130:J130" si="85">G48</f>
        <v>-868.82063850373538</v>
      </c>
      <c r="H130" s="37">
        <f t="shared" si="85"/>
        <v>-888.93746931891997</v>
      </c>
      <c r="I130" s="37">
        <f t="shared" si="85"/>
        <v>-922.66117597979996</v>
      </c>
      <c r="J130" s="38">
        <f t="shared" si="85"/>
        <v>-955.65178581768623</v>
      </c>
      <c r="K130" s="78"/>
    </row>
    <row r="131" spans="1:11">
      <c r="A131" s="78"/>
      <c r="B131" s="27" t="s">
        <v>95</v>
      </c>
      <c r="C131" s="36">
        <v>-163</v>
      </c>
      <c r="D131" s="36">
        <v>-149</v>
      </c>
      <c r="E131" s="36">
        <v>-155</v>
      </c>
      <c r="F131" s="37">
        <f>-F116*F49</f>
        <v>-170.45861326550573</v>
      </c>
      <c r="G131" s="37">
        <f t="shared" ref="G131:J131" si="86">-G116*G49</f>
        <v>-180.09504192269881</v>
      </c>
      <c r="H131" s="37">
        <f t="shared" si="86"/>
        <v>-193.35646948303736</v>
      </c>
      <c r="I131" s="37">
        <f t="shared" si="86"/>
        <v>-203.39597561117677</v>
      </c>
      <c r="J131" s="38">
        <f t="shared" si="86"/>
        <v>-217.00741428743061</v>
      </c>
      <c r="K131" s="78"/>
    </row>
    <row r="132" spans="1:11">
      <c r="A132" s="78"/>
      <c r="B132" s="27" t="s">
        <v>96</v>
      </c>
      <c r="C132" s="36">
        <v>-976</v>
      </c>
      <c r="D132" s="36">
        <v>-6382</v>
      </c>
      <c r="E132" s="36">
        <v>-44</v>
      </c>
      <c r="F132" s="37"/>
      <c r="G132" s="37"/>
      <c r="H132" s="37"/>
      <c r="I132" s="37"/>
      <c r="J132" s="38"/>
      <c r="K132" s="78"/>
    </row>
    <row r="133" spans="1:11">
      <c r="A133" s="78"/>
      <c r="B133" s="28" t="s">
        <v>91</v>
      </c>
      <c r="C133" s="39">
        <f t="shared" ref="C133:E133" si="87">SUM(C128:C132)</f>
        <v>-1133</v>
      </c>
      <c r="D133" s="39">
        <f t="shared" si="87"/>
        <v>-844</v>
      </c>
      <c r="E133" s="39">
        <f t="shared" si="87"/>
        <v>58</v>
      </c>
      <c r="F133" s="39">
        <f>SUM(F128:F132)</f>
        <v>-2236.8044183851489</v>
      </c>
      <c r="G133" s="39">
        <f t="shared" ref="G133:J133" si="88">SUM(G128:G132)</f>
        <v>-1668.30745259737</v>
      </c>
      <c r="H133" s="39">
        <f t="shared" si="88"/>
        <v>-1772.9145020002447</v>
      </c>
      <c r="I133" s="39">
        <f t="shared" si="88"/>
        <v>-1850.3424276613546</v>
      </c>
      <c r="J133" s="40">
        <f t="shared" si="88"/>
        <v>-1940.3399302753464</v>
      </c>
      <c r="K133" s="78"/>
    </row>
    <row r="134" spans="1:11">
      <c r="A134" s="78"/>
      <c r="B134" s="25"/>
      <c r="C134" s="41"/>
      <c r="D134" s="41"/>
      <c r="E134" s="41"/>
      <c r="F134" s="41"/>
      <c r="G134" s="41"/>
      <c r="H134" s="41"/>
      <c r="I134" s="41"/>
      <c r="J134" s="42"/>
      <c r="K134" s="78"/>
    </row>
    <row r="135" spans="1:11">
      <c r="A135" s="78"/>
      <c r="B135" s="29" t="s">
        <v>97</v>
      </c>
      <c r="C135" s="36">
        <v>-20</v>
      </c>
      <c r="D135" s="36">
        <v>59</v>
      </c>
      <c r="E135" s="36">
        <v>-43</v>
      </c>
      <c r="F135" s="37">
        <f>F67*F52</f>
        <v>0.4717768322516428</v>
      </c>
      <c r="G135" s="37">
        <f t="shared" ref="G135:J135" si="89">G67*G52</f>
        <v>0.50201821299434024</v>
      </c>
      <c r="H135" s="37">
        <f t="shared" si="89"/>
        <v>0.531920284122122</v>
      </c>
      <c r="I135" s="37">
        <f t="shared" si="89"/>
        <v>0.56074385949777628</v>
      </c>
      <c r="J135" s="38">
        <f t="shared" si="89"/>
        <v>0.58732742755092848</v>
      </c>
      <c r="K135" s="78"/>
    </row>
    <row r="136" spans="1:11">
      <c r="A136" s="78"/>
      <c r="B136" s="25"/>
      <c r="C136" s="41"/>
      <c r="D136" s="41"/>
      <c r="E136" s="41"/>
      <c r="F136" s="41"/>
      <c r="G136" s="41"/>
      <c r="H136" s="41"/>
      <c r="I136" s="41"/>
      <c r="J136" s="42"/>
      <c r="K136" s="78"/>
    </row>
    <row r="137" spans="1:11" ht="16.149999999999999" thickBot="1">
      <c r="A137" s="78"/>
      <c r="B137" s="34" t="s">
        <v>98</v>
      </c>
      <c r="C137" s="48">
        <f t="shared" ref="C137:E137" si="90">C120+C125+C133+C135</f>
        <v>113</v>
      </c>
      <c r="D137" s="48">
        <f t="shared" si="90"/>
        <v>342</v>
      </c>
      <c r="E137" s="48">
        <f t="shared" si="90"/>
        <v>1676</v>
      </c>
      <c r="F137" s="48">
        <f>F120+F125+F133+F135</f>
        <v>-475.00000000000023</v>
      </c>
      <c r="G137" s="48">
        <f t="shared" ref="G137:J137" si="91">G120+G125+G133+G135</f>
        <v>-1.312283615106935E-13</v>
      </c>
      <c r="H137" s="48">
        <f t="shared" si="91"/>
        <v>1.6986412276764895E-13</v>
      </c>
      <c r="I137" s="48">
        <f t="shared" si="91"/>
        <v>-1.0944578576754793E-12</v>
      </c>
      <c r="J137" s="49">
        <f t="shared" si="91"/>
        <v>1.8299806114896455E-12</v>
      </c>
      <c r="K137" s="78"/>
    </row>
    <row r="138" spans="1:11">
      <c r="A138" s="78"/>
      <c r="B138" s="78"/>
      <c r="C138" s="78"/>
      <c r="D138" s="78"/>
      <c r="E138" s="78"/>
      <c r="F138" s="78"/>
      <c r="G138" s="78"/>
      <c r="H138" s="78"/>
      <c r="I138" s="78"/>
      <c r="J138" s="78"/>
      <c r="K138" s="78"/>
    </row>
    <row r="139" spans="1:11">
      <c r="A139" s="78"/>
      <c r="B139" s="78"/>
      <c r="C139" s="78"/>
      <c r="D139" s="78"/>
      <c r="E139" s="78"/>
      <c r="F139" s="78"/>
      <c r="G139" s="78"/>
      <c r="H139" s="78"/>
      <c r="I139" s="78"/>
      <c r="J139" s="78"/>
      <c r="K139" s="78"/>
    </row>
  </sheetData>
  <mergeCells count="5">
    <mergeCell ref="A62:A139"/>
    <mergeCell ref="A60:K61"/>
    <mergeCell ref="B62:K62"/>
    <mergeCell ref="K63:K139"/>
    <mergeCell ref="B138:J139"/>
  </mergeCells>
  <phoneticPr fontId="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70A23-FF6D-4739-807D-C4B77B548592}">
  <dimension ref="A2:L26"/>
  <sheetViews>
    <sheetView tabSelected="1" workbookViewId="0">
      <selection activeCell="E16" sqref="E16"/>
    </sheetView>
  </sheetViews>
  <sheetFormatPr defaultColWidth="8.85546875" defaultRowHeight="15.6"/>
  <cols>
    <col min="1" max="1" width="17.140625" style="21" customWidth="1"/>
    <col min="2" max="2" width="27.5703125" style="1" customWidth="1"/>
    <col min="3" max="3" width="11.5703125" style="1" customWidth="1"/>
    <col min="4" max="11" width="8.85546875" style="1"/>
    <col min="12" max="12" width="20.85546875" style="35" customWidth="1"/>
    <col min="13" max="16384" width="8.85546875" style="1"/>
  </cols>
  <sheetData>
    <row r="2" spans="1:12" s="35" customFormat="1" ht="25.9">
      <c r="A2" s="61"/>
      <c r="B2" s="71" t="s">
        <v>99</v>
      </c>
      <c r="C2" s="62"/>
      <c r="D2" s="62" t="s">
        <v>53</v>
      </c>
      <c r="E2" s="62" t="s">
        <v>54</v>
      </c>
      <c r="F2" s="62" t="s">
        <v>55</v>
      </c>
      <c r="G2" s="62" t="s">
        <v>56</v>
      </c>
      <c r="H2" s="62" t="s">
        <v>57</v>
      </c>
      <c r="I2" s="62" t="s">
        <v>58</v>
      </c>
      <c r="J2" s="62" t="s">
        <v>59</v>
      </c>
      <c r="K2" s="62" t="s">
        <v>60</v>
      </c>
      <c r="L2" s="62" t="s">
        <v>100</v>
      </c>
    </row>
    <row r="3" spans="1:12">
      <c r="A3" s="63"/>
      <c r="B3" s="64"/>
      <c r="C3" s="64"/>
      <c r="D3" s="65"/>
      <c r="E3" s="65"/>
      <c r="F3" s="65"/>
      <c r="G3" s="65"/>
      <c r="H3" s="65"/>
      <c r="I3" s="65"/>
      <c r="J3" s="65"/>
      <c r="K3" s="65"/>
      <c r="L3" s="62"/>
    </row>
    <row r="4" spans="1:12">
      <c r="A4" s="63">
        <v>1</v>
      </c>
      <c r="B4" s="62" t="s">
        <v>101</v>
      </c>
      <c r="C4" s="64"/>
      <c r="D4" s="65"/>
      <c r="E4" s="65">
        <f>C24/C25</f>
        <v>1.0872404554588078</v>
      </c>
      <c r="F4" s="65">
        <f t="shared" ref="F4:K4" si="0">D24/D25</f>
        <v>1.3274947774385344</v>
      </c>
      <c r="G4" s="65">
        <f t="shared" si="0"/>
        <v>1.2135650630824824</v>
      </c>
      <c r="H4" s="65">
        <f t="shared" si="0"/>
        <v>1.1875046916781142</v>
      </c>
      <c r="I4" s="65">
        <f t="shared" si="0"/>
        <v>1.1651947556011701</v>
      </c>
      <c r="J4" s="65">
        <f t="shared" si="0"/>
        <v>1.1460459086759727</v>
      </c>
      <c r="K4" s="65">
        <f t="shared" si="0"/>
        <v>1.1309353307102774</v>
      </c>
      <c r="L4" s="62"/>
    </row>
    <row r="5" spans="1:12">
      <c r="A5" s="63">
        <v>2</v>
      </c>
      <c r="B5" s="62" t="s">
        <v>102</v>
      </c>
      <c r="C5" s="64"/>
      <c r="D5" s="65"/>
      <c r="E5" s="65">
        <f>('Financial Model'!D88+'Financial Model'!D89)/'Ratio Analysis'!C25</f>
        <v>0.82836570663094444</v>
      </c>
      <c r="F5" s="65">
        <f>('Financial Model'!E88+'Financial Model'!E89)/'Ratio Analysis'!D25</f>
        <v>1.0777759922866785</v>
      </c>
      <c r="G5" s="65">
        <f>('Financial Model'!F88+'Financial Model'!F89)/'Ratio Analysis'!E25</f>
        <v>0.95852254515273216</v>
      </c>
      <c r="H5" s="65">
        <f>('Financial Model'!G88+'Financial Model'!G89)/'Ratio Analysis'!F25</f>
        <v>0.9324723668530458</v>
      </c>
      <c r="I5" s="65">
        <f>('Financial Model'!H88+'Financial Model'!H89)/'Ratio Analysis'!G25</f>
        <v>0.9101966000090379</v>
      </c>
      <c r="J5" s="65">
        <f>('Financial Model'!I88+'Financial Model'!I89)/'Ratio Analysis'!H25</f>
        <v>0.89108357382073844</v>
      </c>
      <c r="K5" s="65">
        <f>('Financial Model'!J88+'Financial Model'!J89)/'Ratio Analysis'!I25</f>
        <v>0.87604612799777792</v>
      </c>
      <c r="L5" s="62"/>
    </row>
    <row r="6" spans="1:12">
      <c r="A6" s="63">
        <v>3</v>
      </c>
      <c r="B6" s="62" t="s">
        <v>103</v>
      </c>
      <c r="C6" s="64"/>
      <c r="D6" s="65">
        <f>B23/'Financial Model'!C67</f>
        <v>1.7083396859277329</v>
      </c>
      <c r="E6" s="65">
        <f>C23/'Financial Model'!D67</f>
        <v>1.7037472561931639</v>
      </c>
      <c r="F6" s="65">
        <f>D23/'Financial Model'!E67</f>
        <v>1.7067422017065323</v>
      </c>
      <c r="G6" s="65">
        <f>E23/'Financial Model'!F67</f>
        <v>1.7085258912956798</v>
      </c>
      <c r="H6" s="65">
        <f>F23/'Financial Model'!G67</f>
        <v>1.7083147384993507</v>
      </c>
      <c r="I6" s="65">
        <f>G23/'Financial Model'!H67</f>
        <v>1.7076077083058145</v>
      </c>
      <c r="J6" s="65">
        <f>H23/'Financial Model'!I67</f>
        <v>1.7068678162245554</v>
      </c>
      <c r="K6" s="65">
        <f>I23/'Financial Model'!J67</f>
        <v>1.7053613933819571</v>
      </c>
      <c r="L6" s="62"/>
    </row>
    <row r="7" spans="1:12">
      <c r="A7" s="63">
        <v>4</v>
      </c>
      <c r="B7" s="62" t="s">
        <v>104</v>
      </c>
      <c r="C7" s="64"/>
      <c r="D7" s="65">
        <f>('Financial Model'!C83/'Financial Model'!C67)*100</f>
        <v>8.5073944198810807</v>
      </c>
      <c r="E7" s="65">
        <f>('Financial Model'!D83/'Financial Model'!D67)*100</f>
        <v>7.1025399811853243</v>
      </c>
      <c r="F7" s="65">
        <f>('Financial Model'!E83/'Financial Model'!E67)*100</f>
        <v>8.7145055252482866</v>
      </c>
      <c r="G7" s="65">
        <f>('Financial Model'!F83/'Financial Model'!F67)*100</f>
        <v>7.7494892183820649</v>
      </c>
      <c r="H7" s="65">
        <f>('Financial Model'!G83/'Financial Model'!G67)*100</f>
        <v>7.6943691886573768</v>
      </c>
      <c r="I7" s="65">
        <f>('Financial Model'!H83/'Financial Model'!H67)*100</f>
        <v>7.7965576241012542</v>
      </c>
      <c r="J7" s="65">
        <f>('Financial Model'!I83/'Financial Model'!I67)*100</f>
        <v>7.7798024032612236</v>
      </c>
      <c r="K7" s="65">
        <f>('Financial Model'!J83/'Financial Model'!J67)*100</f>
        <v>7.9247400857446841</v>
      </c>
      <c r="L7" s="62"/>
    </row>
    <row r="8" spans="1:12">
      <c r="A8" s="63">
        <v>5</v>
      </c>
      <c r="B8" s="62" t="s">
        <v>105</v>
      </c>
      <c r="C8" s="64"/>
      <c r="D8" s="65">
        <f>('Financial Model'!C71/'Financial Model'!C67)*100</f>
        <v>-15.040402500381155</v>
      </c>
      <c r="E8" s="65">
        <f>('Financial Model'!D71/'Financial Model'!D67)*100</f>
        <v>-16.27469426152399</v>
      </c>
      <c r="F8" s="65">
        <f>('Financial Model'!E71/'Financial Model'!E67)*100</f>
        <v>-14.73632675898727</v>
      </c>
      <c r="G8" s="65">
        <f>('Financial Model'!F71/'Financial Model'!F67)*100</f>
        <v>-15.35047450696414</v>
      </c>
      <c r="H8" s="65">
        <f>('Financial Model'!G71/'Financial Model'!G67)*100</f>
        <v>-15.35047450696414</v>
      </c>
      <c r="I8" s="65">
        <f>('Financial Model'!H71/'Financial Model'!H67)*100</f>
        <v>-15.35047450696414</v>
      </c>
      <c r="J8" s="65">
        <f>('Financial Model'!I71/'Financial Model'!I67)*100</f>
        <v>-15.35047450696414</v>
      </c>
      <c r="K8" s="65">
        <f>('Financial Model'!J71/'Financial Model'!J67)*100</f>
        <v>-15.35047450696414</v>
      </c>
      <c r="L8" s="62"/>
    </row>
    <row r="9" spans="1:12">
      <c r="A9" s="63">
        <v>6</v>
      </c>
      <c r="B9" s="62" t="s">
        <v>106</v>
      </c>
      <c r="C9" s="64"/>
      <c r="D9" s="65"/>
      <c r="E9" s="65">
        <f>'Financial Model'!D72/'Ratio Analysis'!C26</f>
        <v>0.3594343604896581</v>
      </c>
      <c r="F9" s="65">
        <f>'Financial Model'!E72/'Ratio Analysis'!D26</f>
        <v>0.34445178335535004</v>
      </c>
      <c r="G9" s="65">
        <f>'Financial Model'!F72/'Ratio Analysis'!E26</f>
        <v>0.37901740798341127</v>
      </c>
      <c r="H9" s="65">
        <f>'Financial Model'!G72/'Ratio Analysis'!F26</f>
        <v>0.41097742249567609</v>
      </c>
      <c r="I9" s="65">
        <f>'Financial Model'!H72/'Ratio Analysis'!G26</f>
        <v>0.44566279915073975</v>
      </c>
      <c r="J9" s="65">
        <f>'Financial Model'!I72/'Ratio Analysis'!H26</f>
        <v>0.48140511151214155</v>
      </c>
      <c r="K9" s="65">
        <f>'Financial Model'!J72/'Ratio Analysis'!I26</f>
        <v>0.51919404005857706</v>
      </c>
      <c r="L9" s="62"/>
    </row>
    <row r="10" spans="1:12">
      <c r="A10" s="63">
        <v>7</v>
      </c>
      <c r="B10" s="62" t="s">
        <v>107</v>
      </c>
      <c r="C10" s="64"/>
      <c r="D10" s="65"/>
      <c r="E10" s="65">
        <f>'Financial Model'!D100/'Financial Model'!D107</f>
        <v>-1.8628553577007185</v>
      </c>
      <c r="F10" s="65">
        <f>'Financial Model'!E100/'Financial Model'!E107</f>
        <v>-2.4373324396782841</v>
      </c>
      <c r="G10" s="65">
        <f>'Financial Model'!F100/'Financial Model'!F107</f>
        <v>-1.9388217614548233</v>
      </c>
      <c r="H10" s="65">
        <f>'Financial Model'!G100/'Financial Model'!G107</f>
        <v>-1.850876291792102</v>
      </c>
      <c r="I10" s="65">
        <f>'Financial Model'!H100/'Financial Model'!H107</f>
        <v>-1.7679503750572474</v>
      </c>
      <c r="J10" s="65">
        <f>'Financial Model'!I100/'Financial Model'!I107</f>
        <v>-1.6906217414079856</v>
      </c>
      <c r="K10" s="65">
        <f>'Financial Model'!J100/'Financial Model'!J107</f>
        <v>-1.6245331949939747</v>
      </c>
      <c r="L10" s="62"/>
    </row>
    <row r="11" spans="1:12">
      <c r="A11" s="63">
        <v>8</v>
      </c>
      <c r="B11" s="62" t="s">
        <v>108</v>
      </c>
      <c r="C11" s="64"/>
      <c r="D11" s="65"/>
      <c r="E11" s="65">
        <f>'Financial Model'!D72/ABS('Financial Model'!D76)</f>
        <v>13.959016393442623</v>
      </c>
      <c r="F11" s="65">
        <f>'Financial Model'!E72/ABS('Financial Model'!E76)</f>
        <v>15.338235294117647</v>
      </c>
      <c r="G11" s="65">
        <f>'Financial Model'!F72/ABS('Financial Model'!F76)</f>
        <v>11.51843596764656</v>
      </c>
      <c r="H11" s="65">
        <f>'Financial Model'!G72/ABS('Financial Model'!G76)</f>
        <v>10.591037185229384</v>
      </c>
      <c r="I11" s="65">
        <f>'Financial Model'!H72/ABS('Financial Model'!H76)</f>
        <v>11.530969301574379</v>
      </c>
      <c r="J11" s="65">
        <f>'Financial Model'!I72/ABS('Financial Model'!I76)</f>
        <v>10.719487870323553</v>
      </c>
      <c r="K11" s="65">
        <f>'Financial Model'!J72/ABS('Financial Model'!J76)</f>
        <v>11.630844068656645</v>
      </c>
      <c r="L11" s="62"/>
    </row>
    <row r="12" spans="1:12">
      <c r="A12" s="63">
        <v>9</v>
      </c>
      <c r="B12" s="62" t="s">
        <v>109</v>
      </c>
      <c r="C12" s="64"/>
      <c r="D12" s="65"/>
      <c r="E12" s="65">
        <f>'Financial Model'!D67/'Financial Model'!D91</f>
        <v>4.2085120422302866</v>
      </c>
      <c r="F12" s="65">
        <f>'Financial Model'!E67/'Financial Model'!E91</f>
        <v>4.999300699300699</v>
      </c>
      <c r="G12" s="65">
        <f>'Financial Model'!F67/'Financial Model'!F91</f>
        <v>5.3701414289787159</v>
      </c>
      <c r="H12" s="65">
        <f>'Financial Model'!G67/'Financial Model'!G91</f>
        <v>5.7869303183072907</v>
      </c>
      <c r="I12" s="65">
        <f>'Financial Model'!H67/'Financial Model'!H91</f>
        <v>6.2152389445963925</v>
      </c>
      <c r="J12" s="65">
        <f>'Financial Model'!I67/'Financial Model'!I91</f>
        <v>6.6475951622091465</v>
      </c>
      <c r="K12" s="65">
        <f>'Financial Model'!J67/'Financial Model'!J91</f>
        <v>7.0707639290700932</v>
      </c>
      <c r="L12" s="62"/>
    </row>
    <row r="13" spans="1:12">
      <c r="A13" s="63">
        <v>10</v>
      </c>
      <c r="B13" s="62" t="s">
        <v>110</v>
      </c>
      <c r="C13" s="64"/>
      <c r="D13" s="65"/>
      <c r="E13" s="65">
        <f>ABS('Financial Model'!D69+'Financial Model'!D70)/'Financial Model'!D89</f>
        <v>2.8516518424396442</v>
      </c>
      <c r="F13" s="65">
        <f>ABS('Financial Model'!E69+'Financial Model'!E70)/'Financial Model'!E89</f>
        <v>3.1265470297029703</v>
      </c>
      <c r="G13" s="65">
        <f>ABS('Financial Model'!F69+'Financial Model'!F70)/'Financial Model'!F89</f>
        <v>2.996949232835314</v>
      </c>
      <c r="H13" s="65">
        <f>ABS('Financial Model'!G69+'Financial Model'!G70)/'Financial Model'!G89</f>
        <v>2.9960560908644371</v>
      </c>
      <c r="I13" s="65">
        <f>ABS('Financial Model'!H69+'Financial Model'!H70)/'Financial Model'!H89</f>
        <v>2.9930654681897524</v>
      </c>
      <c r="J13" s="65">
        <f>ABS('Financial Model'!I69+'Financial Model'!I70)/'Financial Model'!I89</f>
        <v>2.9899358450771021</v>
      </c>
      <c r="K13" s="65">
        <f>ABS('Financial Model'!J69+'Financial Model'!J70)/'Financial Model'!J89</f>
        <v>2.9835639215695577</v>
      </c>
      <c r="L13" s="62"/>
    </row>
    <row r="14" spans="1:12">
      <c r="A14" s="63">
        <v>11</v>
      </c>
      <c r="B14" s="62" t="s">
        <v>111</v>
      </c>
      <c r="C14" s="64"/>
      <c r="D14" s="65"/>
      <c r="E14" s="65">
        <f>'Financial Model'!D67/(('Financial Model'!C89+'Financial Model'!D89)/2)</f>
        <v>8.1041931385006354</v>
      </c>
      <c r="F14" s="65">
        <f>'Financial Model'!E67/(('Financial Model'!D89+'Financial Model'!E89)/2)</f>
        <v>4.4821316614420059</v>
      </c>
      <c r="G14" s="65">
        <f>'Financial Model'!F67/(('Financial Model'!E89+'Financial Model'!F89)/2)</f>
        <v>4.4510613907994081</v>
      </c>
      <c r="H14" s="65">
        <f>'Financial Model'!G67/(('Financial Model'!F89+'Financial Model'!G89)/2)</f>
        <v>4.361195645335072</v>
      </c>
      <c r="I14" s="65">
        <f>'Financial Model'!H67/(('Financial Model'!G89+'Financial Model'!H89)/2)</f>
        <v>4.3521665109412924</v>
      </c>
      <c r="J14" s="65">
        <f>'Financial Model'!I67/(('Financial Model'!H89+'Financial Model'!I89)/2)</f>
        <v>4.3414168908900548</v>
      </c>
      <c r="K14" s="65">
        <f>'Financial Model'!J67/(('Financial Model'!I89+'Financial Model'!J89)/2)</f>
        <v>4.3277790847172959</v>
      </c>
      <c r="L14" s="62"/>
    </row>
    <row r="15" spans="1:12">
      <c r="A15" s="63">
        <v>12</v>
      </c>
      <c r="B15" s="62" t="s">
        <v>112</v>
      </c>
      <c r="C15" s="64"/>
      <c r="D15" s="65"/>
      <c r="E15" s="65">
        <f>ABS('Financial Model'!D69+'Financial Model'!D70)/'Financial Model'!D90</f>
        <v>5.8065976714100902</v>
      </c>
      <c r="F15" s="65">
        <f>ABS('Financial Model'!E69+'Financial Model'!E70)/'Financial Model'!E90</f>
        <v>6.5025740025740024</v>
      </c>
      <c r="G15" s="65">
        <f>ABS('Financial Model'!F69+'Financial Model'!F70)/'Financial Model'!F90</f>
        <v>6.1349101404314021</v>
      </c>
      <c r="H15" s="65">
        <f>ABS('Financial Model'!G69+'Financial Model'!G70)/'Financial Model'!G90</f>
        <v>6.134910140431403</v>
      </c>
      <c r="I15" s="65">
        <f>ABS('Financial Model'!H69+'Financial Model'!H70)/'Financial Model'!H90</f>
        <v>6.1349101404314021</v>
      </c>
      <c r="J15" s="65">
        <f>ABS('Financial Model'!I69+'Financial Model'!I70)/'Financial Model'!I90</f>
        <v>6.134910140431403</v>
      </c>
      <c r="K15" s="65">
        <f>ABS('Financial Model'!J69+'Financial Model'!J70)/'Financial Model'!J90</f>
        <v>6.134910140431403</v>
      </c>
      <c r="L15" s="62"/>
    </row>
    <row r="16" spans="1:12">
      <c r="A16" s="63">
        <v>13</v>
      </c>
      <c r="B16" s="62" t="s">
        <v>113</v>
      </c>
      <c r="C16" s="64"/>
      <c r="D16" s="65"/>
      <c r="E16" s="65"/>
      <c r="F16" s="65"/>
      <c r="G16" s="65"/>
      <c r="H16" s="65"/>
      <c r="I16" s="65"/>
      <c r="J16" s="65"/>
      <c r="K16" s="65"/>
      <c r="L16" s="62"/>
    </row>
    <row r="17" spans="1:12">
      <c r="A17" s="63">
        <v>14</v>
      </c>
      <c r="B17" s="62" t="s">
        <v>114</v>
      </c>
      <c r="C17" s="64"/>
      <c r="D17" s="65"/>
      <c r="E17" s="65"/>
      <c r="F17" s="65"/>
      <c r="G17" s="65"/>
      <c r="H17" s="65"/>
      <c r="I17" s="65"/>
      <c r="J17" s="65"/>
      <c r="K17" s="65"/>
      <c r="L17" s="62"/>
    </row>
    <row r="18" spans="1:12">
      <c r="A18" s="63">
        <v>15</v>
      </c>
      <c r="B18" s="62" t="s">
        <v>115</v>
      </c>
      <c r="C18" s="64"/>
      <c r="D18" s="65"/>
      <c r="E18" s="65">
        <f>('Financial Model'!D97/ABS('Financial Model'!D69+'Financial Model'!D70))*365</f>
        <v>59.078199844045898</v>
      </c>
      <c r="F18" s="65">
        <f>('Financial Model'!E97/ABS('Financial Model'!E69+'Financial Model'!E70))*365</f>
        <v>56.203859475507173</v>
      </c>
      <c r="G18" s="65">
        <f>('Financial Model'!F97/ABS('Financial Model'!F69+'Financial Model'!F70))*365</f>
        <v>57.641029659776535</v>
      </c>
      <c r="H18" s="65">
        <f>('Financial Model'!G97/ABS('Financial Model'!G69+'Financial Model'!G70))*365</f>
        <v>57.641029659776535</v>
      </c>
      <c r="I18" s="65">
        <f>('Financial Model'!H97/ABS('Financial Model'!H69+'Financial Model'!H70))*365</f>
        <v>57.641029659776535</v>
      </c>
      <c r="J18" s="65">
        <f>('Financial Model'!I97/ABS('Financial Model'!I69+'Financial Model'!I70))*365</f>
        <v>57.641029659776535</v>
      </c>
      <c r="K18" s="65">
        <f>('Financial Model'!J97/ABS('Financial Model'!J69+'Financial Model'!J70))*365</f>
        <v>57.641029659776535</v>
      </c>
      <c r="L18" s="62"/>
    </row>
    <row r="19" spans="1:12">
      <c r="A19" s="63">
        <v>16</v>
      </c>
      <c r="B19" s="62" t="s">
        <v>116</v>
      </c>
      <c r="C19" s="64"/>
      <c r="D19" s="65"/>
      <c r="E19" s="65">
        <f>('Financial Model'!D89/'Financial Model'!D67)*365</f>
        <v>90.076826591407965</v>
      </c>
      <c r="F19" s="65">
        <f>('Financial Model'!E89/'Financial Model'!E67)*365</f>
        <v>82.506644285914106</v>
      </c>
      <c r="G19" s="65">
        <f>('Financial Model'!F89/'Financial Model'!F67)*365</f>
        <v>86.291735438661036</v>
      </c>
      <c r="H19" s="65">
        <f>('Financial Model'!G89/'Financial Model'!G67)*365</f>
        <v>86.291735438661036</v>
      </c>
      <c r="I19" s="65">
        <f>('Financial Model'!H89/'Financial Model'!H67)*365</f>
        <v>86.291735438661036</v>
      </c>
      <c r="J19" s="65">
        <f>('Financial Model'!I89/'Financial Model'!I67)*365</f>
        <v>86.291735438661036</v>
      </c>
      <c r="K19" s="65">
        <f>('Financial Model'!J89/'Financial Model'!J67)*365</f>
        <v>86.29173543866105</v>
      </c>
      <c r="L19" s="62"/>
    </row>
    <row r="20" spans="1:12">
      <c r="A20" s="63"/>
      <c r="B20" s="64"/>
      <c r="C20" s="64"/>
      <c r="D20" s="65"/>
      <c r="E20" s="65"/>
      <c r="F20" s="65"/>
      <c r="G20" s="65"/>
      <c r="H20" s="65"/>
      <c r="I20" s="65"/>
      <c r="J20" s="65"/>
      <c r="K20" s="65"/>
      <c r="L20" s="62"/>
    </row>
    <row r="21" spans="1:12" ht="16.149999999999999" thickBot="1">
      <c r="A21" s="73"/>
      <c r="D21" s="50"/>
      <c r="E21" s="50"/>
      <c r="F21" s="50"/>
      <c r="G21" s="50"/>
      <c r="H21" s="50"/>
      <c r="I21" s="50"/>
      <c r="J21" s="50"/>
      <c r="K21" s="50"/>
    </row>
    <row r="22" spans="1:12">
      <c r="A22" s="51"/>
      <c r="B22" s="52"/>
      <c r="C22" s="53"/>
      <c r="D22" s="54"/>
      <c r="E22" s="54"/>
      <c r="F22" s="54"/>
      <c r="G22" s="54"/>
      <c r="H22" s="54"/>
      <c r="I22" s="55"/>
      <c r="J22" s="50"/>
      <c r="K22" s="50"/>
    </row>
    <row r="23" spans="1:12">
      <c r="A23" s="56" t="s">
        <v>117</v>
      </c>
      <c r="B23" s="41">
        <f>'Financial Model'!C67-('Financial Model'!C69+'Financial Model'!C70)</f>
        <v>22410</v>
      </c>
      <c r="C23" s="41">
        <f>'Financial Model'!D67-('Financial Model'!D69+'Financial Model'!D70)</f>
        <v>21733</v>
      </c>
      <c r="D23" s="41">
        <f>'Financial Model'!E67-('Financial Model'!E69+'Financial Model'!E70)</f>
        <v>24403</v>
      </c>
      <c r="E23" s="41">
        <f>'Financial Model'!F67-('Financial Model'!F69+'Financial Model'!F70)</f>
        <v>25934.98564724025</v>
      </c>
      <c r="F23" s="41">
        <f>'Financial Model'!G67-('Financial Model'!G69+'Financial Model'!G70)</f>
        <v>27594.034227931501</v>
      </c>
      <c r="G23" s="41">
        <f>'Financial Model'!H67-('Financial Model'!H69+'Financial Model'!H70)</f>
        <v>29225.536741656535</v>
      </c>
      <c r="H23" s="41">
        <f>'Financial Model'!I67-('Financial Model'!I69+'Financial Model'!I70)</f>
        <v>30795.854110371663</v>
      </c>
      <c r="I23" s="42">
        <f>'Financial Model'!J67-('Financial Model'!J69+'Financial Model'!J70)</f>
        <v>32227.346377644863</v>
      </c>
      <c r="J23" s="41"/>
    </row>
    <row r="24" spans="1:12">
      <c r="A24" s="56" t="s">
        <v>118</v>
      </c>
      <c r="C24" s="41">
        <f>'Financial Model'!D88+'Financial Model'!D89+'Financial Model'!D90</f>
        <v>6493</v>
      </c>
      <c r="D24" s="41">
        <f>'Financial Model'!E88+'Financial Model'!E89+'Financial Model'!E90</f>
        <v>8261</v>
      </c>
      <c r="E24" s="41">
        <f>'Financial Model'!F88+'Financial Model'!F89+'Financial Model'!F90</f>
        <v>8341.8513100251494</v>
      </c>
      <c r="F24" s="41">
        <f>'Financial Model'!G88+'Financial Model'!G89+'Financial Model'!G90</f>
        <v>8683.713529312814</v>
      </c>
      <c r="G24" s="41">
        <f>'Financial Model'!H88+'Financial Model'!H89+'Financial Model'!H90</f>
        <v>9020.2841960019778</v>
      </c>
      <c r="H24" s="41">
        <f>'Financial Model'!I88+'Financial Model'!I89+'Financial Model'!I90</f>
        <v>9344.3340185914658</v>
      </c>
      <c r="I24" s="42">
        <f>'Financial Model'!J88+'Financial Model'!J89+'Financial Model'!J90</f>
        <v>9640.4638969904663</v>
      </c>
    </row>
    <row r="25" spans="1:12">
      <c r="A25" s="56" t="s">
        <v>119</v>
      </c>
      <c r="C25" s="41">
        <f>'Financial Model'!D97+'Financial Model'!D98+'Financial Model'!D99</f>
        <v>5972</v>
      </c>
      <c r="D25" s="41">
        <f>'Financial Model'!E97+'Financial Model'!E98+'Financial Model'!E99</f>
        <v>6223</v>
      </c>
      <c r="E25" s="41">
        <f>'Financial Model'!F97+'Financial Model'!F98+'Financial Model'!F99</f>
        <v>6873.839371114278</v>
      </c>
      <c r="F25" s="41">
        <f>'Financial Model'!G97+'Financial Model'!G98+'Financial Model'!G99</f>
        <v>7312.5719756454037</v>
      </c>
      <c r="G25" s="41">
        <f>'Financial Model'!H97+'Financial Model'!H98+'Financial Model'!H99</f>
        <v>7741.439062131768</v>
      </c>
      <c r="H25" s="41">
        <f>'Financial Model'!I97+'Financial Model'!I98+'Financial Model'!I99</f>
        <v>8153.5424958560152</v>
      </c>
      <c r="I25" s="42">
        <f>'Financial Model'!J97+'Financial Model'!J98+'Financial Model'!J99</f>
        <v>8524.3281690879958</v>
      </c>
    </row>
    <row r="26" spans="1:12" ht="16.149999999999999" thickBot="1">
      <c r="A26" s="57" t="s">
        <v>120</v>
      </c>
      <c r="B26" s="58"/>
      <c r="C26" s="59">
        <f>'Financial Model'!D94-'Ratio Analysis'!C25</f>
        <v>4738</v>
      </c>
      <c r="D26" s="59">
        <f>'Financial Model'!E94-'Ratio Analysis'!D25</f>
        <v>6056</v>
      </c>
      <c r="E26" s="59">
        <f>'Financial Model'!F94-'Ratio Analysis'!E25</f>
        <v>5525.7082543000251</v>
      </c>
      <c r="F26" s="59">
        <f>'Financial Model'!G94-'Ratio Analysis'!F25</f>
        <v>5430.9544241836902</v>
      </c>
      <c r="G26" s="59">
        <f>'Financial Model'!H94-'Ratio Analysis'!G25</f>
        <v>5333.7334961267998</v>
      </c>
      <c r="H26" s="59">
        <f>'Financial Model'!I94-'Ratio Analysis'!H25</f>
        <v>5233.0205252107598</v>
      </c>
      <c r="I26" s="60">
        <f>'Financial Model'!J94-'Ratio Analysis'!I25</f>
        <v>5137.0009466510346</v>
      </c>
      <c r="J26" s="41"/>
    </row>
  </sheetData>
  <phoneticPr fontId="8" type="noConversion"/>
  <pageMargins left="0.7" right="0.7" top="0.75" bottom="0.75" header="0.3" footer="0.3"/>
  <extLst>
    <ext xmlns:x14="http://schemas.microsoft.com/office/spreadsheetml/2009/9/main" uri="{05C60535-1F16-4fd2-B633-F4F36F0B64E0}">
      <x14:sparklineGroups xmlns:xm="http://schemas.microsoft.com/office/excel/2006/main">
        <x14:sparklineGroup displayEmptyCellsAs="gap" xr2:uid="{424E91DA-FB3A-49B6-9817-CBC171584DB3}">
          <x14:colorSeries rgb="FF376092"/>
          <x14:colorNegative rgb="FFD00000"/>
          <x14:colorAxis rgb="FF000000"/>
          <x14:colorMarkers rgb="FFD00000"/>
          <x14:colorFirst rgb="FFD00000"/>
          <x14:colorLast rgb="FFD00000"/>
          <x14:colorHigh rgb="FFD00000"/>
          <x14:colorLow rgb="FFD00000"/>
          <x14:sparklines>
            <x14:sparkline>
              <xm:f>'Ratio Analysis'!E4:K4</xm:f>
              <xm:sqref>L4</xm:sqref>
            </x14:sparkline>
            <x14:sparkline>
              <xm:f>'Ratio Analysis'!E5:K5</xm:f>
              <xm:sqref>L5</xm:sqref>
            </x14:sparkline>
            <x14:sparkline>
              <xm:f>'Ratio Analysis'!E6:K6</xm:f>
              <xm:sqref>L6</xm:sqref>
            </x14:sparkline>
            <x14:sparkline>
              <xm:f>'Ratio Analysis'!E7:K7</xm:f>
              <xm:sqref>L7</xm:sqref>
            </x14:sparkline>
            <x14:sparkline>
              <xm:f>'Ratio Analysis'!E8:K8</xm:f>
              <xm:sqref>L8</xm:sqref>
            </x14:sparkline>
            <x14:sparkline>
              <xm:f>'Ratio Analysis'!E9:K9</xm:f>
              <xm:sqref>L9</xm:sqref>
            </x14:sparkline>
            <x14:sparkline>
              <xm:f>'Ratio Analysis'!E10:K10</xm:f>
              <xm:sqref>L10</xm:sqref>
            </x14:sparkline>
            <x14:sparkline>
              <xm:f>'Ratio Analysis'!E11:K11</xm:f>
              <xm:sqref>L11</xm:sqref>
            </x14:sparkline>
            <x14:sparkline>
              <xm:f>'Ratio Analysis'!E12:K12</xm:f>
              <xm:sqref>L12</xm:sqref>
            </x14:sparkline>
            <x14:sparkline>
              <xm:f>'Ratio Analysis'!E13:K13</xm:f>
              <xm:sqref>L13</xm:sqref>
            </x14:sparkline>
            <x14:sparkline>
              <xm:f>'Ratio Analysis'!E14:K14</xm:f>
              <xm:sqref>L14</xm:sqref>
            </x14:sparkline>
            <x14:sparkline>
              <xm:f>'Ratio Analysis'!E15:K15</xm:f>
              <xm:sqref>L15</xm:sqref>
            </x14:sparkline>
            <x14:sparkline>
              <xm:f>'Ratio Analysis'!E16:K16</xm:f>
              <xm:sqref>L16</xm:sqref>
            </x14:sparkline>
            <x14:sparkline>
              <xm:f>'Ratio Analysis'!E17:K17</xm:f>
              <xm:sqref>L17</xm:sqref>
            </x14:sparkline>
            <x14:sparkline>
              <xm:f>'Ratio Analysis'!E18:K18</xm:f>
              <xm:sqref>L18</xm:sqref>
            </x14:sparkline>
            <x14:sparkline>
              <xm:f>'Ratio Analysis'!E19:K19</xm:f>
              <xm:sqref>L19</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66B5E-6D94-4F54-A052-64A2F9B40D3E}">
  <dimension ref="A1"/>
  <sheetViews>
    <sheetView workbookViewId="0">
      <selection activeCell="N29" sqref="N29"/>
    </sheetView>
  </sheetViews>
  <sheetFormatPr defaultRowHeight="14.4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Rohit Chavan</dc:creator>
  <cp:keywords/>
  <dc:description/>
  <cp:lastModifiedBy>Ayushi Tiwari</cp:lastModifiedBy>
  <cp:revision/>
  <dcterms:created xsi:type="dcterms:W3CDTF">2024-08-29T15:33:59Z</dcterms:created>
  <dcterms:modified xsi:type="dcterms:W3CDTF">2024-09-07T03:38:47Z</dcterms:modified>
  <cp:category/>
  <cp:contentStatus/>
</cp:coreProperties>
</file>