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912" yWindow="-13908" windowWidth="23256" windowHeight="13176" tabRatio="594" activeTab="2"/>
  </bookViews>
  <sheets>
    <sheet name="Arranged Data" sheetId="6" r:id="rId1"/>
    <sheet name="Pivot Table1" sheetId="7" r:id="rId2"/>
    <sheet name="Questions" sheetId="3" r:id="rId3"/>
    <sheet name="ODDs Risk Ratio" sheetId="8" r:id="rId4"/>
    <sheet name="Sheet4" sheetId="11" state="hidden" r:id="rId5"/>
    <sheet name="Sheet3" sheetId="10" state="hidden" r:id="rId6"/>
    <sheet name="Sheet2" sheetId="9" state="hidden" r:id="rId7"/>
    <sheet name="Chi Square" sheetId="13" r:id="rId8"/>
    <sheet name="T test" sheetId="14" r:id="rId9"/>
    <sheet name="ANOVA" sheetId="16" r:id="rId10"/>
    <sheet name="MANOVA" sheetId="17" r:id="rId11"/>
    <sheet name="Raw Data" sheetId="4" r:id="rId12"/>
  </sheets>
  <externalReferences>
    <externalReference r:id="rId13"/>
  </externalReferences>
  <definedNames>
    <definedName name="_xlchart.v1.0" hidden="1">'Arranged Data'!$E$51:$E$62</definedName>
    <definedName name="_xlchart.v1.1" hidden="1">'Arranged Data'!$F$50</definedName>
    <definedName name="_xlchart.v1.2" hidden="1">'Arranged Data'!$F$51:$F$62</definedName>
    <definedName name="_xlchart.v1.3" hidden="1">'Arranged Data'!$G$50</definedName>
    <definedName name="_xlchart.v1.4" hidden="1">'Arranged Data'!$G$51:$G$62</definedName>
    <definedName name="_xlchart.v1.5" hidden="1">'Arranged Data'!$H$50</definedName>
    <definedName name="_xlchart.v1.6" hidden="1">'Arranged Data'!$H$51:$H$62</definedName>
    <definedName name="_xlchart.v1.7" hidden="1">'Arranged Data'!$P$6</definedName>
    <definedName name="_xlchart.v1.8" hidden="1">'Arranged Data'!$P$7:$P$18</definedName>
    <definedName name="bucket1">'Arranged Data'!$W$8:$X$10</definedName>
  </definedNames>
  <calcPr calcId="144525"/>
  <pivotCaches>
    <pivotCache cacheId="0" r:id="rId14"/>
    <pivotCache cacheId="2" r:id="rId15"/>
    <pivotCache cacheId="3" r:id="rId16"/>
    <pivotCache cacheId="9" r:id="rId17"/>
    <pivotCache cacheId="17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7" i="17" l="1"/>
  <c r="AG8" i="17"/>
  <c r="AG9" i="17"/>
  <c r="AG10" i="17"/>
  <c r="AG11" i="17"/>
  <c r="AG12" i="17"/>
  <c r="AG13" i="17"/>
  <c r="AG14" i="17"/>
  <c r="AG15" i="17"/>
  <c r="AG16" i="17"/>
  <c r="AG17" i="17"/>
  <c r="AG18" i="17"/>
  <c r="AG19" i="17"/>
  <c r="AG20" i="17"/>
  <c r="AG21" i="17"/>
  <c r="AG22" i="17"/>
  <c r="AG23" i="17"/>
  <c r="AG24" i="17"/>
  <c r="AG25" i="17"/>
  <c r="AG26" i="17"/>
  <c r="AG6" i="17"/>
  <c r="AE27" i="17"/>
  <c r="AF27" i="17"/>
  <c r="AD27" i="17"/>
  <c r="AD7" i="17"/>
  <c r="AE7" i="17"/>
  <c r="AF7" i="17"/>
  <c r="AD8" i="17"/>
  <c r="AE8" i="17"/>
  <c r="AF8" i="17"/>
  <c r="AD9" i="17"/>
  <c r="AE9" i="17"/>
  <c r="AF9" i="17"/>
  <c r="AD10" i="17"/>
  <c r="AE10" i="17"/>
  <c r="AF10" i="17"/>
  <c r="AD11" i="17"/>
  <c r="AE11" i="17"/>
  <c r="AF11" i="17"/>
  <c r="AD12" i="17"/>
  <c r="AE12" i="17"/>
  <c r="AF12" i="17"/>
  <c r="AD13" i="17"/>
  <c r="AE13" i="17"/>
  <c r="AF13" i="17"/>
  <c r="AD14" i="17"/>
  <c r="AE14" i="17"/>
  <c r="AF14" i="17"/>
  <c r="AD15" i="17"/>
  <c r="AE15" i="17"/>
  <c r="AF15" i="17"/>
  <c r="AD16" i="17"/>
  <c r="AE16" i="17"/>
  <c r="AF16" i="17"/>
  <c r="AD17" i="17"/>
  <c r="AE17" i="17"/>
  <c r="AF17" i="17"/>
  <c r="AD18" i="17"/>
  <c r="AE18" i="17"/>
  <c r="AF18" i="17"/>
  <c r="AD19" i="17"/>
  <c r="AE19" i="17"/>
  <c r="AF19" i="17"/>
  <c r="AD20" i="17"/>
  <c r="AE20" i="17"/>
  <c r="AF20" i="17"/>
  <c r="AD21" i="17"/>
  <c r="AE21" i="17"/>
  <c r="AF21" i="17"/>
  <c r="AD22" i="17"/>
  <c r="AE22" i="17"/>
  <c r="AF22" i="17"/>
  <c r="AD23" i="17"/>
  <c r="AE23" i="17"/>
  <c r="AF23" i="17"/>
  <c r="AD24" i="17"/>
  <c r="AE24" i="17"/>
  <c r="AF24" i="17"/>
  <c r="AD25" i="17"/>
  <c r="AE25" i="17"/>
  <c r="AF25" i="17"/>
  <c r="AD26" i="17"/>
  <c r="AE26" i="17"/>
  <c r="AF26" i="17"/>
  <c r="AE6" i="17"/>
  <c r="AF6" i="17"/>
  <c r="AD6" i="17"/>
  <c r="AD5" i="17" a="1"/>
  <c r="AD5" i="17"/>
  <c r="AE5" i="17"/>
  <c r="AF5" i="17"/>
  <c r="U99" i="17"/>
  <c r="T99" i="17"/>
  <c r="V69" i="17"/>
  <c r="U67" i="17"/>
  <c r="T67" i="17"/>
  <c r="V37" i="17"/>
  <c r="U35" i="17"/>
  <c r="T35" i="17"/>
  <c r="V5" i="17"/>
  <c r="U97" i="17"/>
  <c r="S73" i="17" a="1"/>
  <c r="U65" i="17"/>
  <c r="S41" i="17" a="1"/>
  <c r="U33" i="17"/>
  <c r="S9" i="17" a="1"/>
  <c r="O116" i="17" a="1"/>
  <c r="O111" i="17" a="1"/>
  <c r="O106" i="17" a="1"/>
  <c r="O101" i="17" a="1"/>
  <c r="O96" i="17" a="1"/>
  <c r="O91" i="17" a="1"/>
  <c r="O86" i="17" a="1"/>
  <c r="O81" i="17" a="1"/>
  <c r="O76" i="17" a="1"/>
  <c r="O71" i="17" a="1"/>
  <c r="O66" i="17" a="1"/>
  <c r="O61" i="17" a="1"/>
  <c r="O56" i="17" a="1"/>
  <c r="O51" i="17" a="1"/>
  <c r="O46" i="17" a="1"/>
  <c r="O41" i="17" a="1"/>
  <c r="O36" i="17" a="1"/>
  <c r="O31" i="17" a="1"/>
  <c r="O26" i="17" a="1"/>
  <c r="O21" i="17" a="1"/>
  <c r="O16" i="17" a="1"/>
  <c r="O11" i="17" a="1"/>
  <c r="O6" i="17" a="1"/>
  <c r="H9" i="17"/>
  <c r="K8" i="17"/>
  <c r="J8" i="17"/>
  <c r="I8" i="17"/>
  <c r="H8" i="17"/>
  <c r="K7" i="17"/>
  <c r="J7" i="17"/>
  <c r="I7" i="17"/>
  <c r="H7" i="17"/>
  <c r="L8" i="17"/>
  <c r="L7" i="17"/>
  <c r="V35" i="17" l="1"/>
  <c r="V99" i="17"/>
  <c r="AG27" i="17"/>
  <c r="V67" i="17"/>
  <c r="M7" i="17"/>
  <c r="M8" i="17"/>
  <c r="U34" i="17"/>
  <c r="U98" i="17"/>
  <c r="U66" i="17"/>
  <c r="S73" i="17"/>
  <c r="S81" i="17"/>
  <c r="S89" i="17"/>
  <c r="S74" i="17"/>
  <c r="S82" i="17"/>
  <c r="S90" i="17"/>
  <c r="S75" i="17"/>
  <c r="S83" i="17"/>
  <c r="S91" i="17"/>
  <c r="S77" i="17"/>
  <c r="S85" i="17"/>
  <c r="S93" i="17"/>
  <c r="S80" i="17"/>
  <c r="S76" i="17"/>
  <c r="S84" i="17"/>
  <c r="S92" i="17"/>
  <c r="S78" i="17"/>
  <c r="S86" i="17"/>
  <c r="S79" i="17"/>
  <c r="S88" i="17"/>
  <c r="S87" i="17"/>
  <c r="S58" i="17"/>
  <c r="S44" i="17"/>
  <c r="S52" i="17"/>
  <c r="S60" i="17"/>
  <c r="S45" i="17"/>
  <c r="S53" i="17"/>
  <c r="S61" i="17"/>
  <c r="S46" i="17"/>
  <c r="S54" i="17"/>
  <c r="S48" i="17"/>
  <c r="S56" i="17"/>
  <c r="S41" i="17"/>
  <c r="S49" i="17"/>
  <c r="S57" i="17"/>
  <c r="S51" i="17"/>
  <c r="S59" i="17"/>
  <c r="S42" i="17"/>
  <c r="S47" i="17"/>
  <c r="S55" i="17"/>
  <c r="S50" i="17"/>
  <c r="S43" i="17"/>
  <c r="S12" i="17"/>
  <c r="S20" i="17"/>
  <c r="S28" i="17"/>
  <c r="S13" i="17"/>
  <c r="S21" i="17"/>
  <c r="S29" i="17"/>
  <c r="S14" i="17"/>
  <c r="S22" i="17"/>
  <c r="S15" i="17"/>
  <c r="S23" i="17"/>
  <c r="S16" i="17"/>
  <c r="S24" i="17"/>
  <c r="S9" i="17"/>
  <c r="S17" i="17"/>
  <c r="S25" i="17"/>
  <c r="S10" i="17"/>
  <c r="S18" i="17"/>
  <c r="S26" i="17"/>
  <c r="S11" i="17"/>
  <c r="S19" i="17"/>
  <c r="S27" i="17"/>
  <c r="Q116" i="17"/>
  <c r="O117" i="17"/>
  <c r="P117" i="17"/>
  <c r="Q117" i="17"/>
  <c r="O118" i="17"/>
  <c r="O116" i="17"/>
  <c r="Q118" i="17"/>
  <c r="P118" i="17"/>
  <c r="P116" i="17"/>
  <c r="O112" i="17"/>
  <c r="P112" i="17"/>
  <c r="Q112" i="17"/>
  <c r="O113" i="17"/>
  <c r="P113" i="17"/>
  <c r="O111" i="17"/>
  <c r="Q113" i="17"/>
  <c r="P111" i="17"/>
  <c r="Q111" i="17"/>
  <c r="Q106" i="17"/>
  <c r="O107" i="17"/>
  <c r="P107" i="17"/>
  <c r="Q107" i="17"/>
  <c r="O108" i="17"/>
  <c r="P108" i="17"/>
  <c r="O106" i="17"/>
  <c r="Q108" i="17"/>
  <c r="P106" i="17"/>
  <c r="Q101" i="17"/>
  <c r="O102" i="17"/>
  <c r="P102" i="17"/>
  <c r="Q102" i="17"/>
  <c r="O103" i="17"/>
  <c r="P103" i="17"/>
  <c r="O101" i="17"/>
  <c r="Q103" i="17"/>
  <c r="P101" i="17"/>
  <c r="Q96" i="17"/>
  <c r="O97" i="17"/>
  <c r="P97" i="17"/>
  <c r="Q97" i="17"/>
  <c r="O98" i="17"/>
  <c r="P98" i="17"/>
  <c r="O96" i="17"/>
  <c r="Q98" i="17"/>
  <c r="P96" i="17"/>
  <c r="Q91" i="17"/>
  <c r="O92" i="17"/>
  <c r="P92" i="17"/>
  <c r="Q92" i="17"/>
  <c r="O93" i="17"/>
  <c r="O91" i="17"/>
  <c r="Q93" i="17"/>
  <c r="P93" i="17"/>
  <c r="P91" i="17"/>
  <c r="Q86" i="17"/>
  <c r="O87" i="17"/>
  <c r="P87" i="17"/>
  <c r="Q87" i="17"/>
  <c r="O88" i="17"/>
  <c r="O86" i="17"/>
  <c r="Q88" i="17"/>
  <c r="P88" i="17"/>
  <c r="P86" i="17"/>
  <c r="Q81" i="17"/>
  <c r="O82" i="17"/>
  <c r="P82" i="17"/>
  <c r="Q82" i="17"/>
  <c r="O83" i="17"/>
  <c r="P83" i="17"/>
  <c r="Q83" i="17"/>
  <c r="P81" i="17"/>
  <c r="O81" i="17"/>
  <c r="O77" i="17"/>
  <c r="P77" i="17"/>
  <c r="Q77" i="17"/>
  <c r="O78" i="17"/>
  <c r="Q76" i="17"/>
  <c r="P78" i="17"/>
  <c r="O76" i="17"/>
  <c r="Q78" i="17"/>
  <c r="P76" i="17"/>
  <c r="Q71" i="17"/>
  <c r="O72" i="17"/>
  <c r="P72" i="17"/>
  <c r="Q72" i="17"/>
  <c r="O73" i="17"/>
  <c r="O71" i="17"/>
  <c r="Q73" i="17"/>
  <c r="P73" i="17"/>
  <c r="P71" i="17"/>
  <c r="Q66" i="17"/>
  <c r="O67" i="17"/>
  <c r="P67" i="17"/>
  <c r="Q67" i="17"/>
  <c r="O68" i="17"/>
  <c r="P68" i="17"/>
  <c r="O66" i="17"/>
  <c r="Q68" i="17"/>
  <c r="P66" i="17"/>
  <c r="Q61" i="17"/>
  <c r="O62" i="17"/>
  <c r="P62" i="17"/>
  <c r="Q62" i="17"/>
  <c r="O63" i="17"/>
  <c r="P63" i="17"/>
  <c r="Q63" i="17"/>
  <c r="P61" i="17"/>
  <c r="O61" i="17"/>
  <c r="Q56" i="17"/>
  <c r="O57" i="17"/>
  <c r="P57" i="17"/>
  <c r="Q57" i="17"/>
  <c r="O58" i="17"/>
  <c r="P58" i="17"/>
  <c r="O56" i="17"/>
  <c r="Q58" i="17"/>
  <c r="P56" i="17"/>
  <c r="Q52" i="17"/>
  <c r="O53" i="17"/>
  <c r="P53" i="17"/>
  <c r="O51" i="17"/>
  <c r="Q53" i="17"/>
  <c r="P51" i="17"/>
  <c r="Q51" i="17"/>
  <c r="O52" i="17"/>
  <c r="P52" i="17"/>
  <c r="P46" i="17"/>
  <c r="Q46" i="17"/>
  <c r="O47" i="17"/>
  <c r="P47" i="17"/>
  <c r="Q47" i="17"/>
  <c r="O48" i="17"/>
  <c r="P48" i="17"/>
  <c r="O46" i="17"/>
  <c r="Q48" i="17"/>
  <c r="Q41" i="17"/>
  <c r="O42" i="17"/>
  <c r="P42" i="17"/>
  <c r="Q42" i="17"/>
  <c r="O43" i="17"/>
  <c r="P43" i="17"/>
  <c r="O41" i="17"/>
  <c r="Q43" i="17"/>
  <c r="P41" i="17"/>
  <c r="Q36" i="17"/>
  <c r="O37" i="17"/>
  <c r="P37" i="17"/>
  <c r="Q37" i="17"/>
  <c r="O38" i="17"/>
  <c r="P38" i="17"/>
  <c r="Q38" i="17"/>
  <c r="P36" i="17"/>
  <c r="O36" i="17"/>
  <c r="Q31" i="17"/>
  <c r="O32" i="17"/>
  <c r="P32" i="17"/>
  <c r="Q32" i="17"/>
  <c r="O33" i="17"/>
  <c r="O31" i="17"/>
  <c r="Q33" i="17"/>
  <c r="P33" i="17"/>
  <c r="P31" i="17"/>
  <c r="P26" i="17"/>
  <c r="Q26" i="17"/>
  <c r="O27" i="17"/>
  <c r="P27" i="17"/>
  <c r="Q27" i="17"/>
  <c r="O28" i="17"/>
  <c r="P28" i="17"/>
  <c r="O26" i="17"/>
  <c r="Q28" i="17"/>
  <c r="P21" i="17"/>
  <c r="Q21" i="17"/>
  <c r="O22" i="17"/>
  <c r="P22" i="17"/>
  <c r="Q22" i="17"/>
  <c r="O23" i="17"/>
  <c r="P23" i="17"/>
  <c r="O21" i="17"/>
  <c r="Q23" i="17"/>
  <c r="Q16" i="17"/>
  <c r="O17" i="17"/>
  <c r="P17" i="17"/>
  <c r="Q17" i="17"/>
  <c r="O18" i="17"/>
  <c r="P18" i="17"/>
  <c r="O16" i="17"/>
  <c r="Q18" i="17"/>
  <c r="P16" i="17"/>
  <c r="Q11" i="17"/>
  <c r="O12" i="17"/>
  <c r="P12" i="17"/>
  <c r="Q12" i="17"/>
  <c r="O13" i="17"/>
  <c r="O11" i="17"/>
  <c r="P11" i="17"/>
  <c r="P13" i="17"/>
  <c r="Q13" i="17"/>
  <c r="Q6" i="17"/>
  <c r="O7" i="17"/>
  <c r="P7" i="17"/>
  <c r="Q7" i="17"/>
  <c r="O8" i="17"/>
  <c r="P8" i="17"/>
  <c r="O6" i="17"/>
  <c r="Q8" i="17"/>
  <c r="P6" i="17"/>
  <c r="K6" i="17"/>
  <c r="J6" i="17"/>
  <c r="I6" i="17"/>
  <c r="H6" i="17"/>
  <c r="L6" i="17"/>
  <c r="M6" i="17" l="1"/>
  <c r="W26" i="17" a="1"/>
  <c r="W26" i="17" s="1"/>
  <c r="V26" i="17"/>
  <c r="T26" i="17"/>
  <c r="U26" i="17"/>
  <c r="T43" i="17"/>
  <c r="W43" i="17" a="1"/>
  <c r="W43" i="17" s="1"/>
  <c r="U43" i="17"/>
  <c r="V43" i="17"/>
  <c r="U49" i="17"/>
  <c r="V49" i="17"/>
  <c r="W49" i="17" a="1"/>
  <c r="W49" i="17" s="1"/>
  <c r="T49" i="17"/>
  <c r="W88" i="17" a="1"/>
  <c r="W88" i="17" s="1"/>
  <c r="T88" i="17"/>
  <c r="U88" i="17"/>
  <c r="V88" i="17"/>
  <c r="T93" i="17"/>
  <c r="U93" i="17"/>
  <c r="W93" i="17" a="1"/>
  <c r="W93" i="17" s="1"/>
  <c r="V93" i="17"/>
  <c r="T74" i="17"/>
  <c r="U74" i="17"/>
  <c r="W74" i="17" a="1"/>
  <c r="W74" i="17" s="1"/>
  <c r="V74" i="17"/>
  <c r="U23" i="17"/>
  <c r="T23" i="17"/>
  <c r="V23" i="17"/>
  <c r="W23" i="17" a="1"/>
  <c r="W23" i="17" s="1"/>
  <c r="V20" i="17"/>
  <c r="T20" i="17"/>
  <c r="U20" i="17"/>
  <c r="W20" i="17" a="1"/>
  <c r="W20" i="17" s="1"/>
  <c r="T18" i="17"/>
  <c r="U18" i="17"/>
  <c r="V18" i="17"/>
  <c r="W18" i="17" a="1"/>
  <c r="W18" i="17" s="1"/>
  <c r="T15" i="17"/>
  <c r="U15" i="17"/>
  <c r="V15" i="17"/>
  <c r="W15" i="17" a="1"/>
  <c r="W15" i="17" s="1"/>
  <c r="U12" i="17"/>
  <c r="V12" i="17"/>
  <c r="W12" i="17" a="1"/>
  <c r="W12" i="17" s="1"/>
  <c r="T12" i="17"/>
  <c r="T50" i="17"/>
  <c r="U50" i="17"/>
  <c r="V50" i="17"/>
  <c r="W50" i="17" a="1"/>
  <c r="W50" i="17" s="1"/>
  <c r="W41" i="17" a="1"/>
  <c r="W41" i="17" s="1"/>
  <c r="T41" i="17"/>
  <c r="V41" i="17"/>
  <c r="U41" i="17"/>
  <c r="U60" i="17"/>
  <c r="T60" i="17"/>
  <c r="V60" i="17"/>
  <c r="W60" i="17" a="1"/>
  <c r="W60" i="17" s="1"/>
  <c r="W79" i="17" a="1"/>
  <c r="W79" i="17" s="1"/>
  <c r="V79" i="17"/>
  <c r="T79" i="17"/>
  <c r="U79" i="17"/>
  <c r="T85" i="17"/>
  <c r="U85" i="17"/>
  <c r="V85" i="17"/>
  <c r="W85" i="17" a="1"/>
  <c r="W85" i="17" s="1"/>
  <c r="T89" i="17"/>
  <c r="U89" i="17"/>
  <c r="V89" i="17"/>
  <c r="W89" i="17" a="1"/>
  <c r="W89" i="17" s="1"/>
  <c r="T45" i="17"/>
  <c r="W45" i="17" a="1"/>
  <c r="W45" i="17" s="1"/>
  <c r="U45" i="17"/>
  <c r="V45" i="17"/>
  <c r="U10" i="17"/>
  <c r="V10" i="17"/>
  <c r="T10" i="17"/>
  <c r="W10" i="17" a="1"/>
  <c r="W10" i="17" s="1"/>
  <c r="U22" i="17"/>
  <c r="T22" i="17"/>
  <c r="V22" i="17"/>
  <c r="W22" i="17" a="1"/>
  <c r="W22" i="17" s="1"/>
  <c r="U55" i="17"/>
  <c r="V55" i="17"/>
  <c r="T55" i="17"/>
  <c r="W55" i="17" a="1"/>
  <c r="W55" i="17" s="1"/>
  <c r="T56" i="17"/>
  <c r="U56" i="17"/>
  <c r="V56" i="17"/>
  <c r="W56" i="17" a="1"/>
  <c r="W56" i="17" s="1"/>
  <c r="U52" i="17"/>
  <c r="T52" i="17"/>
  <c r="V52" i="17"/>
  <c r="W52" i="17" a="1"/>
  <c r="W52" i="17" s="1"/>
  <c r="W86" i="17" a="1"/>
  <c r="W86" i="17" s="1"/>
  <c r="T86" i="17"/>
  <c r="U86" i="17"/>
  <c r="V86" i="17"/>
  <c r="W77" i="17" a="1"/>
  <c r="W77" i="17" s="1"/>
  <c r="V77" i="17"/>
  <c r="T77" i="17"/>
  <c r="U77" i="17"/>
  <c r="U81" i="17"/>
  <c r="V81" i="17"/>
  <c r="W81" i="17" a="1"/>
  <c r="W81" i="17" s="1"/>
  <c r="T81" i="17"/>
  <c r="W47" i="17" a="1"/>
  <c r="W47" i="17" s="1"/>
  <c r="V47" i="17"/>
  <c r="T47" i="17"/>
  <c r="U47" i="17"/>
  <c r="V48" i="17"/>
  <c r="T48" i="17"/>
  <c r="U48" i="17"/>
  <c r="W48" i="17" a="1"/>
  <c r="W48" i="17" s="1"/>
  <c r="T44" i="17"/>
  <c r="U44" i="17"/>
  <c r="V44" i="17"/>
  <c r="W44" i="17" a="1"/>
  <c r="W44" i="17" s="1"/>
  <c r="T78" i="17"/>
  <c r="U78" i="17"/>
  <c r="W78" i="17" a="1"/>
  <c r="W78" i="17" s="1"/>
  <c r="V78" i="17"/>
  <c r="T91" i="17"/>
  <c r="U91" i="17"/>
  <c r="V91" i="17"/>
  <c r="W91" i="17" a="1"/>
  <c r="W91" i="17" s="1"/>
  <c r="U73" i="17"/>
  <c r="T73" i="17"/>
  <c r="V73" i="17"/>
  <c r="W73" i="17" a="1"/>
  <c r="W73" i="17" s="1"/>
  <c r="T17" i="17"/>
  <c r="W17" i="17" a="1"/>
  <c r="W17" i="17" s="1"/>
  <c r="U17" i="17"/>
  <c r="V17" i="17"/>
  <c r="U29" i="17"/>
  <c r="T29" i="17"/>
  <c r="V29" i="17"/>
  <c r="W29" i="17" a="1"/>
  <c r="W29" i="17" s="1"/>
  <c r="T42" i="17"/>
  <c r="U42" i="17"/>
  <c r="V42" i="17"/>
  <c r="W42" i="17" a="1"/>
  <c r="W42" i="17" s="1"/>
  <c r="U54" i="17"/>
  <c r="T54" i="17"/>
  <c r="V54" i="17"/>
  <c r="W54" i="17" a="1"/>
  <c r="W54" i="17" s="1"/>
  <c r="T58" i="17"/>
  <c r="U58" i="17"/>
  <c r="V58" i="17"/>
  <c r="W58" i="17" a="1"/>
  <c r="W58" i="17" s="1"/>
  <c r="W92" i="17" a="1"/>
  <c r="W92" i="17" s="1"/>
  <c r="V92" i="17"/>
  <c r="T92" i="17"/>
  <c r="U92" i="17"/>
  <c r="T83" i="17"/>
  <c r="U83" i="17"/>
  <c r="V83" i="17"/>
  <c r="W83" i="17" a="1"/>
  <c r="W83" i="17" s="1"/>
  <c r="T25" i="17"/>
  <c r="U25" i="17"/>
  <c r="V25" i="17"/>
  <c r="W25" i="17" a="1"/>
  <c r="W25" i="17" s="1"/>
  <c r="T27" i="17"/>
  <c r="W27" i="17" a="1"/>
  <c r="W27" i="17" s="1"/>
  <c r="U27" i="17"/>
  <c r="V27" i="17"/>
  <c r="W9" i="17" a="1"/>
  <c r="W9" i="17" s="1"/>
  <c r="V9" i="17"/>
  <c r="U9" i="17"/>
  <c r="T9" i="17"/>
  <c r="U21" i="17"/>
  <c r="V21" i="17"/>
  <c r="W21" i="17" a="1"/>
  <c r="W21" i="17" s="1"/>
  <c r="T21" i="17"/>
  <c r="U59" i="17"/>
  <c r="V59" i="17"/>
  <c r="W59" i="17" a="1"/>
  <c r="W59" i="17" s="1"/>
  <c r="T59" i="17"/>
  <c r="T46" i="17"/>
  <c r="U46" i="17"/>
  <c r="V46" i="17"/>
  <c r="W46" i="17" a="1"/>
  <c r="W46" i="17" s="1"/>
  <c r="W84" i="17" a="1"/>
  <c r="W84" i="17" s="1"/>
  <c r="T84" i="17"/>
  <c r="U84" i="17"/>
  <c r="V84" i="17"/>
  <c r="W75" i="17" a="1"/>
  <c r="W75" i="17" s="1"/>
  <c r="V75" i="17"/>
  <c r="T75" i="17"/>
  <c r="U75" i="17"/>
  <c r="U14" i="17"/>
  <c r="V14" i="17"/>
  <c r="W14" i="17" a="1"/>
  <c r="W14" i="17" s="1"/>
  <c r="T14" i="17"/>
  <c r="T19" i="17"/>
  <c r="W19" i="17" a="1"/>
  <c r="W19" i="17" s="1"/>
  <c r="U19" i="17"/>
  <c r="V19" i="17"/>
  <c r="T24" i="17"/>
  <c r="W24" i="17" a="1"/>
  <c r="W24" i="17" s="1"/>
  <c r="U24" i="17"/>
  <c r="V24" i="17"/>
  <c r="U13" i="17"/>
  <c r="T13" i="17"/>
  <c r="V13" i="17"/>
  <c r="W13" i="17" a="1"/>
  <c r="W13" i="17" s="1"/>
  <c r="U51" i="17"/>
  <c r="V51" i="17"/>
  <c r="T51" i="17"/>
  <c r="W51" i="17" a="1"/>
  <c r="W51" i="17" s="1"/>
  <c r="U61" i="17"/>
  <c r="T61" i="17"/>
  <c r="V61" i="17"/>
  <c r="W61" i="17" a="1"/>
  <c r="W61" i="17" s="1"/>
  <c r="T76" i="17"/>
  <c r="U76" i="17"/>
  <c r="V76" i="17"/>
  <c r="W76" i="17" a="1"/>
  <c r="W76" i="17" s="1"/>
  <c r="W90" i="17" a="1"/>
  <c r="W90" i="17" s="1"/>
  <c r="V90" i="17"/>
  <c r="T90" i="17"/>
  <c r="U90" i="17"/>
  <c r="U11" i="17"/>
  <c r="T11" i="17"/>
  <c r="V11" i="17"/>
  <c r="W11" i="17" a="1"/>
  <c r="W11" i="17" s="1"/>
  <c r="T16" i="17"/>
  <c r="U16" i="17"/>
  <c r="V16" i="17"/>
  <c r="W16" i="17" a="1"/>
  <c r="W16" i="17" s="1"/>
  <c r="U28" i="17"/>
  <c r="V28" i="17"/>
  <c r="W28" i="17" a="1"/>
  <c r="W28" i="17" s="1"/>
  <c r="T28" i="17"/>
  <c r="U57" i="17"/>
  <c r="V57" i="17"/>
  <c r="W57" i="17" a="1"/>
  <c r="W57" i="17" s="1"/>
  <c r="T57" i="17"/>
  <c r="U53" i="17"/>
  <c r="V53" i="17"/>
  <c r="W53" i="17" a="1"/>
  <c r="W53" i="17" s="1"/>
  <c r="T53" i="17"/>
  <c r="T87" i="17"/>
  <c r="U87" i="17"/>
  <c r="V87" i="17"/>
  <c r="W87" i="17" a="1"/>
  <c r="W87" i="17" s="1"/>
  <c r="T80" i="17"/>
  <c r="U80" i="17"/>
  <c r="V80" i="17"/>
  <c r="W80" i="17" a="1"/>
  <c r="W80" i="17" s="1"/>
  <c r="T82" i="17"/>
  <c r="W82" i="17" a="1"/>
  <c r="W82" i="17" s="1"/>
  <c r="U82" i="17"/>
  <c r="V82" i="17"/>
  <c r="X22" i="17" l="1"/>
  <c r="X26" i="17"/>
  <c r="X93" i="17"/>
  <c r="X45" i="17"/>
  <c r="X12" i="17"/>
  <c r="X90" i="17"/>
  <c r="X83" i="17"/>
  <c r="X58" i="17"/>
  <c r="X75" i="17"/>
  <c r="X17" i="17"/>
  <c r="X51" i="17"/>
  <c r="X59" i="17"/>
  <c r="X11" i="17"/>
  <c r="X29" i="17"/>
  <c r="X80" i="17"/>
  <c r="X76" i="17"/>
  <c r="X25" i="17"/>
  <c r="X82" i="17"/>
  <c r="X23" i="17"/>
  <c r="X46" i="17"/>
  <c r="X42" i="17"/>
  <c r="X44" i="17"/>
  <c r="X89" i="17"/>
  <c r="X54" i="17"/>
  <c r="X57" i="17"/>
  <c r="X21" i="17"/>
  <c r="X92" i="17"/>
  <c r="X73" i="17"/>
  <c r="T98" i="17" s="1"/>
  <c r="X48" i="17"/>
  <c r="X86" i="17"/>
  <c r="X60" i="17"/>
  <c r="X20" i="17"/>
  <c r="X88" i="17"/>
  <c r="X61" i="17"/>
  <c r="X13" i="17"/>
  <c r="X78" i="17"/>
  <c r="X56" i="17"/>
  <c r="X85" i="17"/>
  <c r="X50" i="17"/>
  <c r="X15" i="17"/>
  <c r="X74" i="17"/>
  <c r="X43" i="17"/>
  <c r="X16" i="17"/>
  <c r="X19" i="17"/>
  <c r="X91" i="17"/>
  <c r="X18" i="17"/>
  <c r="X87" i="17"/>
  <c r="X53" i="17"/>
  <c r="X28" i="17"/>
  <c r="X14" i="17"/>
  <c r="X27" i="17"/>
  <c r="X47" i="17"/>
  <c r="X77" i="17"/>
  <c r="X55" i="17"/>
  <c r="X10" i="17"/>
  <c r="X79" i="17"/>
  <c r="X49" i="17"/>
  <c r="X9" i="17"/>
  <c r="T34" i="17" s="1"/>
  <c r="X52" i="17"/>
  <c r="X41" i="17"/>
  <c r="X24" i="17"/>
  <c r="X84" i="17"/>
  <c r="X81" i="17"/>
  <c r="T66" i="17" l="1"/>
  <c r="T65" i="17" s="1"/>
  <c r="T97" i="17"/>
  <c r="V98" i="17"/>
  <c r="T33" i="17"/>
  <c r="V34" i="17"/>
  <c r="V66" i="17" l="1"/>
  <c r="Y41" i="17" s="1"/>
  <c r="Y65" i="17"/>
  <c r="V65" i="17"/>
  <c r="Y33" i="17"/>
  <c r="V33" i="17"/>
  <c r="W33" i="17" s="1"/>
  <c r="X33" i="17" s="1"/>
  <c r="Y25" i="17"/>
  <c r="Y26" i="17"/>
  <c r="Y15" i="17"/>
  <c r="Y9" i="17"/>
  <c r="Y28" i="17"/>
  <c r="Y14" i="17"/>
  <c r="Y27" i="17"/>
  <c r="Y20" i="17"/>
  <c r="Y13" i="17"/>
  <c r="Y17" i="17"/>
  <c r="Y19" i="17"/>
  <c r="Y11" i="17"/>
  <c r="Y29" i="17"/>
  <c r="Y22" i="17"/>
  <c r="Y10" i="17"/>
  <c r="Y18" i="17"/>
  <c r="Y12" i="17"/>
  <c r="Y24" i="17"/>
  <c r="Y21" i="17"/>
  <c r="Y23" i="17"/>
  <c r="AA33" i="17"/>
  <c r="Y16" i="17"/>
  <c r="Z33" i="17"/>
  <c r="Y73" i="17"/>
  <c r="Y88" i="17"/>
  <c r="Y85" i="17"/>
  <c r="Y74" i="17"/>
  <c r="Y92" i="17"/>
  <c r="Y80" i="17"/>
  <c r="Y90" i="17"/>
  <c r="Y86" i="17"/>
  <c r="Y77" i="17"/>
  <c r="Y87" i="17"/>
  <c r="Y76" i="17"/>
  <c r="Y75" i="17"/>
  <c r="AA97" i="17"/>
  <c r="Y78" i="17"/>
  <c r="Y82" i="17"/>
  <c r="Y83" i="17"/>
  <c r="Y89" i="17"/>
  <c r="Y93" i="17"/>
  <c r="Y79" i="17"/>
  <c r="Y81" i="17"/>
  <c r="Y91" i="17"/>
  <c r="Y84" i="17"/>
  <c r="Z97" i="17"/>
  <c r="V97" i="17"/>
  <c r="W97" i="17" s="1"/>
  <c r="X97" i="17" s="1"/>
  <c r="Y97" i="17"/>
  <c r="Y61" i="17"/>
  <c r="Y54" i="17"/>
  <c r="Z65" i="17"/>
  <c r="W65" i="17" l="1"/>
  <c r="X65" i="17" s="1"/>
  <c r="Y53" i="17"/>
  <c r="Y58" i="17"/>
  <c r="Y42" i="17"/>
  <c r="AA65" i="17"/>
  <c r="Y51" i="17"/>
  <c r="Y45" i="17"/>
  <c r="Y52" i="17"/>
  <c r="Y47" i="17"/>
  <c r="Y60" i="17"/>
  <c r="Y57" i="17"/>
  <c r="Y59" i="17"/>
  <c r="Y43" i="17"/>
  <c r="Y50" i="17"/>
  <c r="Y44" i="17"/>
  <c r="Y55" i="17"/>
  <c r="Y56" i="17"/>
  <c r="Y46" i="17"/>
  <c r="Y48" i="17"/>
  <c r="Y49" i="17"/>
  <c r="Z16" i="17"/>
  <c r="AA16" i="17"/>
  <c r="Z52" i="17"/>
  <c r="AA52" i="17"/>
  <c r="Z28" i="17"/>
  <c r="AA28" i="17"/>
  <c r="AA47" i="17"/>
  <c r="Z47" i="17"/>
  <c r="Z91" i="17"/>
  <c r="AA91" i="17"/>
  <c r="AA92" i="17"/>
  <c r="Z92" i="17"/>
  <c r="AA23" i="17"/>
  <c r="Z23" i="17"/>
  <c r="AA11" i="17"/>
  <c r="Z11" i="17"/>
  <c r="Z9" i="17"/>
  <c r="AA9" i="17"/>
  <c r="AA90" i="17"/>
  <c r="Z90" i="17"/>
  <c r="AA58" i="17"/>
  <c r="Z58" i="17"/>
  <c r="Z80" i="17"/>
  <c r="AA80" i="17"/>
  <c r="Z75" i="17"/>
  <c r="AA75" i="17"/>
  <c r="AA74" i="17"/>
  <c r="Z74" i="17"/>
  <c r="Z21" i="17"/>
  <c r="AA21" i="17"/>
  <c r="AA19" i="17"/>
  <c r="Z19" i="17"/>
  <c r="AA15" i="17"/>
  <c r="Z15" i="17"/>
  <c r="Z56" i="17"/>
  <c r="AA56" i="17"/>
  <c r="Z42" i="17"/>
  <c r="AA42" i="17"/>
  <c r="AA81" i="17"/>
  <c r="Z81" i="17"/>
  <c r="Z46" i="17"/>
  <c r="AA46" i="17"/>
  <c r="Z59" i="17"/>
  <c r="AA59" i="17"/>
  <c r="Z48" i="17"/>
  <c r="AA48" i="17"/>
  <c r="Z79" i="17"/>
  <c r="AA79" i="17"/>
  <c r="AA76" i="17"/>
  <c r="Z76" i="17"/>
  <c r="AA85" i="17"/>
  <c r="Z85" i="17"/>
  <c r="AA24" i="17"/>
  <c r="Z24" i="17"/>
  <c r="Z17" i="17"/>
  <c r="AA17" i="17"/>
  <c r="AA26" i="17"/>
  <c r="Z26" i="17"/>
  <c r="Z60" i="17"/>
  <c r="AA60" i="17"/>
  <c r="Z82" i="17"/>
  <c r="AA82" i="17"/>
  <c r="Z45" i="17"/>
  <c r="AA45" i="17"/>
  <c r="AA43" i="17"/>
  <c r="Z43" i="17"/>
  <c r="Z44" i="17"/>
  <c r="AA44" i="17"/>
  <c r="AA93" i="17"/>
  <c r="Z93" i="17"/>
  <c r="Z87" i="17"/>
  <c r="AA87" i="17"/>
  <c r="Z88" i="17"/>
  <c r="AA88" i="17"/>
  <c r="AA12" i="17"/>
  <c r="Z12" i="17"/>
  <c r="Z13" i="17"/>
  <c r="AA13" i="17"/>
  <c r="Z25" i="17"/>
  <c r="AA25" i="17"/>
  <c r="Z55" i="17"/>
  <c r="AA55" i="17"/>
  <c r="AA22" i="17"/>
  <c r="Z22" i="17"/>
  <c r="Z84" i="17"/>
  <c r="AA84" i="17"/>
  <c r="AA29" i="17"/>
  <c r="Z29" i="17"/>
  <c r="AA57" i="17"/>
  <c r="Z57" i="17"/>
  <c r="AA51" i="17"/>
  <c r="Z51" i="17"/>
  <c r="AA50" i="17"/>
  <c r="Z50" i="17"/>
  <c r="AA49" i="17"/>
  <c r="Z49" i="17"/>
  <c r="Z41" i="17"/>
  <c r="AA41" i="17"/>
  <c r="AA89" i="17"/>
  <c r="Z89" i="17"/>
  <c r="AA77" i="17"/>
  <c r="Z77" i="17"/>
  <c r="AA73" i="17"/>
  <c r="Z73" i="17"/>
  <c r="Z18" i="17"/>
  <c r="AA18" i="17"/>
  <c r="Z20" i="17"/>
  <c r="AA20" i="17"/>
  <c r="AA53" i="17"/>
  <c r="Z53" i="17"/>
  <c r="Z14" i="17"/>
  <c r="AA14" i="17"/>
  <c r="Z54" i="17"/>
  <c r="AA54" i="17"/>
  <c r="Z61" i="17"/>
  <c r="AA61" i="17"/>
  <c r="Z83" i="17"/>
  <c r="AA83" i="17"/>
  <c r="Z86" i="17"/>
  <c r="AA86" i="17"/>
  <c r="Z10" i="17"/>
  <c r="AA10" i="17"/>
  <c r="Z27" i="17"/>
  <c r="AA27" i="17"/>
  <c r="Z78" i="17"/>
  <c r="AA78" i="17"/>
  <c r="S9" i="13" l="1"/>
  <c r="S8" i="13"/>
  <c r="P5" i="13"/>
  <c r="P6" i="13" s="1"/>
  <c r="O5" i="13"/>
  <c r="P4" i="13"/>
  <c r="O4" i="13"/>
  <c r="J5" i="13"/>
  <c r="K5" i="13" s="1"/>
  <c r="I5" i="13"/>
  <c r="J4" i="13"/>
  <c r="I4" i="13"/>
  <c r="K4" i="13"/>
  <c r="B19" i="8"/>
  <c r="G2" i="8"/>
  <c r="J2" i="8" s="1"/>
  <c r="G3" i="8"/>
  <c r="J3" i="8" s="1"/>
  <c r="G4" i="8"/>
  <c r="J4" i="8"/>
  <c r="G5" i="8"/>
  <c r="J5" i="8"/>
  <c r="G6" i="8"/>
  <c r="J6" i="8"/>
  <c r="G7" i="8"/>
  <c r="J7" i="8" s="1"/>
  <c r="G8" i="8"/>
  <c r="J8" i="8"/>
  <c r="G9" i="8"/>
  <c r="J9" i="8"/>
  <c r="G10" i="8"/>
  <c r="J10" i="8"/>
  <c r="G11" i="8"/>
  <c r="J11" i="8" s="1"/>
  <c r="G12" i="8"/>
  <c r="J12" i="8"/>
  <c r="G13" i="8"/>
  <c r="J13" i="8"/>
  <c r="C19" i="8"/>
  <c r="C21" i="8" s="1"/>
  <c r="B20" i="8"/>
  <c r="C20" i="8"/>
  <c r="D20" i="8"/>
  <c r="Q5" i="13" l="1"/>
  <c r="O6" i="13"/>
  <c r="Q4" i="13"/>
  <c r="Q6" i="13" s="1"/>
  <c r="K6" i="13"/>
  <c r="J6" i="13"/>
  <c r="I6" i="13"/>
  <c r="D19" i="8"/>
  <c r="D21" i="8" s="1"/>
  <c r="B23" i="8"/>
  <c r="B21" i="8"/>
  <c r="R7" i="6" l="1"/>
  <c r="Q7" i="6"/>
  <c r="Q8" i="6"/>
  <c r="Q9" i="6"/>
  <c r="Q10" i="6"/>
  <c r="Q11" i="6"/>
  <c r="Q12" i="6"/>
  <c r="Q13" i="6"/>
  <c r="Q14" i="6"/>
  <c r="Q15" i="6"/>
  <c r="Q16" i="6"/>
  <c r="Q17" i="6"/>
  <c r="Q18" i="6"/>
  <c r="P7" i="6" l="1"/>
  <c r="G109" i="6"/>
  <c r="G108" i="6"/>
  <c r="G52" i="6" l="1"/>
  <c r="G53" i="6" s="1"/>
  <c r="F63" i="6"/>
  <c r="H51" i="6" s="1"/>
  <c r="G54" i="6" l="1"/>
  <c r="H53" i="6"/>
  <c r="H52" i="6"/>
  <c r="G55" i="6" l="1"/>
  <c r="H54" i="6"/>
  <c r="H55" i="6" l="1"/>
  <c r="G56" i="6"/>
  <c r="H56" i="6" l="1"/>
  <c r="G57" i="6"/>
  <c r="H57" i="6" l="1"/>
  <c r="G58" i="6"/>
  <c r="H58" i="6" l="1"/>
  <c r="G59" i="6"/>
  <c r="G60" i="6" l="1"/>
  <c r="H59" i="6"/>
  <c r="G61" i="6" l="1"/>
  <c r="H60" i="6"/>
  <c r="G62" i="6" l="1"/>
  <c r="H62" i="6" s="1"/>
  <c r="H61" i="6"/>
</calcChain>
</file>

<file path=xl/sharedStrings.xml><?xml version="1.0" encoding="utf-8"?>
<sst xmlns="http://schemas.openxmlformats.org/spreadsheetml/2006/main" count="690" uniqueCount="198">
  <si>
    <t>Wii Game Sales &amp; Ratings</t>
  </si>
  <si>
    <t>Student Name:</t>
  </si>
  <si>
    <t>Rohith Kumar Anil</t>
  </si>
  <si>
    <t>Student Number:</t>
  </si>
  <si>
    <r>
      <t>=nnnnX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5</t>
    </r>
  </si>
  <si>
    <t>Genre:</t>
  </si>
  <si>
    <t>Below, fill in Sports or Misc</t>
  </si>
  <si>
    <t>Name</t>
  </si>
  <si>
    <t>Platform</t>
  </si>
  <si>
    <t>Developer</t>
  </si>
  <si>
    <t>Publisher</t>
  </si>
  <si>
    <t>Rating</t>
  </si>
  <si>
    <t>Year_of_Release</t>
  </si>
  <si>
    <t>Genre</t>
  </si>
  <si>
    <t>NA_Sales</t>
  </si>
  <si>
    <t>EU_Sales</t>
  </si>
  <si>
    <t>JP_Sales</t>
  </si>
  <si>
    <t>Other_Sales</t>
  </si>
  <si>
    <t>Global_Sales</t>
  </si>
  <si>
    <t>Crit_Sc_Group</t>
  </si>
  <si>
    <t>Critic_Score</t>
  </si>
  <si>
    <t>Critic_Count</t>
  </si>
  <si>
    <t>User_Score</t>
  </si>
  <si>
    <t>User_Count</t>
  </si>
  <si>
    <t>Wii Rohith</t>
  </si>
  <si>
    <t>Wii</t>
  </si>
  <si>
    <t>Nintendo</t>
  </si>
  <si>
    <t>E10+</t>
  </si>
  <si>
    <t>Misc</t>
  </si>
  <si>
    <t>Wii Fit</t>
  </si>
  <si>
    <t>E</t>
  </si>
  <si>
    <t>Sports</t>
  </si>
  <si>
    <t>LT65</t>
  </si>
  <si>
    <t>Wii Fit Plus</t>
  </si>
  <si>
    <t>65-74.9</t>
  </si>
  <si>
    <t>Wii Fit U</t>
  </si>
  <si>
    <t>WiiU</t>
  </si>
  <si>
    <t>GE75</t>
  </si>
  <si>
    <t>Wii Music</t>
  </si>
  <si>
    <t>Wii Party</t>
  </si>
  <si>
    <t>Nd Cube</t>
  </si>
  <si>
    <t>Wii Party U</t>
  </si>
  <si>
    <t xml:space="preserve"> </t>
  </si>
  <si>
    <t>Wii Play</t>
  </si>
  <si>
    <t>Wii Play: Motion</t>
  </si>
  <si>
    <t>Wii Sports</t>
  </si>
  <si>
    <t>Wii Sports Club</t>
  </si>
  <si>
    <t>Wii Sports Resort</t>
  </si>
  <si>
    <t>Pie Chart</t>
  </si>
  <si>
    <t>Paretto Chart</t>
  </si>
  <si>
    <t>cumulative</t>
  </si>
  <si>
    <t>percent</t>
  </si>
  <si>
    <t>Descriptive Statistics</t>
  </si>
  <si>
    <t>Column1</t>
  </si>
  <si>
    <t>Column2</t>
  </si>
  <si>
    <t>Column3</t>
  </si>
  <si>
    <t>Column4</t>
  </si>
  <si>
    <t>Column5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</si>
  <si>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</si>
  <si>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</si>
  <si>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</si>
  <si>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</si>
  <si>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</si>
  <si>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</si>
  <si>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</si>
  <si>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</si>
  <si>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</si>
  <si>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</si>
  <si>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</si>
  <si>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</si>
  <si>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</si>
  <si>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</si>
  <si>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Box Plot and IQR values</t>
  </si>
  <si>
    <t>min</t>
  </si>
  <si>
    <t>Q1</t>
  </si>
  <si>
    <t>Med</t>
  </si>
  <si>
    <t>Q3</t>
  </si>
  <si>
    <t>max</t>
  </si>
  <si>
    <t>mean</t>
  </si>
  <si>
    <t>IQR</t>
  </si>
  <si>
    <t>Q1 - 1.5 * IQR</t>
  </si>
  <si>
    <t>Q3 + 1.5 * IQR</t>
  </si>
  <si>
    <t>Sum of Global_Sales</t>
  </si>
  <si>
    <t>Grand Total</t>
  </si>
  <si>
    <t>Questions</t>
  </si>
  <si>
    <t>2a</t>
  </si>
  <si>
    <t>Do you think this dataset is a sample or a population? And why do you think that?</t>
  </si>
  <si>
    <t>2d</t>
  </si>
  <si>
    <t>What does this tell you about the risk or odds of getting the higher rating with a Sports game?</t>
  </si>
  <si>
    <t>2e</t>
  </si>
  <si>
    <t>What if any further steps do we need to perform to be sure of the result?</t>
  </si>
  <si>
    <t>3d</t>
  </si>
  <si>
    <t>What does this tell you about the likelihood of a relationship between genre and critic score?</t>
  </si>
  <si>
    <t>3f</t>
  </si>
  <si>
    <t>For a 95% CL, explain you would accept or reject the null hypothesis in this case.</t>
  </si>
  <si>
    <t>3g</t>
  </si>
  <si>
    <t>Explain why you believe this was, or was not, a valid application of Pearson’s Chi-squared test.</t>
  </si>
  <si>
    <t>4c</t>
  </si>
  <si>
    <t>Should you use the one-tail or two-tail p-value? What is your calculated p-value for your choice?</t>
  </si>
  <si>
    <t>4d</t>
  </si>
  <si>
    <t>Explain why you would accept or reject the null hypothesis in this case.</t>
  </si>
  <si>
    <t>4e</t>
  </si>
  <si>
    <t>Explain why you believe this was, or was not, a valid choice of t-test for these circumstances.</t>
  </si>
  <si>
    <t>5c</t>
  </si>
  <si>
    <t>What is your calculated F-statistic? Does this value depend on the chosen confidence level? (1 mark)</t>
  </si>
  <si>
    <t>5d</t>
  </si>
  <si>
    <t>5e</t>
  </si>
  <si>
    <t xml:space="preserve">Explain why you could not use a T-test here. </t>
  </si>
  <si>
    <t>6c</t>
  </si>
  <si>
    <t>6d</t>
  </si>
  <si>
    <t>Which if any of these variables is significantly affected by the critic score group?</t>
  </si>
  <si>
    <r>
      <t>X</t>
    </r>
    <r>
      <rPr>
        <vertAlign val="subscript"/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X</t>
    </r>
    <r>
      <rPr>
        <vertAlign val="subscript"/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.X</t>
    </r>
    <r>
      <rPr>
        <vertAlign val="subscript"/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X</t>
    </r>
    <r>
      <rPr>
        <vertAlign val="subscript"/>
        <sz val="11"/>
        <color rgb="FF000000"/>
        <rFont val="Calibri"/>
        <family val="2"/>
      </rPr>
      <t>9</t>
    </r>
  </si>
  <si>
    <r>
      <t>X</t>
    </r>
    <r>
      <rPr>
        <vertAlign val="subscript"/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X</t>
    </r>
    <r>
      <rPr>
        <vertAlign val="subscript"/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.X</t>
    </r>
    <r>
      <rPr>
        <vertAlign val="subscript"/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X</t>
    </r>
    <r>
      <rPr>
        <vertAlign val="subscript"/>
        <sz val="11"/>
        <color rgb="FF000000"/>
        <rFont val="Calibri"/>
        <family val="2"/>
      </rPr>
      <t>6</t>
    </r>
  </si>
  <si>
    <t>Wii ???</t>
  </si>
  <si>
    <r>
      <t>2000+X</t>
    </r>
    <r>
      <rPr>
        <vertAlign val="subscript"/>
        <sz val="11"/>
        <color rgb="FF000000"/>
        <rFont val="Calibri"/>
        <family val="2"/>
      </rPr>
      <t>9</t>
    </r>
  </si>
  <si>
    <t>(A*D)/(B*C)</t>
  </si>
  <si>
    <t>Row Labels</t>
  </si>
  <si>
    <t>Column Labels</t>
  </si>
  <si>
    <t>Count of Genre</t>
  </si>
  <si>
    <t>Positive</t>
  </si>
  <si>
    <t>Negative</t>
  </si>
  <si>
    <t>Genre_Rev</t>
  </si>
  <si>
    <t>Rating_rev</t>
  </si>
  <si>
    <t>Count of Genre_Rev</t>
  </si>
  <si>
    <t>Rating_Review</t>
  </si>
  <si>
    <t>Genre_Review</t>
  </si>
  <si>
    <t>Count of Crit_Sc_Group</t>
  </si>
  <si>
    <t>ACTUAL VAUES</t>
  </si>
  <si>
    <t>EXPECTED VAUES</t>
  </si>
  <si>
    <t>CHI SQUARED</t>
  </si>
  <si>
    <t>P Value</t>
  </si>
  <si>
    <t>table value</t>
  </si>
  <si>
    <t>I think that this is a sample. Mainly because the dataset is very small there are very few different categories.</t>
  </si>
  <si>
    <t>The odds ratio is 1. That means there is an equal chance of the condition to occur on one side.</t>
  </si>
  <si>
    <t>Chi square test can be performed on this dataset.</t>
  </si>
  <si>
    <t>Chi square value of 0 indicates that actual and expected values are the same, which is a rare occurence. Moreover, the two coloumns are highly correlated.</t>
  </si>
  <si>
    <t>Since P value is 1, I would accept null hypthesis because 1&gt;0.05</t>
  </si>
  <si>
    <t>Sum of User_Count</t>
  </si>
  <si>
    <t>t-Test: Two-Sample Assuming Equal Variances</t>
  </si>
  <si>
    <t>Variable 1</t>
  </si>
  <si>
    <t>Variable 2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</si>
  <si>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</si>
  <si>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</si>
  <si>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</si>
  <si>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</si>
  <si>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</si>
  <si>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</si>
  <si>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</si>
  <si>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</si>
  <si>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</si>
  <si>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</si>
  <si>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My choice would be to use two-tail p-value of 0.530799919293107.</t>
  </si>
  <si>
    <t>To reject null hypothesis p value must less than 0.05. Here, the value is greater that. So accepting null hypothesis.</t>
  </si>
  <si>
    <t>This was not a good circumstance to conduct t test because the variances of the two groups are not similar</t>
  </si>
  <si>
    <t>Since the actual values and expected values are exactly the same, it does not give us statistically significant relationships between the columns that were compared. Additonally, there are 0 observations for one of the categories (65-74.9)</t>
  </si>
  <si>
    <t>Anova: Single Factor</t>
  </si>
  <si>
    <t>SUMMARY</t>
  </si>
  <si>
    <t>Groups</t>
  </si>
  <si>
    <t>Average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</si>
  <si>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</si>
  <si>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</si>
  <si>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</si>
  <si>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</si>
  <si>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</si>
  <si>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</si>
  <si>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</si>
  <si>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</si>
  <si>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</si>
  <si>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</si>
  <si>
    <t>Accept null hypothesis because p-value&gt;0.05</t>
  </si>
  <si>
    <t>Here, F-value=53.062 and F-crit=3.88. The F value does not depend on confidence level. However F-crit depends on the chosen confidence level.</t>
  </si>
  <si>
    <t>Sum of User_Score</t>
  </si>
  <si>
    <t>One-way MANOVA</t>
  </si>
  <si>
    <t>stat</t>
  </si>
  <si>
    <t>df1</t>
  </si>
  <si>
    <t>df2</t>
  </si>
  <si>
    <t>p-value</t>
  </si>
  <si>
    <t>part eta-sq</t>
  </si>
  <si>
    <t>Pillai Trace</t>
  </si>
  <si>
    <t>Wilk's Lambda</t>
  </si>
  <si>
    <t>Hotelling Trace</t>
  </si>
  <si>
    <t>Roy's Lg Root</t>
  </si>
  <si>
    <t>Group Covariance Matrices</t>
  </si>
  <si>
    <t>Pooled covariance matrix</t>
  </si>
  <si>
    <t>Correlation matrix</t>
  </si>
  <si>
    <t>Multiple ANOVA</t>
  </si>
  <si>
    <t>ANOVA: Single Factor</t>
  </si>
  <si>
    <t>DESCRIPTION</t>
  </si>
  <si>
    <t>Alpha</t>
  </si>
  <si>
    <t>Std Err</t>
  </si>
  <si>
    <t>Lower</t>
  </si>
  <si>
    <t>Upper</t>
  </si>
  <si>
    <t>Sources</t>
  </si>
  <si>
    <t>P value</t>
  </si>
  <si>
    <t>Eta-sq</t>
  </si>
  <si>
    <t>RMSSE</t>
  </si>
  <si>
    <t>Omega Sq</t>
  </si>
  <si>
    <t>Group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</si>
</sst>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3"/>
      <color rgb="FF262626"/>
      <name val="Open Sans"/>
      <family val="2"/>
      <charset val="1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B9C"/>
      </patternFill>
    </fill>
    <fill>
      <patternFill patternType="solid">
        <fgColor rgb="FFFFE699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E699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4" tint="0.79998168889431442"/>
        <bgColor theme="4" tint="0.79998168889431442"/>
      </patternFill>
    </fill>
  </fills>
  <borders count="3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medium">
        <color theme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1" fillId="11" borderId="0" applyNumberFormat="0" applyBorder="0" applyAlignment="0" applyProtection="0"/>
  </cellStyleXfs>
  <cellXfs count="84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5" xfId="0" quotePrefix="1" applyBorder="1"/>
    <xf numFmtId="0" fontId="0" fillId="0" borderId="2" xfId="0" applyBorder="1"/>
    <xf numFmtId="0" fontId="6" fillId="0" borderId="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  <xf numFmtId="4" fontId="3" fillId="4" borderId="0" xfId="0" applyNumberFormat="1" applyFont="1" applyFill="1" applyAlignment="1">
      <alignment horizontal="right"/>
    </xf>
    <xf numFmtId="4" fontId="3" fillId="2" borderId="0" xfId="0" applyNumberFormat="1" applyFont="1" applyFill="1" applyAlignment="1">
      <alignment horizontal="right"/>
    </xf>
    <xf numFmtId="0" fontId="8" fillId="0" borderId="0" xfId="0" applyFont="1"/>
    <xf numFmtId="1" fontId="3" fillId="3" borderId="0" xfId="0" applyNumberFormat="1" applyFont="1" applyFill="1" applyAlignment="1">
      <alignment horizontal="right"/>
    </xf>
    <xf numFmtId="0" fontId="0" fillId="0" borderId="0" xfId="0" quotePrefix="1"/>
    <xf numFmtId="4" fontId="0" fillId="5" borderId="0" xfId="0" applyNumberFormat="1" applyFill="1"/>
    <xf numFmtId="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8" xfId="0" applyBorder="1"/>
    <xf numFmtId="0" fontId="12" fillId="0" borderId="0" xfId="0" applyFont="1"/>
    <xf numFmtId="0" fontId="10" fillId="0" borderId="0" xfId="0" applyFont="1" applyAlignment="1">
      <alignment horizontal="center"/>
    </xf>
    <xf numFmtId="0" fontId="1" fillId="11" borderId="0" xfId="4"/>
    <xf numFmtId="0" fontId="1" fillId="11" borderId="0" xfId="4" applyBorder="1"/>
    <xf numFmtId="0" fontId="14" fillId="10" borderId="2" xfId="3" applyBorder="1" applyAlignment="1">
      <alignment horizontal="center"/>
    </xf>
    <xf numFmtId="0" fontId="13" fillId="9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right"/>
    </xf>
    <xf numFmtId="0" fontId="16" fillId="13" borderId="0" xfId="0" applyFont="1" applyFill="1" applyAlignment="1">
      <alignment horizontal="right"/>
    </xf>
    <xf numFmtId="0" fontId="16" fillId="14" borderId="0" xfId="0" applyFont="1" applyFill="1"/>
    <xf numFmtId="0" fontId="16" fillId="15" borderId="0" xfId="0" applyFont="1" applyFill="1" applyAlignment="1">
      <alignment horizontal="right"/>
    </xf>
    <xf numFmtId="0" fontId="8" fillId="16" borderId="9" xfId="0" applyFont="1" applyFill="1" applyBorder="1"/>
    <xf numFmtId="0" fontId="0" fillId="17" borderId="0" xfId="0" applyFill="1"/>
    <xf numFmtId="0" fontId="17" fillId="0" borderId="0" xfId="0" quotePrefix="1" applyFont="1"/>
    <xf numFmtId="4" fontId="0" fillId="17" borderId="0" xfId="0" applyNumberFormat="1" applyFill="1"/>
    <xf numFmtId="0" fontId="18" fillId="0" borderId="0" xfId="0" applyFont="1"/>
    <xf numFmtId="0" fontId="19" fillId="18" borderId="11" xfId="0" applyFont="1" applyFill="1" applyBorder="1"/>
    <xf numFmtId="0" fontId="0" fillId="0" borderId="11" xfId="0" applyBorder="1"/>
    <xf numFmtId="0" fontId="0" fillId="0" borderId="12" xfId="0" applyBorder="1"/>
    <xf numFmtId="0" fontId="19" fillId="18" borderId="13" xfId="0" applyFont="1" applyFill="1" applyBorder="1"/>
    <xf numFmtId="0" fontId="0" fillId="0" borderId="13" xfId="0" applyBorder="1"/>
    <xf numFmtId="0" fontId="0" fillId="0" borderId="14" xfId="0" applyBorder="1"/>
    <xf numFmtId="0" fontId="13" fillId="9" borderId="0" xfId="0" applyFont="1" applyFill="1" applyAlignment="1">
      <alignment horizontal="center" vertical="center"/>
    </xf>
    <xf numFmtId="49" fontId="0" fillId="6" borderId="3" xfId="1" applyNumberFormat="1" applyFont="1" applyFill="1" applyBorder="1" applyAlignment="1">
      <alignment horizontal="left"/>
    </xf>
    <xf numFmtId="0" fontId="0" fillId="6" borderId="4" xfId="0" applyFill="1" applyBorder="1" applyAlignment="1"/>
    <xf numFmtId="0" fontId="11" fillId="8" borderId="0" xfId="2" applyFont="1" applyAlignment="1">
      <alignment horizontal="center" vertical="center"/>
    </xf>
    <xf numFmtId="0" fontId="0" fillId="0" borderId="2" xfId="0" applyBorder="1" applyAlignment="1">
      <alignment wrapText="1"/>
    </xf>
    <xf numFmtId="0" fontId="5" fillId="0" borderId="6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7" xfId="0" applyBorder="1" applyAlignment="1">
      <alignment vertical="top"/>
    </xf>
    <xf numFmtId="49" fontId="0" fillId="6" borderId="10" xfId="1" applyNumberFormat="1" applyFont="1" applyFill="1" applyBorder="1" applyAlignment="1">
      <alignment horizontal="left"/>
    </xf>
    <xf numFmtId="0" fontId="0" fillId="0" borderId="0" xfId="0" applyNumberFormat="1"/>
    <xf numFmtId="0" fontId="6" fillId="19" borderId="15" xfId="0" applyNumberFormat="1" applyFont="1" applyFill="1" applyBorder="1"/>
    <xf numFmtId="0" fontId="6" fillId="19" borderId="15" xfId="0" applyFont="1" applyFill="1" applyBorder="1" applyAlignment="1">
      <alignment horizontal="left"/>
    </xf>
    <xf numFmtId="0" fontId="6" fillId="19" borderId="16" xfId="0" applyFont="1" applyFill="1" applyBorder="1"/>
    <xf numFmtId="1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right"/>
    </xf>
    <xf numFmtId="0" fontId="0" fillId="0" borderId="17" xfId="0" applyBorder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8" xfId="0" applyFill="1" applyBorder="1" applyAlignment="1"/>
    <xf numFmtId="0" fontId="10" fillId="0" borderId="18" xfId="0" applyFont="1" applyFill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20" xfId="0" applyBorder="1"/>
  </cellXfs>
  <cellStyles count="5">
    <cellStyle name="20% - Accent6" xfId="4" builtinId="50"/>
    <cellStyle name="Accent1" xfId="3" builtinId="29"/>
    <cellStyle name="Comma" xfId="1" builtinId="3"/>
    <cellStyle name="Neutral" xfId="2" builtinId="28"/>
    <cellStyle name="Normal" xfId="0" builtinId="0"/>
  </cellStyles>
  <dxfs count="23">
    <dxf>
      <numFmt numFmtId="4" formatCode="#,##0.00"/>
    </dxf>
    <dxf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numFmt numFmtId="14" formatCode="0.00%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indexed="65"/>
        </patternFill>
      </fill>
    </dxf>
    <dxf>
      <border outline="0"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indexed="65"/>
        </patternFill>
      </fill>
    </dxf>
    <dxf>
      <border outline="0"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CCFF"/>
      <color rgb="FFFFFF99"/>
      <color rgb="FF0000FF"/>
      <color rgb="FFE0C1FF"/>
      <color rgb="FF66FFFF"/>
      <color rgb="FF66FF99"/>
      <color rgb="FFCCCCFF"/>
      <color rgb="FFFFCC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'Arranged Data'!$U$6</c:f>
              <c:strCache>
                <c:ptCount val="1"/>
                <c:pt idx="0">
                  <c:v>User_Count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50E-4B07-A9D5-AFD58A722A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50E-4B07-A9D5-AFD58A722A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50E-4B07-A9D5-AFD58A722AA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650E-4B07-A9D5-AFD58A722AA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650E-4B07-A9D5-AFD58A722AA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650E-4B07-A9D5-AFD58A722AA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650E-4B07-A9D5-AFD58A722AA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650E-4B07-A9D5-AFD58A722AA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650E-4B07-A9D5-AFD58A722AA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650E-4B07-A9D5-AFD58A722AA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650E-4B07-A9D5-AFD58A722AA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650E-4B07-A9D5-AFD58A722A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'Arranged Data'!$E$7:$E$18</c:f>
              <c:strCache>
                <c:ptCount val="12"/>
                <c:pt idx="0">
                  <c:v>Wii Rohith</c:v>
                </c:pt>
                <c:pt idx="1">
                  <c:v>Wii Fit</c:v>
                </c:pt>
                <c:pt idx="2">
                  <c:v>Wii Fit Plus</c:v>
                </c:pt>
                <c:pt idx="3">
                  <c:v>Wii Fit U</c:v>
                </c:pt>
                <c:pt idx="4">
                  <c:v>Wii Music</c:v>
                </c:pt>
                <c:pt idx="5">
                  <c:v>Wii Party</c:v>
                </c:pt>
                <c:pt idx="6">
                  <c:v>Wii Party U</c:v>
                </c:pt>
                <c:pt idx="7">
                  <c:v>Wii Play</c:v>
                </c:pt>
                <c:pt idx="8">
                  <c:v>Wii Play: Motion</c:v>
                </c:pt>
                <c:pt idx="9">
                  <c:v>Wii Sports</c:v>
                </c:pt>
                <c:pt idx="10">
                  <c:v>Wii Sports Club</c:v>
                </c:pt>
                <c:pt idx="11">
                  <c:v>Wii Sports Resort</c:v>
                </c:pt>
              </c:strCache>
            </c:strRef>
          </c:cat>
          <c:val>
            <c:numRef>
              <c:f>'Arranged Data'!$U$7:$U$18</c:f>
              <c:numCache>
                <c:formatCode>General</c:formatCode>
                <c:ptCount val="12"/>
                <c:pt idx="0">
                  <c:v>140</c:v>
                </c:pt>
                <c:pt idx="1">
                  <c:v>146</c:v>
                </c:pt>
                <c:pt idx="2">
                  <c:v>52</c:v>
                </c:pt>
                <c:pt idx="3">
                  <c:v>72</c:v>
                </c:pt>
                <c:pt idx="4">
                  <c:v>116</c:v>
                </c:pt>
                <c:pt idx="5">
                  <c:v>54</c:v>
                </c:pt>
                <c:pt idx="6">
                  <c:v>135</c:v>
                </c:pt>
                <c:pt idx="7">
                  <c:v>129</c:v>
                </c:pt>
                <c:pt idx="8">
                  <c:v>16</c:v>
                </c:pt>
                <c:pt idx="9">
                  <c:v>322</c:v>
                </c:pt>
                <c:pt idx="10">
                  <c:v>106</c:v>
                </c:pt>
                <c:pt idx="11">
                  <c:v>192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74-47ED-8254-4E5EEE30C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[Univariates assignment - Copy (1).xlsx]Pivot Table1!PivotTable1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Table1'!$B$2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'Pivot Table1'!$A$3:$A$5</c:f>
              <c:strCache>
                <c:ptCount val="2"/>
                <c:pt idx="0">
                  <c:v>Misc</c:v>
                </c:pt>
                <c:pt idx="1">
                  <c:v>Sports</c:v>
                </c:pt>
              </c:strCache>
            </c:strRef>
          </c:cat>
          <c:val>
            <c:numRef>
              <c:f>'Pivot Table1'!$B$3:$B$5</c:f>
              <c:numCache>
                <c:formatCode>General</c:formatCode>
                <c:ptCount val="2"/>
                <c:pt idx="0">
                  <c:v>180.36999999999998</c:v>
                </c:pt>
                <c:pt idx="1">
                  <c:v>161.02000000000001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DB8-4A6D-927A-CE3710680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897472"/>
        <c:axId val="199899008"/>
      </c:barChart>
      <c:catAx>
        <c:axId val="199897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9899008"/>
        <c:crosses val="autoZero"/>
        <c:auto val="1"/>
        <c:lblAlgn val="ctr"/>
        <c:lblOffset val="100"/>
        <c:noMultiLvlLbl val="0"/>
      </c:catAx>
      <c:valAx>
        <c:axId val="199899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897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</xdr:colOff>
      <xdr:row>24</xdr:row>
      <xdr:rowOff>146685</xdr:rowOff>
    </xdr:from>
    <xdr:to>
      <xdr:col>10</xdr:col>
      <xdr:colOff>354330</xdr:colOff>
      <xdr:row>40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190500</xdr:colOff>
      <xdr:row>48</xdr:row>
      <xdr:rowOff>123825</xdr:rowOff>
    </xdr:from>
    <xdr:to>
      <xdr:col>15</xdr:col>
      <xdr:colOff>247650</xdr:colOff>
      <xdr:row>63</xdr:row>
      <xdr:rowOff>152400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1B7BD3C-4F3D-4201-9AF9-053FBA0D1AE7}"/>
                </a:ext>
                <a:ext uri="{147F2762-F138-4A5C-976F-8EAC2B608ADB}">
                  <a16:predDERef xmlns:a16="http://schemas.microsoft.com/office/drawing/2014/main" pre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514350</xdr:colOff>
      <xdr:row>98</xdr:row>
      <xdr:rowOff>152400</xdr:rowOff>
    </xdr:from>
    <xdr:to>
      <xdr:col>14</xdr:col>
      <xdr:colOff>171450</xdr:colOff>
      <xdr:row>115</xdr:row>
      <xdr:rowOff>66675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4" name="Chart 2">
              <a:extLst>
                <a:ext uri="{FF2B5EF4-FFF2-40B4-BE49-F238E27FC236}">
                  <a16:creationId xmlns:a16="http://schemas.microsoft.com/office/drawing/2014/main" id="{B8053910-11D5-457B-979C-110D311ABAB2}"/>
                </a:ext>
                <a:ext uri="{147F2762-F138-4A5C-976F-8EAC2B608ADB}">
                  <a16:predDERef xmlns:a16="http://schemas.microsoft.com/office/drawing/2014/main" pred="{51B7BD3C-4F3D-4201-9AF9-053FBA0D1A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"/>
            </a:graphicData>
          </a:graphic>
        </xdr:graphicFrame>
      </mc:Choice>
      <mc:Fallback>
        <xdr:sp macro="" textlink="">
          <xdr:nvSpPr>
            <xdr:cNvPr id="4" name="Rectangle 3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6</xdr:row>
      <xdr:rowOff>72390</xdr:rowOff>
    </xdr:from>
    <xdr:to>
      <xdr:col>6</xdr:col>
      <xdr:colOff>22860</xdr:colOff>
      <xdr:row>21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</sheetNames>
    <definedNames>
      <definedName name="CORR"/>
      <definedName name="COUNTAU"/>
      <definedName name="COVPooled"/>
      <definedName name="ExtractCov"/>
      <definedName name="F_DIST_RT"/>
      <definedName name="MANOVA_Hoteldf1"/>
      <definedName name="MANOVA_Hoteldf2"/>
      <definedName name="MANOVA_HotelF"/>
      <definedName name="MANOVA_HotelTrace"/>
      <definedName name="MANOVA_Pillaidf1"/>
      <definedName name="MANOVA_Pillaidf2"/>
      <definedName name="MANOVA_PillaiF"/>
      <definedName name="MANOVA_PillaiTrace"/>
      <definedName name="MANOVA_RoyRoot"/>
      <definedName name="MANOVA_Wilksdf1"/>
      <definedName name="MANOVA_Wilksdf2"/>
      <definedName name="MANOVA_WilksF"/>
      <definedName name="MANOVA_WilksLambda"/>
      <definedName name="SortUniqu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hit\Desktop\assignment%20math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Univariates%20assignment%20-%20Copy%20(1)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4603.771783680553" createdVersion="7" refreshedVersion="7" minRefreshableVersion="3" recordCount="12">
  <cacheSource type="worksheet">
    <worksheetSource ref="E6:U18" sheet="Arranged Data"/>
  </cacheSource>
  <cacheFields count="16">
    <cacheField name="Name" numFmtId="0">
      <sharedItems/>
    </cacheField>
    <cacheField name="Platform" numFmtId="0">
      <sharedItems/>
    </cacheField>
    <cacheField name="Developer" numFmtId="0">
      <sharedItems/>
    </cacheField>
    <cacheField name="Publisher" numFmtId="0">
      <sharedItems/>
    </cacheField>
    <cacheField name="Rating" numFmtId="0">
      <sharedItems/>
    </cacheField>
    <cacheField name="Year_of_Release" numFmtId="0">
      <sharedItems containsSemiMixedTypes="0" containsString="0" containsNumber="1" containsInteger="1" minValue="2006" maxValue="2014"/>
    </cacheField>
    <cacheField name="Genre" numFmtId="0">
      <sharedItems count="2">
        <s v="Misc"/>
        <s v="Sports"/>
      </sharedItems>
    </cacheField>
    <cacheField name="NA_Sales" numFmtId="0">
      <sharedItems containsSemiMixedTypes="0" containsString="0" containsNumber="1" minValue="0.17" maxValue="89.14"/>
    </cacheField>
    <cacheField name="EU_Sales" numFmtId="0">
      <sharedItems containsSemiMixedTypes="0" containsString="0" containsNumber="1" minValue="0.14000000000000001" maxValue="41.98"/>
    </cacheField>
    <cacheField name="JP_Sales" numFmtId="0">
      <sharedItems containsSemiMixedTypes="0" containsString="0" containsNumber="1" minValue="0.04" maxValue="3.77"/>
    </cacheField>
    <cacheField name="Other_Sales" numFmtId="0">
      <sharedItems containsSemiMixedTypes="0" containsString="0" containsNumber="1" minValue="0.03" maxValue="8.4499999999999993"/>
    </cacheField>
    <cacheField name="Global_Sales" numFmtId="0">
      <sharedItems containsSemiMixedTypes="0" containsString="0" containsNumber="1" minValue="0.38" maxValue="137.15"/>
    </cacheField>
    <cacheField name="Critic_Score" numFmtId="0">
      <sharedItems containsSemiMixedTypes="0" containsString="0" containsNumber="1" containsInteger="1" minValue="58" maxValue="80"/>
    </cacheField>
    <cacheField name="Critic_Count" numFmtId="0">
      <sharedItems containsSemiMixedTypes="0" containsString="0" containsNumber="1" containsInteger="1" minValue="19" maxValue="73"/>
    </cacheField>
    <cacheField name="User_Score" numFmtId="0">
      <sharedItems containsSemiMixedTypes="0" containsString="0" containsNumber="1" minValue="4.5999999999999996" maxValue="8"/>
    </cacheField>
    <cacheField name="User_Count" numFmtId="0">
      <sharedItems containsSemiMixedTypes="0" containsString="0" containsNumber="1" containsInteger="1" minValue="16" maxValue="3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auri unnithan" refreshedDate="44639.774491435186" createdVersion="7" refreshedVersion="4" minRefreshableVersion="3" recordCount="12">
  <cacheSource type="worksheet">
    <worksheetSource ref="D5:H17" sheet="Arranged Data" r:id="rId2"/>
  </cacheSource>
  <cacheFields count="5">
    <cacheField name="Rating" numFmtId="0">
      <sharedItems/>
    </cacheField>
    <cacheField name="Rating_rev" numFmtId="0">
      <sharedItems count="2">
        <s v="Positive"/>
        <s v="Negative"/>
      </sharedItems>
    </cacheField>
    <cacheField name="Year_of_Release" numFmtId="0">
      <sharedItems containsSemiMixedTypes="0" containsString="0" containsNumber="1" containsInteger="1" minValue="2006" maxValue="2014"/>
    </cacheField>
    <cacheField name="Genre" numFmtId="0">
      <sharedItems count="2">
        <s v="Misc"/>
        <s v="Sports"/>
      </sharedItems>
    </cacheField>
    <cacheField name="Genre_Rev" numFmtId="1">
      <sharedItems count="2">
        <s v="Negative"/>
        <s v="Positiv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gauri unnithan" refreshedDate="44639.781637152781" createdVersion="7" refreshedVersion="4" minRefreshableVersion="3" recordCount="12">
  <cacheSource type="worksheet">
    <worksheetSource ref="F1:J13" sheet="ODDs Risk Ratio" r:id="rId2"/>
  </cacheSource>
  <cacheFields count="5">
    <cacheField name="Rating" numFmtId="0">
      <sharedItems count="2">
        <s v="E10+"/>
        <s v="E"/>
      </sharedItems>
    </cacheField>
    <cacheField name="Rating_rev" numFmtId="0">
      <sharedItems/>
    </cacheField>
    <cacheField name="Year_of_Release" numFmtId="0">
      <sharedItems containsSemiMixedTypes="0" containsString="0" containsNumber="1" containsInteger="1" minValue="2006" maxValue="2014"/>
    </cacheField>
    <cacheField name="Genre" numFmtId="0">
      <sharedItems count="2">
        <s v="Misc"/>
        <s v="Sports"/>
      </sharedItems>
    </cacheField>
    <cacheField name="Genre_Rev" numFmtId="1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ohith kumar" refreshedDate="44639.736967824072" createdVersion="4" refreshedVersion="4" minRefreshableVersion="3" recordCount="12">
  <cacheSource type="worksheet">
    <worksheetSource name="Table4[[Genre]:[Crit_Sc_Group]]"/>
  </cacheSource>
  <cacheFields count="7">
    <cacheField name="Genre" numFmtId="0">
      <sharedItems count="2">
        <s v="Misc"/>
        <s v="Sports"/>
      </sharedItems>
    </cacheField>
    <cacheField name="NA_Sales" numFmtId="0">
      <sharedItems containsSemiMixedTypes="0" containsString="0" containsNumber="1" minValue="0.17" maxValue="89.14"/>
    </cacheField>
    <cacheField name="EU_Sales" numFmtId="0">
      <sharedItems containsSemiMixedTypes="0" containsString="0" containsNumber="1" minValue="0.14000000000000001" maxValue="41.98"/>
    </cacheField>
    <cacheField name="JP_Sales" numFmtId="0">
      <sharedItems containsSemiMixedTypes="0" containsString="0" containsNumber="1" minValue="0.04" maxValue="3.77"/>
    </cacheField>
    <cacheField name="Other_Sales" numFmtId="0">
      <sharedItems containsSemiMixedTypes="0" containsString="0" containsNumber="1" minValue="0.03" maxValue="8.4499999999999993"/>
    </cacheField>
    <cacheField name="Global_Sales" numFmtId="0">
      <sharedItems containsSemiMixedTypes="0" containsString="0" containsNumber="1" minValue="0.38" maxValue="137.15"/>
    </cacheField>
    <cacheField name="Crit_Sc_Group" numFmtId="4">
      <sharedItems count="2">
        <s v="GE75"/>
        <s v="LT6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rohith kumar" refreshedDate="44639.784089930552" createdVersion="4" refreshedVersion="4" minRefreshableVersion="3" recordCount="12">
  <cacheSource type="worksheet">
    <worksheetSource name="Table4"/>
  </cacheSource>
  <cacheFields count="17">
    <cacheField name="Name" numFmtId="0">
      <sharedItems count="12">
        <s v="Wii Rohith"/>
        <s v="Wii Fit"/>
        <s v="Wii Fit Plus"/>
        <s v="Wii Fit U"/>
        <s v="Wii Music"/>
        <s v="Wii Party"/>
        <s v="Wii Party U"/>
        <s v="Wii Play"/>
        <s v="Wii Play: Motion"/>
        <s v="Wii Sports"/>
        <s v="Wii Sports Club"/>
        <s v="Wii Sports Resort"/>
      </sharedItems>
    </cacheField>
    <cacheField name="Platform" numFmtId="0">
      <sharedItems/>
    </cacheField>
    <cacheField name="Developer" numFmtId="0">
      <sharedItems/>
    </cacheField>
    <cacheField name="Publisher" numFmtId="0">
      <sharedItems/>
    </cacheField>
    <cacheField name="Rating" numFmtId="0">
      <sharedItems/>
    </cacheField>
    <cacheField name="Year_of_Release" numFmtId="0">
      <sharedItems containsSemiMixedTypes="0" containsString="0" containsNumber="1" containsInteger="1" minValue="2006" maxValue="2014"/>
    </cacheField>
    <cacheField name="Genre" numFmtId="0">
      <sharedItems count="2">
        <s v="Misc"/>
        <s v="Sports"/>
      </sharedItems>
    </cacheField>
    <cacheField name="NA_Sales" numFmtId="0">
      <sharedItems containsSemiMixedTypes="0" containsString="0" containsNumber="1" minValue="0.17" maxValue="89.14"/>
    </cacheField>
    <cacheField name="EU_Sales" numFmtId="0">
      <sharedItems containsSemiMixedTypes="0" containsString="0" containsNumber="1" minValue="0.14000000000000001" maxValue="41.98"/>
    </cacheField>
    <cacheField name="JP_Sales" numFmtId="0">
      <sharedItems containsSemiMixedTypes="0" containsString="0" containsNumber="1" minValue="0.04" maxValue="3.77"/>
    </cacheField>
    <cacheField name="Other_Sales" numFmtId="0">
      <sharedItems containsSemiMixedTypes="0" containsString="0" containsNumber="1" minValue="0.03" maxValue="8.4499999999999993"/>
    </cacheField>
    <cacheField name="Global_Sales" numFmtId="0">
      <sharedItems containsSemiMixedTypes="0" containsString="0" containsNumber="1" minValue="0.38" maxValue="137.15"/>
    </cacheField>
    <cacheField name="Crit_Sc_Group" numFmtId="4">
      <sharedItems count="2">
        <s v="GE75"/>
        <s v="LT65"/>
      </sharedItems>
    </cacheField>
    <cacheField name="Critic_Score" numFmtId="0">
      <sharedItems containsSemiMixedTypes="0" containsString="0" containsNumber="1" containsInteger="1" minValue="58" maxValue="80" count="9">
        <n v="78"/>
        <n v="80"/>
        <n v="72"/>
        <n v="63"/>
        <n v="68"/>
        <n v="65"/>
        <n v="58"/>
        <n v="60"/>
        <n v="76"/>
      </sharedItems>
    </cacheField>
    <cacheField name="Critic_Count" numFmtId="0">
      <sharedItems containsSemiMixedTypes="0" containsString="0" containsNumber="1" containsInteger="1" minValue="19" maxValue="73"/>
    </cacheField>
    <cacheField name="User_Score" numFmtId="0">
      <sharedItems containsSemiMixedTypes="0" containsString="0" containsNumber="1" minValue="4.5999999999999996" maxValue="8"/>
    </cacheField>
    <cacheField name="User_Count" numFmtId="0">
      <sharedItems containsSemiMixedTypes="0" containsString="0" containsNumber="1" containsInteger="1" minValue="16" maxValue="3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Wii Rohith"/>
    <s v="Wii"/>
    <s v="Nintendo"/>
    <s v="Nintendo"/>
    <s v="E10+"/>
    <n v="2008"/>
    <x v="0"/>
    <n v="89.14"/>
    <n v="41.98"/>
    <n v="2.81"/>
    <n v="3.22"/>
    <n v="137.15"/>
    <n v="76"/>
    <n v="51"/>
    <n v="8"/>
    <n v="297"/>
  </r>
  <r>
    <s v="Wii Fit"/>
    <s v="Wii"/>
    <s v="Nintendo"/>
    <s v="Nintendo"/>
    <s v="E"/>
    <n v="2007"/>
    <x v="1"/>
    <n v="8.92"/>
    <n v="8.0299999999999994"/>
    <n v="3.6"/>
    <n v="2.15"/>
    <n v="22.7"/>
    <n v="80"/>
    <n v="63"/>
    <n v="7.7"/>
    <n v="146"/>
  </r>
  <r>
    <s v="Wii Fit Plus"/>
    <s v="Wii"/>
    <s v="Nintendo"/>
    <s v="Nintendo"/>
    <s v="E"/>
    <n v="2009"/>
    <x v="1"/>
    <n v="9.01"/>
    <n v="8.49"/>
    <n v="2.5299999999999998"/>
    <n v="1.77"/>
    <n v="21.79"/>
    <n v="80"/>
    <n v="33"/>
    <n v="7.4"/>
    <n v="52"/>
  </r>
  <r>
    <s v="Wii Fit U"/>
    <s v="WiiU"/>
    <s v="Nintendo"/>
    <s v="Nintendo"/>
    <s v="E"/>
    <n v="2013"/>
    <x v="1"/>
    <n v="0.35"/>
    <n v="0.23"/>
    <n v="0.21"/>
    <n v="0.05"/>
    <n v="0.85"/>
    <n v="72"/>
    <n v="19"/>
    <n v="7.7"/>
    <n v="72"/>
  </r>
  <r>
    <s v="Wii Music"/>
    <s v="Wii"/>
    <s v="Nintendo"/>
    <s v="Nintendo"/>
    <s v="E"/>
    <n v="2008"/>
    <x v="0"/>
    <n v="1.35"/>
    <n v="1.1100000000000001"/>
    <n v="0.46"/>
    <n v="0.32"/>
    <n v="3.25"/>
    <n v="63"/>
    <n v="43"/>
    <n v="4.5999999999999996"/>
    <n v="116"/>
  </r>
  <r>
    <s v="Wii Party"/>
    <s v="Wii"/>
    <s v="Nd Cube"/>
    <s v="Nintendo"/>
    <s v="E"/>
    <n v="2010"/>
    <x v="0"/>
    <n v="1.75"/>
    <n v="3.47"/>
    <n v="2.4900000000000002"/>
    <n v="0.67"/>
    <n v="8.3800000000000008"/>
    <n v="68"/>
    <n v="42"/>
    <n v="7.4"/>
    <n v="54"/>
  </r>
  <r>
    <s v="Wii Party U"/>
    <s v="WiiU"/>
    <s v="Nd Cube"/>
    <s v="Nintendo"/>
    <s v="E"/>
    <n v="2013"/>
    <x v="0"/>
    <n v="0.3"/>
    <n v="0.56000000000000005"/>
    <n v="0.84"/>
    <n v="0.05"/>
    <n v="1.75"/>
    <n v="65"/>
    <n v="38"/>
    <n v="6.8"/>
    <n v="135"/>
  </r>
  <r>
    <s v="Wii Play"/>
    <s v="Wii"/>
    <s v="Nintendo"/>
    <s v="Nintendo"/>
    <s v="E"/>
    <n v="2006"/>
    <x v="0"/>
    <n v="13.96"/>
    <n v="9.18"/>
    <n v="2.93"/>
    <n v="2.84"/>
    <n v="28.92"/>
    <n v="58"/>
    <n v="41"/>
    <n v="6.6"/>
    <n v="129"/>
  </r>
  <r>
    <s v="Wii Play: Motion"/>
    <s v="Wii"/>
    <s v="Nintendo"/>
    <s v="Nintendo"/>
    <s v="E10+"/>
    <n v="2011"/>
    <x v="0"/>
    <n v="0.23"/>
    <n v="0.42"/>
    <n v="0.18"/>
    <n v="0.09"/>
    <n v="0.92"/>
    <n v="60"/>
    <n v="34"/>
    <n v="6.1"/>
    <n v="16"/>
  </r>
  <r>
    <s v="Wii Sports"/>
    <s v="Wii"/>
    <s v="Nintendo"/>
    <s v="Nintendo"/>
    <s v="E"/>
    <n v="2006"/>
    <x v="1"/>
    <n v="41.36"/>
    <n v="28.96"/>
    <n v="3.77"/>
    <n v="8.4499999999999993"/>
    <n v="82.53"/>
    <n v="76"/>
    <n v="51"/>
    <n v="8"/>
    <n v="322"/>
  </r>
  <r>
    <s v="Wii Sports Club"/>
    <s v="WiiU"/>
    <s v="Nintendo"/>
    <s v="Nintendo"/>
    <s v="E10+"/>
    <n v="2014"/>
    <x v="1"/>
    <n v="0.17"/>
    <n v="0.14000000000000001"/>
    <n v="0.04"/>
    <n v="0.03"/>
    <n v="0.38"/>
    <n v="68"/>
    <n v="21"/>
    <n v="7"/>
    <n v="106"/>
  </r>
  <r>
    <s v="Wii Sports Resort"/>
    <s v="Wii"/>
    <s v="Nintendo"/>
    <s v="Nintendo"/>
    <s v="E"/>
    <n v="2009"/>
    <x v="1"/>
    <n v="15.61"/>
    <n v="10.93"/>
    <n v="3.28"/>
    <n v="2.95"/>
    <n v="32.770000000000003"/>
    <n v="80"/>
    <n v="73"/>
    <n v="8"/>
    <n v="19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s v="E10+"/>
    <x v="0"/>
    <n v="2006"/>
    <x v="0"/>
    <x v="0"/>
  </r>
  <r>
    <s v="E"/>
    <x v="1"/>
    <n v="2007"/>
    <x v="1"/>
    <x v="1"/>
  </r>
  <r>
    <s v="E"/>
    <x v="1"/>
    <n v="2009"/>
    <x v="1"/>
    <x v="1"/>
  </r>
  <r>
    <s v="E"/>
    <x v="1"/>
    <n v="2013"/>
    <x v="1"/>
    <x v="1"/>
  </r>
  <r>
    <s v="E"/>
    <x v="1"/>
    <n v="2008"/>
    <x v="0"/>
    <x v="0"/>
  </r>
  <r>
    <s v="E"/>
    <x v="1"/>
    <n v="2010"/>
    <x v="0"/>
    <x v="0"/>
  </r>
  <r>
    <s v="E"/>
    <x v="1"/>
    <n v="2013"/>
    <x v="0"/>
    <x v="0"/>
  </r>
  <r>
    <s v="E"/>
    <x v="1"/>
    <n v="2006"/>
    <x v="0"/>
    <x v="0"/>
  </r>
  <r>
    <s v="E10+"/>
    <x v="0"/>
    <n v="2011"/>
    <x v="0"/>
    <x v="0"/>
  </r>
  <r>
    <s v="E"/>
    <x v="1"/>
    <n v="2006"/>
    <x v="1"/>
    <x v="1"/>
  </r>
  <r>
    <s v="E10+"/>
    <x v="0"/>
    <n v="2014"/>
    <x v="1"/>
    <x v="1"/>
  </r>
  <r>
    <s v="E"/>
    <x v="1"/>
    <n v="2009"/>
    <x v="1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">
  <r>
    <x v="0"/>
    <s v="Negative"/>
    <n v="2006"/>
    <x v="0"/>
    <s v="Negative"/>
  </r>
  <r>
    <x v="1"/>
    <s v="Negative"/>
    <n v="2007"/>
    <x v="1"/>
    <s v="Negative"/>
  </r>
  <r>
    <x v="1"/>
    <s v="Negative"/>
    <n v="2009"/>
    <x v="1"/>
    <s v="Negative"/>
  </r>
  <r>
    <x v="1"/>
    <s v="Negative"/>
    <n v="2013"/>
    <x v="1"/>
    <s v="Negative"/>
  </r>
  <r>
    <x v="1"/>
    <s v="Negative"/>
    <n v="2008"/>
    <x v="0"/>
    <s v="Negative"/>
  </r>
  <r>
    <x v="1"/>
    <s v="Negative"/>
    <n v="2010"/>
    <x v="0"/>
    <s v="Negative"/>
  </r>
  <r>
    <x v="1"/>
    <s v="Negative"/>
    <n v="2013"/>
    <x v="0"/>
    <s v="Negative"/>
  </r>
  <r>
    <x v="1"/>
    <s v="Negative"/>
    <n v="2006"/>
    <x v="0"/>
    <s v="Negative"/>
  </r>
  <r>
    <x v="0"/>
    <s v="Negative"/>
    <n v="2011"/>
    <x v="0"/>
    <s v="Negative"/>
  </r>
  <r>
    <x v="1"/>
    <s v="Negative"/>
    <n v="2006"/>
    <x v="1"/>
    <s v="Negative"/>
  </r>
  <r>
    <x v="0"/>
    <s v="Negative"/>
    <n v="2014"/>
    <x v="1"/>
    <s v="Negative"/>
  </r>
  <r>
    <x v="1"/>
    <s v="Negative"/>
    <n v="2009"/>
    <x v="1"/>
    <s v="Negative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2">
  <r>
    <x v="0"/>
    <n v="89.14"/>
    <n v="41.98"/>
    <n v="2.81"/>
    <n v="3.22"/>
    <n v="137.15"/>
    <x v="0"/>
  </r>
  <r>
    <x v="1"/>
    <n v="8.92"/>
    <n v="8.0299999999999994"/>
    <n v="3.6"/>
    <n v="2.15"/>
    <n v="22.7"/>
    <x v="1"/>
  </r>
  <r>
    <x v="1"/>
    <n v="9.01"/>
    <n v="8.49"/>
    <n v="2.5299999999999998"/>
    <n v="1.77"/>
    <n v="21.79"/>
    <x v="1"/>
  </r>
  <r>
    <x v="1"/>
    <n v="0.35"/>
    <n v="0.23"/>
    <n v="0.21"/>
    <n v="0.05"/>
    <n v="0.85"/>
    <x v="1"/>
  </r>
  <r>
    <x v="0"/>
    <n v="1.35"/>
    <n v="1.1100000000000001"/>
    <n v="0.46"/>
    <n v="0.32"/>
    <n v="3.25"/>
    <x v="1"/>
  </r>
  <r>
    <x v="0"/>
    <n v="1.75"/>
    <n v="3.47"/>
    <n v="2.4900000000000002"/>
    <n v="0.67"/>
    <n v="8.3800000000000008"/>
    <x v="1"/>
  </r>
  <r>
    <x v="0"/>
    <n v="0.3"/>
    <n v="0.56000000000000005"/>
    <n v="0.84"/>
    <n v="0.05"/>
    <n v="1.75"/>
    <x v="1"/>
  </r>
  <r>
    <x v="0"/>
    <n v="13.96"/>
    <n v="9.18"/>
    <n v="2.93"/>
    <n v="2.84"/>
    <n v="28.92"/>
    <x v="1"/>
  </r>
  <r>
    <x v="0"/>
    <n v="0.23"/>
    <n v="0.42"/>
    <n v="0.18"/>
    <n v="0.09"/>
    <n v="0.92"/>
    <x v="1"/>
  </r>
  <r>
    <x v="1"/>
    <n v="41.36"/>
    <n v="28.96"/>
    <n v="3.77"/>
    <n v="8.4499999999999993"/>
    <n v="82.53"/>
    <x v="0"/>
  </r>
  <r>
    <x v="1"/>
    <n v="0.17"/>
    <n v="0.14000000000000001"/>
    <n v="0.04"/>
    <n v="0.03"/>
    <n v="0.38"/>
    <x v="1"/>
  </r>
  <r>
    <x v="1"/>
    <n v="15.61"/>
    <n v="10.93"/>
    <n v="3.28"/>
    <n v="2.95"/>
    <n v="32.770000000000003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2">
  <r>
    <x v="0"/>
    <s v="Wii"/>
    <s v="Nintendo"/>
    <s v="Nintendo"/>
    <s v="E10+"/>
    <n v="2008"/>
    <x v="0"/>
    <n v="89.14"/>
    <n v="41.98"/>
    <n v="2.81"/>
    <n v="3.22"/>
    <n v="137.15"/>
    <x v="0"/>
    <x v="0"/>
    <n v="51"/>
    <n v="8"/>
    <n v="140"/>
  </r>
  <r>
    <x v="1"/>
    <s v="Wii"/>
    <s v="Nintendo"/>
    <s v="Nintendo"/>
    <s v="E"/>
    <n v="2007"/>
    <x v="1"/>
    <n v="8.92"/>
    <n v="8.0299999999999994"/>
    <n v="3.6"/>
    <n v="2.15"/>
    <n v="22.7"/>
    <x v="1"/>
    <x v="1"/>
    <n v="63"/>
    <n v="7.7"/>
    <n v="146"/>
  </r>
  <r>
    <x v="2"/>
    <s v="Wii"/>
    <s v="Nintendo"/>
    <s v="Nintendo"/>
    <s v="E"/>
    <n v="2009"/>
    <x v="1"/>
    <n v="9.01"/>
    <n v="8.49"/>
    <n v="2.5299999999999998"/>
    <n v="1.77"/>
    <n v="21.79"/>
    <x v="1"/>
    <x v="1"/>
    <n v="33"/>
    <n v="7.4"/>
    <n v="52"/>
  </r>
  <r>
    <x v="3"/>
    <s v="WiiU"/>
    <s v="Nintendo"/>
    <s v="Nintendo"/>
    <s v="E"/>
    <n v="2013"/>
    <x v="1"/>
    <n v="0.35"/>
    <n v="0.23"/>
    <n v="0.21"/>
    <n v="0.05"/>
    <n v="0.85"/>
    <x v="1"/>
    <x v="2"/>
    <n v="19"/>
    <n v="7.7"/>
    <n v="72"/>
  </r>
  <r>
    <x v="4"/>
    <s v="Wii"/>
    <s v="Nintendo"/>
    <s v="Nintendo"/>
    <s v="E"/>
    <n v="2008"/>
    <x v="0"/>
    <n v="1.35"/>
    <n v="1.1100000000000001"/>
    <n v="0.46"/>
    <n v="0.32"/>
    <n v="3.25"/>
    <x v="1"/>
    <x v="3"/>
    <n v="43"/>
    <n v="4.5999999999999996"/>
    <n v="116"/>
  </r>
  <r>
    <x v="5"/>
    <s v="Wii"/>
    <s v="Nd Cube"/>
    <s v="Nintendo"/>
    <s v="E"/>
    <n v="2010"/>
    <x v="0"/>
    <n v="1.75"/>
    <n v="3.47"/>
    <n v="2.4900000000000002"/>
    <n v="0.67"/>
    <n v="8.3800000000000008"/>
    <x v="1"/>
    <x v="4"/>
    <n v="42"/>
    <n v="7.4"/>
    <n v="54"/>
  </r>
  <r>
    <x v="6"/>
    <s v="WiiU"/>
    <s v="Nd Cube"/>
    <s v="Nintendo"/>
    <s v="E"/>
    <n v="2013"/>
    <x v="0"/>
    <n v="0.3"/>
    <n v="0.56000000000000005"/>
    <n v="0.84"/>
    <n v="0.05"/>
    <n v="1.75"/>
    <x v="1"/>
    <x v="5"/>
    <n v="38"/>
    <n v="6.8"/>
    <n v="135"/>
  </r>
  <r>
    <x v="7"/>
    <s v="Wii"/>
    <s v="Nintendo"/>
    <s v="Nintendo"/>
    <s v="E"/>
    <n v="2006"/>
    <x v="0"/>
    <n v="13.96"/>
    <n v="9.18"/>
    <n v="2.93"/>
    <n v="2.84"/>
    <n v="28.92"/>
    <x v="1"/>
    <x v="6"/>
    <n v="41"/>
    <n v="6.6"/>
    <n v="129"/>
  </r>
  <r>
    <x v="8"/>
    <s v="Wii"/>
    <s v="Nintendo"/>
    <s v="Nintendo"/>
    <s v="E10+"/>
    <n v="2011"/>
    <x v="0"/>
    <n v="0.23"/>
    <n v="0.42"/>
    <n v="0.18"/>
    <n v="0.09"/>
    <n v="0.92"/>
    <x v="1"/>
    <x v="7"/>
    <n v="34"/>
    <n v="6.1"/>
    <n v="16"/>
  </r>
  <r>
    <x v="9"/>
    <s v="Wii"/>
    <s v="Nintendo"/>
    <s v="Nintendo"/>
    <s v="E"/>
    <n v="2006"/>
    <x v="1"/>
    <n v="41.36"/>
    <n v="28.96"/>
    <n v="3.77"/>
    <n v="8.4499999999999993"/>
    <n v="82.53"/>
    <x v="0"/>
    <x v="8"/>
    <n v="51"/>
    <n v="8"/>
    <n v="322"/>
  </r>
  <r>
    <x v="10"/>
    <s v="WiiU"/>
    <s v="Nintendo"/>
    <s v="Nintendo"/>
    <s v="E10+"/>
    <n v="2014"/>
    <x v="1"/>
    <n v="0.17"/>
    <n v="0.14000000000000001"/>
    <n v="0.04"/>
    <n v="0.03"/>
    <n v="0.38"/>
    <x v="1"/>
    <x v="4"/>
    <n v="21"/>
    <n v="7"/>
    <n v="106"/>
  </r>
  <r>
    <x v="11"/>
    <s v="Wii"/>
    <s v="Nintendo"/>
    <s v="Nintendo"/>
    <s v="E"/>
    <n v="2009"/>
    <x v="1"/>
    <n v="15.61"/>
    <n v="10.93"/>
    <n v="3.28"/>
    <n v="2.95"/>
    <n v="32.770000000000003"/>
    <x v="1"/>
    <x v="1"/>
    <n v="73"/>
    <n v="8"/>
    <n v="1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1">
  <location ref="A2:B5" firstHeaderRow="1" firstDataRow="1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Sum of Global_Sales" fld="1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L1:O5" firstHeaderRow="1" firstDataRow="2" firstDataCol="1"/>
  <pivotFields count="5">
    <pivotField axis="axisCol" showAll="0">
      <items count="3">
        <item x="1"/>
        <item x="0"/>
        <item t="default"/>
      </items>
    </pivotField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</pivotFields>
  <rowFields count="1">
    <field x="3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Genr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showHeaders="0" compact="0" compactData="0" multipleFieldFilters="0">
  <location ref="A1:D5" firstHeaderRow="1" firstDataRow="2" firstDataCol="1"/>
  <pivotFields count="5">
    <pivotField compact="0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axis="axisRow" compact="0" outline="0" showAll="0">
      <items count="3">
        <item x="0"/>
        <item x="1"/>
        <item t="default"/>
      </items>
    </pivotField>
    <pivotField dataField="1" compact="0" outline="0" showAll="0">
      <items count="3">
        <item x="0"/>
        <item x="1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Genre_Rev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7" firstHeaderRow="1" firstDataRow="2" firstDataCol="1"/>
  <pivotFields count="7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Crit_Sc_Group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7" firstHeaderRow="1" firstDataRow="2" firstDataCol="1"/>
  <pivotFields count="17">
    <pivotField axis="axisRow" showAll="0">
      <items count="13">
        <item x="1"/>
        <item x="2"/>
        <item x="3"/>
        <item x="4"/>
        <item x="5"/>
        <item x="6"/>
        <item x="7"/>
        <item x="8"/>
        <item x="0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User_Count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3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7" firstHeaderRow="1" firstDataRow="2" firstDataCol="1"/>
  <pivotFields count="17">
    <pivotField axis="axisRow" showAll="0">
      <items count="13">
        <item x="1"/>
        <item x="2"/>
        <item x="3"/>
        <item x="4"/>
        <item x="5"/>
        <item x="6"/>
        <item x="7"/>
        <item x="8"/>
        <item x="0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Col" showAll="0">
      <items count="3">
        <item x="0"/>
        <item x="1"/>
        <item t="default"/>
      </items>
    </pivotField>
    <pivotField showAll="0">
      <items count="10">
        <item x="6"/>
        <item x="7"/>
        <item x="3"/>
        <item x="5"/>
        <item x="4"/>
        <item x="2"/>
        <item x="8"/>
        <item x="0"/>
        <item x="1"/>
        <item t="default"/>
      </items>
    </pivotField>
    <pivotField showAll="0"/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Sum of Global_Sales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4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8" firstHeaderRow="0" firstDataRow="1" firstDataCol="1"/>
  <pivotFields count="17">
    <pivotField axis="axisRow" showAll="0">
      <items count="13">
        <item x="1"/>
        <item x="2"/>
        <item x="3"/>
        <item x="4"/>
        <item x="5"/>
        <item x="6"/>
        <item x="7"/>
        <item x="8"/>
        <item x="0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0">
        <item x="6"/>
        <item x="7"/>
        <item x="3"/>
        <item x="5"/>
        <item x="4"/>
        <item x="2"/>
        <item x="8"/>
        <item x="0"/>
        <item x="1"/>
        <item t="default"/>
      </items>
    </pivotField>
    <pivotField showAll="0"/>
    <pivotField dataField="1" showAll="0"/>
    <pivotField dataField="1" showAll="0"/>
  </pivotFields>
  <rowFields count="2">
    <field x="0"/>
    <field x="13"/>
  </rowFields>
  <rowItems count="25">
    <i>
      <x/>
    </i>
    <i r="1">
      <x v="8"/>
    </i>
    <i>
      <x v="1"/>
    </i>
    <i r="1">
      <x v="8"/>
    </i>
    <i>
      <x v="2"/>
    </i>
    <i r="1">
      <x v="5"/>
    </i>
    <i>
      <x v="3"/>
    </i>
    <i r="1">
      <x v="2"/>
    </i>
    <i>
      <x v="4"/>
    </i>
    <i r="1">
      <x v="4"/>
    </i>
    <i>
      <x v="5"/>
    </i>
    <i r="1">
      <x v="3"/>
    </i>
    <i>
      <x v="6"/>
    </i>
    <i r="1">
      <x/>
    </i>
    <i>
      <x v="7"/>
    </i>
    <i r="1">
      <x v="1"/>
    </i>
    <i>
      <x v="8"/>
    </i>
    <i r="1">
      <x v="7"/>
    </i>
    <i>
      <x v="9"/>
    </i>
    <i r="1">
      <x v="6"/>
    </i>
    <i>
      <x v="10"/>
    </i>
    <i r="1">
      <x v="4"/>
    </i>
    <i>
      <x v="11"/>
    </i>
    <i r="1"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Global_Sales" fld="11" baseField="0" baseItem="0"/>
    <dataField name="Sum of User_Score" fld="15" baseField="0" baseItem="0"/>
    <dataField name="Sum of User_Count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E75:N90" totalsRowShown="0" headerRowDxfId="22" dataDxfId="20" headerRowBorderDxfId="21" tableBorderDxfId="19">
  <autoFilter ref="E75:N9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NA_Sales" dataDxfId="18"/>
    <tableColumn id="2" name="Column1" dataDxfId="17"/>
    <tableColumn id="3" name="EU_Sales" dataDxfId="16"/>
    <tableColumn id="4" name="Column2" dataDxfId="15"/>
    <tableColumn id="5" name="JP_Sales" dataDxfId="14"/>
    <tableColumn id="6" name="Column3" dataDxfId="13"/>
    <tableColumn id="7" name="Other_Sales" dataDxfId="12"/>
    <tableColumn id="8" name="Column4" dataDxfId="11"/>
    <tableColumn id="9" name="Global_Sales" dataDxfId="10"/>
    <tableColumn id="10" name="Column5" dataDxfId="9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100:G109" totalsRowShown="0" headerRowDxfId="8" dataDxfId="7">
  <autoFilter ref="F100:G109">
    <filterColumn colId="0" hiddenButton="1"/>
    <filterColumn colId="1" hiddenButton="1"/>
  </autoFilter>
  <tableColumns count="2">
    <tableColumn id="1" name="Column1" dataDxfId="6"/>
    <tableColumn id="2" name="Column2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E50:H63" totalsRowShown="0">
  <autoFilter ref="E50:H63">
    <filterColumn colId="0" hiddenButton="1"/>
    <filterColumn colId="1" hiddenButton="1"/>
    <filterColumn colId="2" hiddenButton="1"/>
    <filterColumn colId="3" hiddenButton="1"/>
  </autoFilter>
  <tableColumns count="4">
    <tableColumn id="1" name="Name"/>
    <tableColumn id="2" name="Global_Sales"/>
    <tableColumn id="3" name="cumulative" dataDxfId="4"/>
    <tableColumn id="4" name="percent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6:U18" totalsRowShown="0">
  <autoFilter ref="E6:U1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name="Name"/>
    <tableColumn id="2" name="Platform"/>
    <tableColumn id="3" name="Developer"/>
    <tableColumn id="4" name="Publisher"/>
    <tableColumn id="5" name="Rating"/>
    <tableColumn id="6" name="Year_of_Release"/>
    <tableColumn id="7" name="Genre"/>
    <tableColumn id="8" name="NA_Sales"/>
    <tableColumn id="9" name="EU_Sales"/>
    <tableColumn id="10" name="JP_Sales"/>
    <tableColumn id="11" name="Other_Sales"/>
    <tableColumn id="12" name="Global_Sales"/>
    <tableColumn id="17" name="Crit_Sc_Group" dataDxfId="0">
      <calculatedColumnFormula>VLOOKUP(Table4[[#This Row],[Global_Sales]], bucket1,2,1)</calculatedColumnFormula>
    </tableColumn>
    <tableColumn id="13" name="Critic_Score" dataDxfId="2"/>
    <tableColumn id="14" name="Critic_Count"/>
    <tableColumn id="15" name="User_Score"/>
    <tableColumn id="16" name="User_Count" dataDxfId="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E2" totalsRowShown="0">
  <autoFilter ref="A1:E2"/>
  <tableColumns count="5">
    <tableColumn id="1" name="Rating"/>
    <tableColumn id="2" name="Rating_rev"/>
    <tableColumn id="3" name="Year_of_Release"/>
    <tableColumn id="4" name="Genre"/>
    <tableColumn id="5" name="Genre_Rev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3" totalsRowShown="0">
  <autoFilter ref="A1:E3"/>
  <tableColumns count="5">
    <tableColumn id="1" name="Rating"/>
    <tableColumn id="2" name="Rating_rev"/>
    <tableColumn id="3" name="Year_of_Release"/>
    <tableColumn id="4" name="Genre"/>
    <tableColumn id="5" name="Genre_Rev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Table5" displayName="Table5" ref="A1:E5" totalsRowShown="0">
  <autoFilter ref="A1:E5"/>
  <tableColumns count="5">
    <tableColumn id="1" name="Rating"/>
    <tableColumn id="2" name="Rating_rev"/>
    <tableColumn id="3" name="Year_of_Release"/>
    <tableColumn id="4" name="Genre"/>
    <tableColumn id="5" name="Genre_Re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Q109"/>
  <sheetViews>
    <sheetView topLeftCell="D1" workbookViewId="0">
      <pane xSplit="1" topLeftCell="E1" activePane="topRight" state="frozen"/>
      <selection pane="topRight" activeCell="U18" sqref="E6:U18"/>
    </sheetView>
  </sheetViews>
  <sheetFormatPr defaultRowHeight="14.4"/>
  <cols>
    <col min="1" max="1" width="30.6640625" bestFit="1" customWidth="1"/>
    <col min="2" max="2" width="14.33203125" bestFit="1" customWidth="1"/>
    <col min="3" max="3" width="10.109375" bestFit="1" customWidth="1"/>
    <col min="4" max="4" width="9.33203125" bestFit="1" customWidth="1"/>
    <col min="5" max="5" width="23" bestFit="1" customWidth="1"/>
    <col min="6" max="6" width="14.88671875" bestFit="1" customWidth="1"/>
    <col min="7" max="7" width="23" bestFit="1" customWidth="1"/>
    <col min="8" max="8" width="11.6640625" bestFit="1" customWidth="1"/>
    <col min="9" max="9" width="23" bestFit="1" customWidth="1"/>
    <col min="10" max="10" width="18.44140625" bestFit="1" customWidth="1"/>
    <col min="11" max="11" width="23" bestFit="1" customWidth="1"/>
    <col min="12" max="12" width="11.6640625" bestFit="1" customWidth="1"/>
    <col min="13" max="13" width="23" bestFit="1" customWidth="1"/>
    <col min="14" max="14" width="11.44140625" bestFit="1" customWidth="1"/>
    <col min="15" max="15" width="14.109375" bestFit="1" customWidth="1"/>
    <col min="16" max="16" width="14.88671875" bestFit="1" customWidth="1"/>
    <col min="17" max="17" width="14.88671875" customWidth="1" collapsed="1"/>
    <col min="18" max="18" width="14" bestFit="1" customWidth="1"/>
    <col min="19" max="19" width="14.44140625" bestFit="1" customWidth="1"/>
    <col min="20" max="20" width="13.44140625" bestFit="1" customWidth="1"/>
    <col min="21" max="21" width="13.88671875" bestFit="1" customWidth="1"/>
    <col min="23" max="23" width="21.33203125" bestFit="1" customWidth="1"/>
    <col min="24" max="24" width="12" bestFit="1" customWidth="1"/>
    <col min="25" max="25" width="21.33203125" bestFit="1" customWidth="1"/>
    <col min="26" max="26" width="12" bestFit="1" customWidth="1"/>
    <col min="27" max="27" width="21.33203125" bestFit="1" customWidth="1"/>
    <col min="28" max="28" width="12" bestFit="1" customWidth="1"/>
    <col min="29" max="29" width="21.33203125" bestFit="1" customWidth="1"/>
    <col min="30" max="30" width="12" bestFit="1" customWidth="1"/>
    <col min="31" max="31" width="21.33203125" bestFit="1" customWidth="1"/>
    <col min="32" max="32" width="12" bestFit="1" customWidth="1"/>
  </cols>
  <sheetData>
    <row r="1" spans="5:24" s="2" customFormat="1" ht="18">
      <c r="E1" s="4" t="s">
        <v>0</v>
      </c>
      <c r="G1" s="1"/>
      <c r="O1" s="3"/>
      <c r="R1" s="1"/>
    </row>
    <row r="2" spans="5:24">
      <c r="E2" s="5" t="s">
        <v>1</v>
      </c>
      <c r="F2" s="46" t="s">
        <v>2</v>
      </c>
      <c r="G2" s="47"/>
      <c r="O2" s="1"/>
    </row>
    <row r="3" spans="5:24" ht="17.399999999999999">
      <c r="E3" s="5" t="s">
        <v>3</v>
      </c>
      <c r="F3" s="16">
        <v>200504198</v>
      </c>
      <c r="G3" s="6" t="s">
        <v>4</v>
      </c>
      <c r="I3" s="18"/>
      <c r="J3" s="18"/>
      <c r="K3" s="18"/>
      <c r="L3" s="18"/>
      <c r="M3" s="18"/>
      <c r="N3" s="1"/>
      <c r="O3" s="1"/>
    </row>
    <row r="4" spans="5:24">
      <c r="E4" s="5" t="s">
        <v>5</v>
      </c>
      <c r="F4" s="13" t="s">
        <v>6</v>
      </c>
      <c r="G4" s="13"/>
    </row>
    <row r="5" spans="5:24">
      <c r="E5" s="5"/>
      <c r="F5" s="35"/>
      <c r="G5" s="35"/>
    </row>
    <row r="6" spans="5:24"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s="39" t="s">
        <v>20</v>
      </c>
      <c r="S6" t="s">
        <v>21</v>
      </c>
      <c r="T6" t="s">
        <v>22</v>
      </c>
      <c r="U6" s="42" t="s">
        <v>23</v>
      </c>
    </row>
    <row r="7" spans="5:24">
      <c r="E7" s="12" t="s">
        <v>24</v>
      </c>
      <c r="F7" t="s">
        <v>25</v>
      </c>
      <c r="G7" t="s">
        <v>26</v>
      </c>
      <c r="H7" t="s">
        <v>26</v>
      </c>
      <c r="I7" t="s">
        <v>27</v>
      </c>
      <c r="J7" s="17">
        <v>2008</v>
      </c>
      <c r="K7" s="13" t="s">
        <v>28</v>
      </c>
      <c r="L7" s="14">
        <v>89.14</v>
      </c>
      <c r="M7" s="15">
        <v>41.98</v>
      </c>
      <c r="N7">
        <v>2.81</v>
      </c>
      <c r="O7">
        <v>3.22</v>
      </c>
      <c r="P7" s="19">
        <f>SUM(L7,M7,N7,O7)</f>
        <v>137.15</v>
      </c>
      <c r="Q7" s="37" t="str">
        <f>VLOOKUP(Table4[[#This Row],[Global_Sales]], bucket1,2,1)</f>
        <v>GE75</v>
      </c>
      <c r="R7" s="40">
        <f>(60+(2*9))</f>
        <v>78</v>
      </c>
      <c r="S7">
        <v>51</v>
      </c>
      <c r="T7">
        <v>8</v>
      </c>
      <c r="U7" s="43">
        <v>140</v>
      </c>
    </row>
    <row r="8" spans="5:24">
      <c r="E8" t="s">
        <v>29</v>
      </c>
      <c r="F8" t="s">
        <v>25</v>
      </c>
      <c r="G8" t="s">
        <v>26</v>
      </c>
      <c r="H8" t="s">
        <v>26</v>
      </c>
      <c r="I8" t="s">
        <v>30</v>
      </c>
      <c r="J8">
        <v>2007</v>
      </c>
      <c r="K8" t="s">
        <v>31</v>
      </c>
      <c r="L8">
        <v>8.92</v>
      </c>
      <c r="M8">
        <v>8.0299999999999994</v>
      </c>
      <c r="N8">
        <v>3.6</v>
      </c>
      <c r="O8">
        <v>2.15</v>
      </c>
      <c r="P8">
        <v>22.7</v>
      </c>
      <c r="Q8" s="20" t="str">
        <f>VLOOKUP(Table4[[#This Row],[Global_Sales]], bucket1,2,1)</f>
        <v>LT65</v>
      </c>
      <c r="R8" s="40">
        <v>80</v>
      </c>
      <c r="S8">
        <v>63</v>
      </c>
      <c r="T8">
        <v>7.7</v>
      </c>
      <c r="U8" s="43">
        <v>146</v>
      </c>
      <c r="W8" s="36">
        <v>0</v>
      </c>
      <c r="X8" t="s">
        <v>32</v>
      </c>
    </row>
    <row r="9" spans="5:24">
      <c r="E9" t="s">
        <v>33</v>
      </c>
      <c r="F9" t="s">
        <v>25</v>
      </c>
      <c r="G9" t="s">
        <v>26</v>
      </c>
      <c r="H9" t="s">
        <v>26</v>
      </c>
      <c r="I9" t="s">
        <v>30</v>
      </c>
      <c r="J9">
        <v>2009</v>
      </c>
      <c r="K9" t="s">
        <v>31</v>
      </c>
      <c r="L9">
        <v>9.01</v>
      </c>
      <c r="M9">
        <v>8.49</v>
      </c>
      <c r="N9">
        <v>2.5299999999999998</v>
      </c>
      <c r="O9">
        <v>1.77</v>
      </c>
      <c r="P9">
        <v>21.79</v>
      </c>
      <c r="Q9" s="20" t="str">
        <f>VLOOKUP(Table4[[#This Row],[Global_Sales]], bucket1,2,1)</f>
        <v>LT65</v>
      </c>
      <c r="R9" s="40">
        <v>80</v>
      </c>
      <c r="S9">
        <v>33</v>
      </c>
      <c r="T9">
        <v>7.4</v>
      </c>
      <c r="U9" s="43">
        <v>52</v>
      </c>
      <c r="W9">
        <v>65</v>
      </c>
      <c r="X9" s="38" t="s">
        <v>34</v>
      </c>
    </row>
    <row r="10" spans="5:24">
      <c r="E10" t="s">
        <v>35</v>
      </c>
      <c r="F10" t="s">
        <v>36</v>
      </c>
      <c r="G10" t="s">
        <v>26</v>
      </c>
      <c r="H10" t="s">
        <v>26</v>
      </c>
      <c r="I10" t="s">
        <v>30</v>
      </c>
      <c r="J10">
        <v>2013</v>
      </c>
      <c r="K10" t="s">
        <v>31</v>
      </c>
      <c r="L10">
        <v>0.35</v>
      </c>
      <c r="M10">
        <v>0.23</v>
      </c>
      <c r="N10">
        <v>0.21</v>
      </c>
      <c r="O10">
        <v>0.05</v>
      </c>
      <c r="P10">
        <v>0.85</v>
      </c>
      <c r="Q10" s="20" t="str">
        <f>VLOOKUP(Table4[[#This Row],[Global_Sales]], bucket1,2,1)</f>
        <v>LT65</v>
      </c>
      <c r="R10" s="40">
        <v>72</v>
      </c>
      <c r="S10">
        <v>19</v>
      </c>
      <c r="T10">
        <v>7.7</v>
      </c>
      <c r="U10" s="43">
        <v>72</v>
      </c>
      <c r="W10" s="36">
        <v>75</v>
      </c>
      <c r="X10" s="38" t="s">
        <v>37</v>
      </c>
    </row>
    <row r="11" spans="5:24">
      <c r="E11" t="s">
        <v>38</v>
      </c>
      <c r="F11" t="s">
        <v>25</v>
      </c>
      <c r="G11" t="s">
        <v>26</v>
      </c>
      <c r="H11" t="s">
        <v>26</v>
      </c>
      <c r="I11" t="s">
        <v>30</v>
      </c>
      <c r="J11">
        <v>2008</v>
      </c>
      <c r="K11" t="s">
        <v>28</v>
      </c>
      <c r="L11">
        <v>1.35</v>
      </c>
      <c r="M11">
        <v>1.1100000000000001</v>
      </c>
      <c r="N11">
        <v>0.46</v>
      </c>
      <c r="O11">
        <v>0.32</v>
      </c>
      <c r="P11">
        <v>3.25</v>
      </c>
      <c r="Q11" s="20" t="str">
        <f>VLOOKUP(Table4[[#This Row],[Global_Sales]], bucket1,2,1)</f>
        <v>LT65</v>
      </c>
      <c r="R11" s="40">
        <v>63</v>
      </c>
      <c r="S11">
        <v>43</v>
      </c>
      <c r="T11">
        <v>4.5999999999999996</v>
      </c>
      <c r="U11" s="43">
        <v>116</v>
      </c>
    </row>
    <row r="12" spans="5:24">
      <c r="E12" t="s">
        <v>39</v>
      </c>
      <c r="F12" t="s">
        <v>25</v>
      </c>
      <c r="G12" t="s">
        <v>40</v>
      </c>
      <c r="H12" t="s">
        <v>26</v>
      </c>
      <c r="I12" t="s">
        <v>30</v>
      </c>
      <c r="J12">
        <v>2010</v>
      </c>
      <c r="K12" t="s">
        <v>28</v>
      </c>
      <c r="L12">
        <v>1.75</v>
      </c>
      <c r="M12">
        <v>3.47</v>
      </c>
      <c r="N12">
        <v>2.4900000000000002</v>
      </c>
      <c r="O12">
        <v>0.67</v>
      </c>
      <c r="P12">
        <v>8.3800000000000008</v>
      </c>
      <c r="Q12" s="20" t="str">
        <f>VLOOKUP(Table4[[#This Row],[Global_Sales]], bucket1,2,1)</f>
        <v>LT65</v>
      </c>
      <c r="R12" s="40">
        <v>68</v>
      </c>
      <c r="S12">
        <v>42</v>
      </c>
      <c r="T12">
        <v>7.4</v>
      </c>
      <c r="U12" s="43">
        <v>54</v>
      </c>
      <c r="W12" s="36"/>
    </row>
    <row r="13" spans="5:24">
      <c r="E13" t="s">
        <v>41</v>
      </c>
      <c r="F13" t="s">
        <v>36</v>
      </c>
      <c r="G13" t="s">
        <v>40</v>
      </c>
      <c r="H13" t="s">
        <v>26</v>
      </c>
      <c r="I13" t="s">
        <v>30</v>
      </c>
      <c r="J13">
        <v>2013</v>
      </c>
      <c r="K13" t="s">
        <v>28</v>
      </c>
      <c r="L13">
        <v>0.3</v>
      </c>
      <c r="M13">
        <v>0.56000000000000005</v>
      </c>
      <c r="N13">
        <v>0.84</v>
      </c>
      <c r="O13">
        <v>0.05</v>
      </c>
      <c r="P13">
        <v>1.75</v>
      </c>
      <c r="Q13" s="20" t="str">
        <f>VLOOKUP(Table4[[#This Row],[Global_Sales]], bucket1,2,1)</f>
        <v>LT65</v>
      </c>
      <c r="R13" s="40">
        <v>65</v>
      </c>
      <c r="S13">
        <v>38</v>
      </c>
      <c r="T13">
        <v>6.8</v>
      </c>
      <c r="U13" s="43">
        <v>135</v>
      </c>
      <c r="W13" t="s">
        <v>42</v>
      </c>
    </row>
    <row r="14" spans="5:24">
      <c r="E14" t="s">
        <v>43</v>
      </c>
      <c r="F14" t="s">
        <v>25</v>
      </c>
      <c r="G14" t="s">
        <v>26</v>
      </c>
      <c r="H14" t="s">
        <v>26</v>
      </c>
      <c r="I14" t="s">
        <v>30</v>
      </c>
      <c r="J14">
        <v>2006</v>
      </c>
      <c r="K14" t="s">
        <v>28</v>
      </c>
      <c r="L14">
        <v>13.96</v>
      </c>
      <c r="M14">
        <v>9.18</v>
      </c>
      <c r="N14">
        <v>2.93</v>
      </c>
      <c r="O14">
        <v>2.84</v>
      </c>
      <c r="P14">
        <v>28.92</v>
      </c>
      <c r="Q14" s="20" t="str">
        <f>VLOOKUP(Table4[[#This Row],[Global_Sales]], bucket1,2,1)</f>
        <v>LT65</v>
      </c>
      <c r="R14" s="40">
        <v>58</v>
      </c>
      <c r="S14">
        <v>41</v>
      </c>
      <c r="T14">
        <v>6.6</v>
      </c>
      <c r="U14" s="43">
        <v>129</v>
      </c>
      <c r="W14" s="36"/>
    </row>
    <row r="15" spans="5:24">
      <c r="E15" t="s">
        <v>44</v>
      </c>
      <c r="F15" t="s">
        <v>25</v>
      </c>
      <c r="G15" t="s">
        <v>26</v>
      </c>
      <c r="H15" t="s">
        <v>26</v>
      </c>
      <c r="I15" t="s">
        <v>27</v>
      </c>
      <c r="J15">
        <v>2011</v>
      </c>
      <c r="K15" t="s">
        <v>28</v>
      </c>
      <c r="L15">
        <v>0.23</v>
      </c>
      <c r="M15">
        <v>0.42</v>
      </c>
      <c r="N15">
        <v>0.18</v>
      </c>
      <c r="O15">
        <v>0.09</v>
      </c>
      <c r="P15">
        <v>0.92</v>
      </c>
      <c r="Q15" s="20" t="str">
        <f>VLOOKUP(Table4[[#This Row],[Global_Sales]], bucket1,2,1)</f>
        <v>LT65</v>
      </c>
      <c r="R15" s="40">
        <v>60</v>
      </c>
      <c r="S15">
        <v>34</v>
      </c>
      <c r="T15">
        <v>6.1</v>
      </c>
      <c r="U15" s="43">
        <v>16</v>
      </c>
    </row>
    <row r="16" spans="5:24">
      <c r="E16" t="s">
        <v>45</v>
      </c>
      <c r="F16" t="s">
        <v>25</v>
      </c>
      <c r="G16" t="s">
        <v>26</v>
      </c>
      <c r="H16" t="s">
        <v>26</v>
      </c>
      <c r="I16" t="s">
        <v>30</v>
      </c>
      <c r="J16">
        <v>2006</v>
      </c>
      <c r="K16" t="s">
        <v>31</v>
      </c>
      <c r="L16">
        <v>41.36</v>
      </c>
      <c r="M16">
        <v>28.96</v>
      </c>
      <c r="N16">
        <v>3.77</v>
      </c>
      <c r="O16">
        <v>8.4499999999999993</v>
      </c>
      <c r="P16">
        <v>82.53</v>
      </c>
      <c r="Q16" s="20" t="str">
        <f>VLOOKUP(Table4[[#This Row],[Global_Sales]], bucket1,2,1)</f>
        <v>GE75</v>
      </c>
      <c r="R16" s="40">
        <v>76</v>
      </c>
      <c r="S16">
        <v>51</v>
      </c>
      <c r="T16">
        <v>8</v>
      </c>
      <c r="U16" s="43">
        <v>322</v>
      </c>
      <c r="W16" s="36"/>
    </row>
    <row r="17" spans="5:43">
      <c r="E17" t="s">
        <v>46</v>
      </c>
      <c r="F17" t="s">
        <v>36</v>
      </c>
      <c r="G17" t="s">
        <v>26</v>
      </c>
      <c r="H17" t="s">
        <v>26</v>
      </c>
      <c r="I17" t="s">
        <v>27</v>
      </c>
      <c r="J17">
        <v>2014</v>
      </c>
      <c r="K17" t="s">
        <v>31</v>
      </c>
      <c r="L17">
        <v>0.17</v>
      </c>
      <c r="M17">
        <v>0.14000000000000001</v>
      </c>
      <c r="N17">
        <v>0.04</v>
      </c>
      <c r="O17">
        <v>0.03</v>
      </c>
      <c r="P17">
        <v>0.38</v>
      </c>
      <c r="Q17" s="20" t="str">
        <f>VLOOKUP(Table4[[#This Row],[Global_Sales]], bucket1,2,1)</f>
        <v>LT65</v>
      </c>
      <c r="R17" s="40">
        <v>68</v>
      </c>
      <c r="S17">
        <v>21</v>
      </c>
      <c r="T17">
        <v>7</v>
      </c>
      <c r="U17" s="43">
        <v>106</v>
      </c>
    </row>
    <row r="18" spans="5:43">
      <c r="E18" t="s">
        <v>47</v>
      </c>
      <c r="F18" t="s">
        <v>25</v>
      </c>
      <c r="G18" t="s">
        <v>26</v>
      </c>
      <c r="H18" t="s">
        <v>26</v>
      </c>
      <c r="I18" t="s">
        <v>30</v>
      </c>
      <c r="J18">
        <v>2009</v>
      </c>
      <c r="K18" t="s">
        <v>31</v>
      </c>
      <c r="L18">
        <v>15.61</v>
      </c>
      <c r="M18">
        <v>10.93</v>
      </c>
      <c r="N18">
        <v>3.28</v>
      </c>
      <c r="O18">
        <v>2.95</v>
      </c>
      <c r="P18">
        <v>32.770000000000003</v>
      </c>
      <c r="Q18" s="20" t="str">
        <f>VLOOKUP(Table4[[#This Row],[Global_Sales]], bucket1,2,1)</f>
        <v>LT65</v>
      </c>
      <c r="R18" s="41">
        <v>80</v>
      </c>
      <c r="S18">
        <v>73</v>
      </c>
      <c r="T18">
        <v>8</v>
      </c>
      <c r="U18" s="44">
        <v>192</v>
      </c>
      <c r="W18" s="36"/>
    </row>
    <row r="20" spans="5:43"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</row>
    <row r="22" spans="5:43" ht="15" customHeight="1">
      <c r="E22" s="48" t="s">
        <v>48</v>
      </c>
      <c r="F22" s="48"/>
      <c r="G22" s="48"/>
      <c r="H22" s="48"/>
      <c r="I22" s="48"/>
      <c r="J22" s="48"/>
      <c r="K22" s="48"/>
    </row>
    <row r="23" spans="5:43" ht="14.4" customHeight="1">
      <c r="E23" s="48"/>
      <c r="F23" s="48"/>
      <c r="G23" s="48"/>
      <c r="H23" s="48"/>
      <c r="I23" s="48"/>
      <c r="J23" s="48"/>
      <c r="K23" s="48"/>
    </row>
    <row r="24" spans="5:43" ht="14.4" customHeight="1">
      <c r="E24" s="48"/>
      <c r="F24" s="48"/>
      <c r="G24" s="48"/>
      <c r="H24" s="48"/>
      <c r="I24" s="48"/>
      <c r="J24" s="48"/>
      <c r="K24" s="48"/>
    </row>
    <row r="35" spans="5:43" ht="15" thickBot="1">
      <c r="AH35" s="23"/>
      <c r="AI35" s="23"/>
      <c r="AJ35" s="23"/>
      <c r="AK35" s="23"/>
      <c r="AL35" s="23"/>
      <c r="AM35" s="23"/>
      <c r="AN35" s="23"/>
      <c r="AO35" s="23"/>
      <c r="AP35" s="23"/>
      <c r="AQ35" s="23"/>
    </row>
    <row r="45" spans="5:43" ht="18">
      <c r="E45" s="45" t="s">
        <v>49</v>
      </c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29"/>
    </row>
    <row r="46" spans="5:43" ht="18"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29"/>
    </row>
    <row r="47" spans="5:43" ht="18"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29"/>
    </row>
    <row r="48" spans="5:43" ht="18"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29"/>
    </row>
    <row r="50" spans="5:8">
      <c r="E50" t="s">
        <v>7</v>
      </c>
      <c r="F50" t="s">
        <v>18</v>
      </c>
      <c r="G50" t="s">
        <v>50</v>
      </c>
      <c r="H50" t="s">
        <v>51</v>
      </c>
    </row>
    <row r="51" spans="5:8">
      <c r="E51" s="12" t="s">
        <v>24</v>
      </c>
      <c r="F51" s="19">
        <v>137.15</v>
      </c>
      <c r="G51">
        <v>137.15</v>
      </c>
      <c r="H51" s="21">
        <f t="shared" ref="H51:H62" si="0">G51/$F$63</f>
        <v>0.40173994551685754</v>
      </c>
    </row>
    <row r="52" spans="5:8">
      <c r="E52" t="s">
        <v>45</v>
      </c>
      <c r="F52">
        <v>82.53</v>
      </c>
      <c r="G52" s="20">
        <f>G51+F52</f>
        <v>219.68</v>
      </c>
      <c r="H52" s="21">
        <f t="shared" si="0"/>
        <v>0.64348692111661143</v>
      </c>
    </row>
    <row r="53" spans="5:8">
      <c r="E53" t="s">
        <v>47</v>
      </c>
      <c r="F53">
        <v>32.770000000000003</v>
      </c>
      <c r="G53" s="20">
        <f t="shared" ref="G53:G62" si="1">G52+F53</f>
        <v>252.45000000000002</v>
      </c>
      <c r="H53" s="21">
        <f t="shared" si="0"/>
        <v>0.73947684466445995</v>
      </c>
    </row>
    <row r="54" spans="5:8">
      <c r="E54" t="s">
        <v>43</v>
      </c>
      <c r="F54">
        <v>28.92</v>
      </c>
      <c r="G54" s="20">
        <f t="shared" si="1"/>
        <v>281.37</v>
      </c>
      <c r="H54" s="21">
        <f t="shared" si="0"/>
        <v>0.82418934356600948</v>
      </c>
    </row>
    <row r="55" spans="5:8">
      <c r="E55" t="s">
        <v>29</v>
      </c>
      <c r="F55">
        <v>22.7</v>
      </c>
      <c r="G55" s="20">
        <f t="shared" si="1"/>
        <v>304.07</v>
      </c>
      <c r="H55" s="21">
        <f t="shared" si="0"/>
        <v>0.89068221096107081</v>
      </c>
    </row>
    <row r="56" spans="5:8">
      <c r="E56" t="s">
        <v>33</v>
      </c>
      <c r="F56">
        <v>21.79</v>
      </c>
      <c r="G56" s="20">
        <f t="shared" si="1"/>
        <v>325.86</v>
      </c>
      <c r="H56" s="21">
        <f t="shared" si="0"/>
        <v>0.95450950525791611</v>
      </c>
    </row>
    <row r="57" spans="5:8">
      <c r="E57" t="s">
        <v>39</v>
      </c>
      <c r="F57">
        <v>8.3800000000000008</v>
      </c>
      <c r="G57" s="20">
        <f t="shared" si="1"/>
        <v>334.24</v>
      </c>
      <c r="H57" s="21">
        <f t="shared" si="0"/>
        <v>0.97905621137115895</v>
      </c>
    </row>
    <row r="58" spans="5:8">
      <c r="E58" t="s">
        <v>38</v>
      </c>
      <c r="F58">
        <v>3.25</v>
      </c>
      <c r="G58" s="20">
        <f t="shared" si="1"/>
        <v>337.49</v>
      </c>
      <c r="H58" s="21">
        <f t="shared" si="0"/>
        <v>0.98857611529335943</v>
      </c>
    </row>
    <row r="59" spans="5:8">
      <c r="E59" t="s">
        <v>41</v>
      </c>
      <c r="F59">
        <v>1.75</v>
      </c>
      <c r="G59" s="20">
        <f t="shared" si="1"/>
        <v>339.24</v>
      </c>
      <c r="H59" s="21">
        <f t="shared" si="0"/>
        <v>0.9937022174053135</v>
      </c>
    </row>
    <row r="60" spans="5:8">
      <c r="E60" t="s">
        <v>44</v>
      </c>
      <c r="F60">
        <v>0.92</v>
      </c>
      <c r="G60" s="20">
        <f t="shared" si="1"/>
        <v>340.16</v>
      </c>
      <c r="H60" s="21">
        <f t="shared" si="0"/>
        <v>0.996397082515598</v>
      </c>
    </row>
    <row r="61" spans="5:8">
      <c r="E61" t="s">
        <v>35</v>
      </c>
      <c r="F61">
        <v>0.85</v>
      </c>
      <c r="G61" s="20">
        <f t="shared" si="1"/>
        <v>341.01000000000005</v>
      </c>
      <c r="H61" s="21">
        <f t="shared" si="0"/>
        <v>0.9988869035414043</v>
      </c>
    </row>
    <row r="62" spans="5:8">
      <c r="E62" t="s">
        <v>46</v>
      </c>
      <c r="F62">
        <v>0.38</v>
      </c>
      <c r="G62" s="20">
        <f t="shared" si="1"/>
        <v>341.39000000000004</v>
      </c>
      <c r="H62" s="21">
        <f t="shared" si="0"/>
        <v>1</v>
      </c>
    </row>
    <row r="63" spans="5:8">
      <c r="F63" s="20">
        <f>SUM(F51:F62)</f>
        <v>341.39000000000004</v>
      </c>
    </row>
    <row r="69" spans="5:14">
      <c r="E69" s="45" t="s">
        <v>52</v>
      </c>
      <c r="F69" s="45"/>
      <c r="G69" s="45"/>
      <c r="H69" s="45"/>
      <c r="I69" s="45"/>
      <c r="J69" s="45"/>
      <c r="K69" s="45"/>
      <c r="L69" s="45"/>
      <c r="M69" s="45"/>
      <c r="N69" s="45"/>
    </row>
    <row r="70" spans="5:14">
      <c r="E70" s="45"/>
      <c r="F70" s="45"/>
      <c r="G70" s="45"/>
      <c r="H70" s="45"/>
      <c r="I70" s="45"/>
      <c r="J70" s="45"/>
      <c r="K70" s="45"/>
      <c r="L70" s="45"/>
      <c r="M70" s="45"/>
      <c r="N70" s="45"/>
    </row>
    <row r="71" spans="5:14">
      <c r="E71" s="45"/>
      <c r="F71" s="45"/>
      <c r="G71" s="45"/>
      <c r="H71" s="45"/>
      <c r="I71" s="45"/>
      <c r="J71" s="45"/>
      <c r="K71" s="45"/>
      <c r="L71" s="45"/>
      <c r="M71" s="45"/>
      <c r="N71" s="45"/>
    </row>
    <row r="72" spans="5:14">
      <c r="E72" s="45"/>
      <c r="F72" s="45"/>
      <c r="G72" s="45"/>
      <c r="H72" s="45"/>
      <c r="I72" s="45"/>
      <c r="J72" s="45"/>
      <c r="K72" s="45"/>
      <c r="L72" s="45"/>
      <c r="M72" s="45"/>
      <c r="N72" s="45"/>
    </row>
    <row r="73" spans="5:14">
      <c r="E73" s="45"/>
      <c r="F73" s="45"/>
      <c r="G73" s="45"/>
      <c r="H73" s="45"/>
      <c r="I73" s="45"/>
      <c r="J73" s="45"/>
      <c r="K73" s="45"/>
      <c r="L73" s="45"/>
      <c r="M73" s="45"/>
      <c r="N73" s="45"/>
    </row>
    <row r="75" spans="5:14">
      <c r="E75" s="28" t="s">
        <v>14</v>
      </c>
      <c r="F75" s="28" t="s">
        <v>53</v>
      </c>
      <c r="G75" s="28" t="s">
        <v>15</v>
      </c>
      <c r="H75" s="28" t="s">
        <v>54</v>
      </c>
      <c r="I75" s="28" t="s">
        <v>16</v>
      </c>
      <c r="J75" s="28" t="s">
        <v>55</v>
      </c>
      <c r="K75" s="28" t="s">
        <v>17</v>
      </c>
      <c r="L75" s="28" t="s">
        <v>56</v>
      </c>
      <c r="M75" s="28" t="s">
        <v>18</v>
      </c>
      <c r="N75" s="28" t="s">
        <v>57</v>
      </c>
    </row>
    <row r="76" spans="5:14">
      <c r="E76" s="26"/>
      <c r="F76" s="26"/>
      <c r="G76" s="26"/>
      <c r="H76" s="26"/>
      <c r="I76" s="26"/>
      <c r="J76" s="26"/>
      <c r="K76" s="26"/>
      <c r="L76" s="26"/>
      <c r="M76" s="26"/>
      <c r="N76" s="26"/>
    </row>
    <row r="77" spans="5:14">
      <c r="E77" s="26" t="s">
        <v>58</v>
      </c>
      <c r="F77" s="26">
        <v>15.179166666666665</v>
      </c>
      <c r="G77" s="26" t="s">
        <v>58</v>
      </c>
      <c r="H77" s="26">
        <v>9.4583333333333339</v>
      </c>
      <c r="I77" s="26" t="s">
        <v>58</v>
      </c>
      <c r="J77" s="26">
        <v>1.9283333333333335</v>
      </c>
      <c r="K77" s="26" t="s">
        <v>58</v>
      </c>
      <c r="L77" s="26">
        <v>1.8825000000000001</v>
      </c>
      <c r="M77" s="26" t="s">
        <v>58</v>
      </c>
      <c r="N77" s="26">
        <v>28.44916666666666</v>
      </c>
    </row>
    <row r="78" spans="5:14">
      <c r="E78" s="26" t="s">
        <v>59</v>
      </c>
      <c r="F78" s="26">
        <v>7.5358655027981118</v>
      </c>
      <c r="G78" s="26" t="s">
        <v>59</v>
      </c>
      <c r="H78" s="26">
        <v>3.7755342454259155</v>
      </c>
      <c r="I78" s="26" t="s">
        <v>59</v>
      </c>
      <c r="J78" s="26">
        <v>0.42092040803338332</v>
      </c>
      <c r="K78" s="26" t="s">
        <v>59</v>
      </c>
      <c r="L78" s="26">
        <v>0.69812533063392512</v>
      </c>
      <c r="M78" s="26" t="s">
        <v>59</v>
      </c>
      <c r="N78" s="26">
        <v>11.964264496276767</v>
      </c>
    </row>
    <row r="79" spans="5:14">
      <c r="E79" s="26" t="s">
        <v>60</v>
      </c>
      <c r="F79" s="26">
        <v>5.335</v>
      </c>
      <c r="G79" s="26" t="s">
        <v>60</v>
      </c>
      <c r="H79" s="26">
        <v>5.75</v>
      </c>
      <c r="I79" s="26" t="s">
        <v>60</v>
      </c>
      <c r="J79" s="26">
        <v>2.5099999999999998</v>
      </c>
      <c r="K79" s="26" t="s">
        <v>60</v>
      </c>
      <c r="L79" s="26">
        <v>1.2200000000000002</v>
      </c>
      <c r="M79" s="26" t="s">
        <v>60</v>
      </c>
      <c r="N79" s="26">
        <v>15.085000000000001</v>
      </c>
    </row>
    <row r="80" spans="5:14">
      <c r="E80" s="26" t="s">
        <v>61</v>
      </c>
      <c r="F80" s="26" t="e">
        <v>#N/A</v>
      </c>
      <c r="G80" s="26" t="s">
        <v>61</v>
      </c>
      <c r="H80" s="26" t="e">
        <v>#N/A</v>
      </c>
      <c r="I80" s="26" t="s">
        <v>61</v>
      </c>
      <c r="J80" s="26" t="e">
        <v>#N/A</v>
      </c>
      <c r="K80" s="26" t="s">
        <v>61</v>
      </c>
      <c r="L80" s="26">
        <v>0.05</v>
      </c>
      <c r="M80" s="26" t="s">
        <v>61</v>
      </c>
      <c r="N80" s="26" t="e">
        <v>#N/A</v>
      </c>
    </row>
    <row r="81" spans="5:15">
      <c r="E81" s="26" t="s">
        <v>62</v>
      </c>
      <c r="F81" s="26">
        <v>26.105003859703825</v>
      </c>
      <c r="G81" s="26" t="s">
        <v>62</v>
      </c>
      <c r="H81" s="26">
        <v>13.078834277587816</v>
      </c>
      <c r="I81" s="26" t="s">
        <v>62</v>
      </c>
      <c r="J81" s="26">
        <v>1.4581110653128857</v>
      </c>
      <c r="K81" s="26" t="s">
        <v>62</v>
      </c>
      <c r="L81" s="26">
        <v>2.4183770854175588</v>
      </c>
      <c r="M81" s="26" t="s">
        <v>62</v>
      </c>
      <c r="N81" s="26">
        <v>41.445427965487639</v>
      </c>
    </row>
    <row r="82" spans="5:15">
      <c r="E82" s="26" t="s">
        <v>63</v>
      </c>
      <c r="F82" s="26">
        <v>681.47122651515156</v>
      </c>
      <c r="G82" s="26" t="s">
        <v>63</v>
      </c>
      <c r="H82" s="26">
        <v>171.05590606060602</v>
      </c>
      <c r="I82" s="26" t="s">
        <v>63</v>
      </c>
      <c r="J82" s="26">
        <v>2.1260878787878785</v>
      </c>
      <c r="K82" s="26" t="s">
        <v>63</v>
      </c>
      <c r="L82" s="26">
        <v>5.8485477272727273</v>
      </c>
      <c r="M82" s="26" t="s">
        <v>63</v>
      </c>
      <c r="N82" s="26">
        <v>1717.7234992424246</v>
      </c>
    </row>
    <row r="83" spans="5:15">
      <c r="E83" s="26" t="s">
        <v>64</v>
      </c>
      <c r="F83" s="26">
        <v>6.3709113950134224</v>
      </c>
      <c r="G83" s="26" t="s">
        <v>64</v>
      </c>
      <c r="H83" s="26">
        <v>2.9523700724794351</v>
      </c>
      <c r="I83" s="26" t="s">
        <v>64</v>
      </c>
      <c r="J83" s="26">
        <v>-1.8957157730341176</v>
      </c>
      <c r="K83" s="26" t="s">
        <v>64</v>
      </c>
      <c r="L83" s="26">
        <v>4.804664179956653</v>
      </c>
      <c r="M83" s="26" t="s">
        <v>64</v>
      </c>
      <c r="N83" s="26">
        <v>4.0319720401292614</v>
      </c>
    </row>
    <row r="84" spans="5:15">
      <c r="E84" s="26" t="s">
        <v>65</v>
      </c>
      <c r="F84" s="26">
        <v>2.4755792667759824</v>
      </c>
      <c r="G84" s="26" t="s">
        <v>65</v>
      </c>
      <c r="H84" s="26">
        <v>1.8519032075402393</v>
      </c>
      <c r="I84" s="26" t="s">
        <v>65</v>
      </c>
      <c r="J84" s="26">
        <v>-0.21582883798065564</v>
      </c>
      <c r="K84" s="26" t="s">
        <v>65</v>
      </c>
      <c r="L84" s="26">
        <v>1.9880192345512502</v>
      </c>
      <c r="M84" s="26" t="s">
        <v>65</v>
      </c>
      <c r="N84" s="26">
        <v>2.045759087111342</v>
      </c>
    </row>
    <row r="85" spans="5:15">
      <c r="E85" s="26" t="s">
        <v>66</v>
      </c>
      <c r="F85" s="26">
        <v>88.97</v>
      </c>
      <c r="G85" s="26" t="s">
        <v>66</v>
      </c>
      <c r="H85" s="26">
        <v>41.839999999999996</v>
      </c>
      <c r="I85" s="26" t="s">
        <v>66</v>
      </c>
      <c r="J85" s="26">
        <v>3.73</v>
      </c>
      <c r="K85" s="26" t="s">
        <v>66</v>
      </c>
      <c r="L85" s="26">
        <v>8.42</v>
      </c>
      <c r="M85" s="26" t="s">
        <v>66</v>
      </c>
      <c r="N85" s="26">
        <v>136.77000000000001</v>
      </c>
    </row>
    <row r="86" spans="5:15">
      <c r="E86" s="26" t="s">
        <v>67</v>
      </c>
      <c r="F86" s="26">
        <v>0.17</v>
      </c>
      <c r="G86" s="26" t="s">
        <v>67</v>
      </c>
      <c r="H86" s="26">
        <v>0.14000000000000001</v>
      </c>
      <c r="I86" s="26" t="s">
        <v>67</v>
      </c>
      <c r="J86" s="26">
        <v>0.04</v>
      </c>
      <c r="K86" s="26" t="s">
        <v>67</v>
      </c>
      <c r="L86" s="26">
        <v>0.03</v>
      </c>
      <c r="M86" s="26" t="s">
        <v>67</v>
      </c>
      <c r="N86" s="26">
        <v>0.38</v>
      </c>
    </row>
    <row r="87" spans="5:15">
      <c r="E87" s="26" t="s">
        <v>68</v>
      </c>
      <c r="F87" s="26">
        <v>89.14</v>
      </c>
      <c r="G87" s="26" t="s">
        <v>68</v>
      </c>
      <c r="H87" s="26">
        <v>41.98</v>
      </c>
      <c r="I87" s="26" t="s">
        <v>68</v>
      </c>
      <c r="J87" s="26">
        <v>3.77</v>
      </c>
      <c r="K87" s="26" t="s">
        <v>68</v>
      </c>
      <c r="L87" s="26">
        <v>8.4499999999999993</v>
      </c>
      <c r="M87" s="26" t="s">
        <v>68</v>
      </c>
      <c r="N87" s="26">
        <v>137.15</v>
      </c>
    </row>
    <row r="88" spans="5:15">
      <c r="E88" s="26" t="s">
        <v>69</v>
      </c>
      <c r="F88" s="26">
        <v>182.14999999999998</v>
      </c>
      <c r="G88" s="26" t="s">
        <v>69</v>
      </c>
      <c r="H88" s="26">
        <v>113.5</v>
      </c>
      <c r="I88" s="26" t="s">
        <v>69</v>
      </c>
      <c r="J88" s="26">
        <v>23.14</v>
      </c>
      <c r="K88" s="26" t="s">
        <v>69</v>
      </c>
      <c r="L88" s="26">
        <v>22.59</v>
      </c>
      <c r="M88" s="26" t="s">
        <v>69</v>
      </c>
      <c r="N88" s="26">
        <v>341.38999999999993</v>
      </c>
    </row>
    <row r="89" spans="5:15">
      <c r="E89" s="26" t="s">
        <v>70</v>
      </c>
      <c r="F89" s="26">
        <v>12</v>
      </c>
      <c r="G89" s="26" t="s">
        <v>70</v>
      </c>
      <c r="H89" s="26">
        <v>12</v>
      </c>
      <c r="I89" s="26" t="s">
        <v>70</v>
      </c>
      <c r="J89" s="26">
        <v>12</v>
      </c>
      <c r="K89" s="26" t="s">
        <v>70</v>
      </c>
      <c r="L89" s="26">
        <v>12</v>
      </c>
      <c r="M89" s="26" t="s">
        <v>70</v>
      </c>
      <c r="N89" s="26">
        <v>12</v>
      </c>
    </row>
    <row r="90" spans="5:15">
      <c r="E90" s="27" t="s">
        <v>71</v>
      </c>
      <c r="F90" s="27">
        <v>16.586328140105156</v>
      </c>
      <c r="G90" s="27" t="s">
        <v>71</v>
      </c>
      <c r="H90" s="27">
        <v>8.3098948456002226</v>
      </c>
      <c r="I90" s="27" t="s">
        <v>71</v>
      </c>
      <c r="J90" s="27">
        <v>0.92643957166119395</v>
      </c>
      <c r="K90" s="27" t="s">
        <v>71</v>
      </c>
      <c r="L90" s="27">
        <v>1.5365634926093377</v>
      </c>
      <c r="M90" s="27" t="s">
        <v>71</v>
      </c>
      <c r="N90" s="27">
        <v>26.333168607716427</v>
      </c>
    </row>
    <row r="93" spans="5:15" ht="14.4" customHeight="1">
      <c r="E93" s="45" t="s">
        <v>72</v>
      </c>
      <c r="F93" s="45"/>
      <c r="G93" s="45"/>
      <c r="H93" s="45"/>
      <c r="I93" s="45"/>
      <c r="J93" s="45"/>
      <c r="K93" s="45"/>
      <c r="L93" s="45"/>
      <c r="M93" s="45"/>
      <c r="N93" s="45"/>
      <c r="O93" s="45"/>
    </row>
    <row r="94" spans="5:15" ht="14.4" customHeight="1"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</row>
    <row r="95" spans="5:15" ht="14.4" customHeight="1"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</row>
    <row r="100" spans="6:7">
      <c r="F100" s="24" t="s">
        <v>53</v>
      </c>
      <c r="G100" s="24" t="s">
        <v>54</v>
      </c>
    </row>
    <row r="101" spans="6:7">
      <c r="F101" s="24" t="s">
        <v>73</v>
      </c>
      <c r="G101" s="24">
        <v>0.38</v>
      </c>
    </row>
    <row r="102" spans="6:7">
      <c r="F102" s="24" t="s">
        <v>74</v>
      </c>
      <c r="G102" s="24">
        <v>1.1274999999999999</v>
      </c>
    </row>
    <row r="103" spans="6:7">
      <c r="F103" s="24" t="s">
        <v>75</v>
      </c>
      <c r="G103" s="24">
        <v>15.09</v>
      </c>
    </row>
    <row r="104" spans="6:7">
      <c r="F104" s="24" t="s">
        <v>76</v>
      </c>
      <c r="G104" s="24">
        <v>31.807500000000001</v>
      </c>
    </row>
    <row r="105" spans="6:7">
      <c r="F105" s="24" t="s">
        <v>77</v>
      </c>
      <c r="G105" s="24">
        <v>137.15</v>
      </c>
    </row>
    <row r="106" spans="6:7">
      <c r="F106" s="24" t="s">
        <v>78</v>
      </c>
      <c r="G106" s="24">
        <v>28.45</v>
      </c>
    </row>
    <row r="107" spans="6:7">
      <c r="F107" s="24" t="s">
        <v>79</v>
      </c>
      <c r="G107" s="24">
        <v>46.02</v>
      </c>
    </row>
    <row r="108" spans="6:7">
      <c r="F108" s="24" t="s">
        <v>80</v>
      </c>
      <c r="G108">
        <f>G102-(1.5 * G107)</f>
        <v>-67.902500000000003</v>
      </c>
    </row>
    <row r="109" spans="6:7">
      <c r="F109" s="24" t="s">
        <v>81</v>
      </c>
      <c r="G109">
        <f>G104+(1.5 * G107)</f>
        <v>100.83750000000001</v>
      </c>
    </row>
  </sheetData>
  <sortState ref="E56:F67">
    <sortCondition descending="1" ref="F39:F50"/>
  </sortState>
  <mergeCells count="5">
    <mergeCell ref="E93:O95"/>
    <mergeCell ref="F2:G2"/>
    <mergeCell ref="E45:P48"/>
    <mergeCell ref="E22:K24"/>
    <mergeCell ref="E69:N73"/>
  </mergeCells>
  <pageMargins left="0.7" right="0.7" top="0.75" bottom="0.75" header="0.3" footer="0.3"/>
  <pageSetup paperSize="9" orientation="portrait" horizontalDpi="300" verticalDpi="300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N18" sqref="N18"/>
    </sheetView>
  </sheetViews>
  <sheetFormatPr defaultRowHeight="14.4"/>
  <cols>
    <col min="1" max="1" width="11.6640625" bestFit="1" customWidth="1"/>
    <col min="2" max="2" width="19.5546875" bestFit="1" customWidth="1"/>
  </cols>
  <sheetData>
    <row r="2" spans="1:2">
      <c r="A2" s="22" t="s">
        <v>13</v>
      </c>
      <c r="B2" t="s">
        <v>82</v>
      </c>
    </row>
    <row r="3" spans="1:2">
      <c r="A3" t="s">
        <v>28</v>
      </c>
      <c r="B3">
        <v>180.36999999999998</v>
      </c>
    </row>
    <row r="4" spans="1:2">
      <c r="A4" t="s">
        <v>31</v>
      </c>
      <c r="B4">
        <v>161.02000000000001</v>
      </c>
    </row>
    <row r="5" spans="1:2">
      <c r="A5" t="s">
        <v>83</v>
      </c>
      <c r="B5">
        <v>341.39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3" workbookViewId="0">
      <selection activeCell="B28" sqref="B28:F28"/>
    </sheetView>
  </sheetViews>
  <sheetFormatPr defaultRowHeight="14.4"/>
  <cols>
    <col min="1" max="1" width="4.33203125" style="10" customWidth="1"/>
    <col min="2" max="6" width="25.109375" customWidth="1"/>
  </cols>
  <sheetData>
    <row r="1" spans="1:6">
      <c r="A1" s="8" t="s">
        <v>84</v>
      </c>
      <c r="B1" s="7"/>
      <c r="C1" s="7"/>
      <c r="D1" s="7"/>
      <c r="E1" s="7"/>
      <c r="F1" s="7"/>
    </row>
    <row r="2" spans="1:6" ht="14.4" customHeight="1">
      <c r="A2" s="9" t="s">
        <v>85</v>
      </c>
      <c r="B2" s="49" t="s">
        <v>86</v>
      </c>
      <c r="C2" s="49"/>
      <c r="D2" s="49"/>
      <c r="E2" s="49"/>
      <c r="F2" s="49"/>
    </row>
    <row r="3" spans="1:6" ht="14.4" customHeight="1">
      <c r="B3" s="50" t="s">
        <v>132</v>
      </c>
      <c r="C3" s="51"/>
      <c r="D3" s="51"/>
      <c r="E3" s="51"/>
      <c r="F3" s="52"/>
    </row>
    <row r="4" spans="1:6" ht="44.4" customHeight="1">
      <c r="A4" s="9" t="s">
        <v>87</v>
      </c>
      <c r="B4" s="49" t="s">
        <v>88</v>
      </c>
      <c r="C4" s="49"/>
      <c r="D4" s="49"/>
      <c r="E4" s="49"/>
      <c r="F4" s="49"/>
    </row>
    <row r="5" spans="1:6" ht="14.4" customHeight="1">
      <c r="B5" s="50" t="s">
        <v>133</v>
      </c>
      <c r="C5" s="51"/>
      <c r="D5" s="51"/>
      <c r="E5" s="51"/>
      <c r="F5" s="52"/>
    </row>
    <row r="6" spans="1:6" ht="14.4" customHeight="1">
      <c r="A6" s="9" t="s">
        <v>89</v>
      </c>
      <c r="B6" s="49" t="s">
        <v>90</v>
      </c>
      <c r="C6" s="49"/>
      <c r="D6" s="49"/>
      <c r="E6" s="49"/>
      <c r="F6" s="49"/>
    </row>
    <row r="7" spans="1:6" ht="44.4" customHeight="1">
      <c r="B7" s="50" t="s">
        <v>134</v>
      </c>
      <c r="C7" s="51"/>
      <c r="D7" s="51"/>
      <c r="E7" s="51"/>
      <c r="F7" s="52"/>
    </row>
    <row r="8" spans="1:6" ht="14.4" customHeight="1"/>
    <row r="9" spans="1:6" ht="15" customHeight="1">
      <c r="A9" s="9" t="s">
        <v>91</v>
      </c>
      <c r="B9" s="49" t="s">
        <v>92</v>
      </c>
      <c r="C9" s="49"/>
      <c r="D9" s="49"/>
      <c r="E9" s="49"/>
      <c r="F9" s="49"/>
    </row>
    <row r="10" spans="1:6" ht="14.4" customHeight="1">
      <c r="B10" s="50" t="s">
        <v>135</v>
      </c>
      <c r="C10" s="51"/>
      <c r="D10" s="51"/>
      <c r="E10" s="51"/>
      <c r="F10" s="52"/>
    </row>
    <row r="11" spans="1:6" ht="44.4" customHeight="1">
      <c r="A11" s="9" t="s">
        <v>93</v>
      </c>
      <c r="B11" s="49" t="s">
        <v>94</v>
      </c>
      <c r="C11" s="49"/>
      <c r="D11" s="49"/>
      <c r="E11" s="49"/>
      <c r="F11" s="49"/>
    </row>
    <row r="12" spans="1:6" ht="44.4" customHeight="1">
      <c r="B12" s="50" t="s">
        <v>136</v>
      </c>
      <c r="C12" s="51"/>
      <c r="D12" s="51"/>
      <c r="E12" s="51"/>
      <c r="F12" s="52"/>
    </row>
    <row r="13" spans="1:6" ht="14.4" customHeight="1">
      <c r="A13" s="9" t="s">
        <v>95</v>
      </c>
      <c r="B13" s="49" t="s">
        <v>96</v>
      </c>
      <c r="C13" s="49"/>
      <c r="D13" s="49"/>
      <c r="E13" s="49"/>
      <c r="F13" s="49"/>
    </row>
    <row r="14" spans="1:6" ht="14.4" customHeight="1">
      <c r="B14" s="50" t="s">
        <v>154</v>
      </c>
      <c r="C14" s="51"/>
      <c r="D14" s="51"/>
      <c r="E14" s="51"/>
      <c r="F14" s="52"/>
    </row>
    <row r="15" spans="1:6" ht="15" customHeight="1"/>
    <row r="16" spans="1:6" ht="44.4" customHeight="1">
      <c r="A16" s="9" t="s">
        <v>97</v>
      </c>
      <c r="B16" s="49" t="s">
        <v>98</v>
      </c>
      <c r="C16" s="49"/>
      <c r="D16" s="49"/>
      <c r="E16" s="49"/>
      <c r="F16" s="49"/>
    </row>
    <row r="17" spans="1:6" ht="14.4" customHeight="1">
      <c r="B17" s="50" t="s">
        <v>151</v>
      </c>
      <c r="C17" s="51"/>
      <c r="D17" s="51"/>
      <c r="E17" s="51"/>
      <c r="F17" s="52"/>
    </row>
    <row r="18" spans="1:6" ht="14.4" customHeight="1">
      <c r="A18" s="9" t="s">
        <v>99</v>
      </c>
      <c r="B18" s="49" t="s">
        <v>100</v>
      </c>
      <c r="C18" s="49"/>
      <c r="D18" s="49"/>
      <c r="E18" s="49"/>
      <c r="F18" s="49"/>
    </row>
    <row r="19" spans="1:6" ht="14.4" customHeight="1">
      <c r="B19" s="50" t="s">
        <v>152</v>
      </c>
      <c r="C19" s="51"/>
      <c r="D19" s="51"/>
      <c r="E19" s="51"/>
      <c r="F19" s="52"/>
    </row>
    <row r="20" spans="1:6" ht="14.4" customHeight="1">
      <c r="A20" s="9" t="s">
        <v>101</v>
      </c>
      <c r="B20" s="49" t="s">
        <v>102</v>
      </c>
      <c r="C20" s="49"/>
      <c r="D20" s="49"/>
      <c r="E20" s="49"/>
      <c r="F20" s="49"/>
    </row>
    <row r="21" spans="1:6" ht="14.4" customHeight="1">
      <c r="B21" s="50" t="s">
        <v>153</v>
      </c>
      <c r="C21" s="51"/>
      <c r="D21" s="51"/>
      <c r="E21" s="51"/>
      <c r="F21" s="52"/>
    </row>
    <row r="22" spans="1:6" ht="14.4" customHeight="1"/>
    <row r="23" spans="1:6" ht="14.4" customHeight="1">
      <c r="A23" s="9" t="s">
        <v>103</v>
      </c>
      <c r="B23" s="49" t="s">
        <v>104</v>
      </c>
      <c r="C23" s="49"/>
      <c r="D23" s="49"/>
      <c r="E23" s="49"/>
      <c r="F23" s="49"/>
    </row>
    <row r="24" spans="1:6" ht="14.4" customHeight="1">
      <c r="B24" s="50" t="s">
        <v>170</v>
      </c>
      <c r="C24" s="51"/>
      <c r="D24" s="51"/>
      <c r="E24" s="51"/>
      <c r="F24" s="52"/>
    </row>
    <row r="25" spans="1:6" ht="14.4" customHeight="1">
      <c r="A25" s="9" t="s">
        <v>105</v>
      </c>
      <c r="B25" s="49" t="s">
        <v>100</v>
      </c>
      <c r="C25" s="49"/>
      <c r="D25" s="49"/>
      <c r="E25" s="49"/>
      <c r="F25" s="49"/>
    </row>
    <row r="26" spans="1:6" ht="14.4" customHeight="1">
      <c r="B26" s="50" t="s">
        <v>169</v>
      </c>
      <c r="C26" s="51"/>
      <c r="D26" s="51"/>
      <c r="E26" s="51"/>
      <c r="F26" s="52"/>
    </row>
    <row r="27" spans="1:6" ht="14.4" customHeight="1">
      <c r="A27" s="9" t="s">
        <v>106</v>
      </c>
      <c r="B27" s="49" t="s">
        <v>107</v>
      </c>
      <c r="C27" s="49"/>
      <c r="D27" s="49"/>
      <c r="E27" s="49"/>
      <c r="F27" s="49"/>
    </row>
    <row r="28" spans="1:6" ht="14.4" customHeight="1">
      <c r="B28" s="50"/>
      <c r="C28" s="51"/>
      <c r="D28" s="51"/>
      <c r="E28" s="51"/>
      <c r="F28" s="52"/>
    </row>
    <row r="29" spans="1:6" ht="14.4" customHeight="1"/>
    <row r="30" spans="1:6" ht="14.4" customHeight="1">
      <c r="A30" s="9" t="s">
        <v>108</v>
      </c>
      <c r="B30" s="49" t="s">
        <v>100</v>
      </c>
      <c r="C30" s="49"/>
      <c r="D30" s="49"/>
      <c r="E30" s="49"/>
      <c r="F30" s="49"/>
    </row>
    <row r="31" spans="1:6" ht="14.4" customHeight="1">
      <c r="B31" s="50"/>
      <c r="C31" s="51"/>
      <c r="D31" s="51"/>
      <c r="E31" s="51"/>
      <c r="F31" s="52"/>
    </row>
    <row r="32" spans="1:6" ht="14.4" customHeight="1">
      <c r="A32" s="9" t="s">
        <v>109</v>
      </c>
      <c r="B32" s="49" t="s">
        <v>110</v>
      </c>
      <c r="C32" s="49"/>
      <c r="D32" s="49"/>
      <c r="E32" s="49"/>
      <c r="F32" s="49"/>
    </row>
    <row r="33" spans="2:6" ht="14.4" customHeight="1">
      <c r="B33" s="50"/>
      <c r="C33" s="51"/>
      <c r="D33" s="51"/>
      <c r="E33" s="51"/>
      <c r="F33" s="52"/>
    </row>
  </sheetData>
  <mergeCells count="28">
    <mergeCell ref="B28:F28"/>
    <mergeCell ref="B30:F30"/>
    <mergeCell ref="B31:F31"/>
    <mergeCell ref="B32:F32"/>
    <mergeCell ref="B33:F33"/>
    <mergeCell ref="B23:F23"/>
    <mergeCell ref="B24:F24"/>
    <mergeCell ref="B25:F25"/>
    <mergeCell ref="B26:F26"/>
    <mergeCell ref="B27:F27"/>
    <mergeCell ref="B17:F17"/>
    <mergeCell ref="B18:F18"/>
    <mergeCell ref="B19:F19"/>
    <mergeCell ref="B20:F20"/>
    <mergeCell ref="B21:F21"/>
    <mergeCell ref="B2:F2"/>
    <mergeCell ref="B5:F5"/>
    <mergeCell ref="B10:F10"/>
    <mergeCell ref="B11:F11"/>
    <mergeCell ref="B12:F12"/>
    <mergeCell ref="B16:F16"/>
    <mergeCell ref="B3:F3"/>
    <mergeCell ref="B6:F6"/>
    <mergeCell ref="B9:F9"/>
    <mergeCell ref="B4:F4"/>
    <mergeCell ref="B7:F7"/>
    <mergeCell ref="B13:F13"/>
    <mergeCell ref="B14:F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C4" sqref="C4"/>
    </sheetView>
  </sheetViews>
  <sheetFormatPr defaultRowHeight="14.4"/>
  <cols>
    <col min="1" max="1" width="18.109375" bestFit="1" customWidth="1"/>
    <col min="2" max="3" width="8.44140625" bestFit="1" customWidth="1"/>
    <col min="4" max="5" width="10.77734375" bestFit="1" customWidth="1"/>
    <col min="10" max="10" width="13.88671875" bestFit="1" customWidth="1"/>
    <col min="11" max="11" width="15.5546875" bestFit="1" customWidth="1"/>
    <col min="12" max="12" width="5" bestFit="1" customWidth="1"/>
    <col min="13" max="13" width="10.77734375" bestFit="1" customWidth="1"/>
  </cols>
  <sheetData>
    <row r="1" spans="1:15">
      <c r="A1" s="22" t="s">
        <v>123</v>
      </c>
      <c r="F1" t="s">
        <v>11</v>
      </c>
      <c r="G1" t="s">
        <v>124</v>
      </c>
      <c r="H1" t="s">
        <v>12</v>
      </c>
      <c r="I1" t="s">
        <v>13</v>
      </c>
      <c r="J1" t="s">
        <v>125</v>
      </c>
      <c r="L1" s="22" t="s">
        <v>118</v>
      </c>
      <c r="M1" s="22" t="s">
        <v>117</v>
      </c>
    </row>
    <row r="2" spans="1:15">
      <c r="B2" t="s">
        <v>120</v>
      </c>
      <c r="C2" t="s">
        <v>119</v>
      </c>
      <c r="D2" t="s">
        <v>83</v>
      </c>
      <c r="F2" t="s">
        <v>27</v>
      </c>
      <c r="G2" t="str">
        <f>IF($D2="E10+","Positive","Negative")</f>
        <v>Negative</v>
      </c>
      <c r="H2" s="59">
        <v>2006</v>
      </c>
      <c r="I2" s="58" t="s">
        <v>28</v>
      </c>
      <c r="J2" s="58" t="str">
        <f>IF($G2="Sports","Positive","Negative")</f>
        <v>Negative</v>
      </c>
      <c r="L2" s="22" t="s">
        <v>116</v>
      </c>
      <c r="M2" t="s">
        <v>30</v>
      </c>
      <c r="N2" t="s">
        <v>27</v>
      </c>
      <c r="O2" t="s">
        <v>83</v>
      </c>
    </row>
    <row r="3" spans="1:15">
      <c r="A3" t="s">
        <v>28</v>
      </c>
      <c r="B3" s="54">
        <v>4</v>
      </c>
      <c r="C3" s="54">
        <v>2</v>
      </c>
      <c r="D3" s="54">
        <v>6</v>
      </c>
      <c r="F3" t="s">
        <v>30</v>
      </c>
      <c r="G3" t="str">
        <f>IF($D3="E10+","Positive","Negative")</f>
        <v>Negative</v>
      </c>
      <c r="H3">
        <v>2007</v>
      </c>
      <c r="I3" t="s">
        <v>31</v>
      </c>
      <c r="J3" s="58" t="str">
        <f>IF($G3="Sports","Positive","Negative")</f>
        <v>Negative</v>
      </c>
      <c r="L3" s="10" t="s">
        <v>28</v>
      </c>
      <c r="M3" s="54">
        <v>4</v>
      </c>
      <c r="N3" s="54">
        <v>2</v>
      </c>
      <c r="O3" s="54">
        <v>6</v>
      </c>
    </row>
    <row r="4" spans="1:15">
      <c r="A4" t="s">
        <v>31</v>
      </c>
      <c r="B4" s="54">
        <v>5</v>
      </c>
      <c r="C4" s="54">
        <v>1</v>
      </c>
      <c r="D4" s="54">
        <v>6</v>
      </c>
      <c r="F4" t="s">
        <v>30</v>
      </c>
      <c r="G4" t="str">
        <f>IF($D4="E10+","Positive","Negative")</f>
        <v>Negative</v>
      </c>
      <c r="H4">
        <v>2009</v>
      </c>
      <c r="I4" t="s">
        <v>31</v>
      </c>
      <c r="J4" s="58" t="str">
        <f>IF($G4="Sports","Positive","Negative")</f>
        <v>Negative</v>
      </c>
      <c r="L4" s="10" t="s">
        <v>31</v>
      </c>
      <c r="M4" s="54">
        <v>5</v>
      </c>
      <c r="N4" s="54">
        <v>1</v>
      </c>
      <c r="O4" s="54">
        <v>6</v>
      </c>
    </row>
    <row r="5" spans="1:15">
      <c r="A5" t="s">
        <v>83</v>
      </c>
      <c r="B5" s="54">
        <v>9</v>
      </c>
      <c r="C5" s="54">
        <v>3</v>
      </c>
      <c r="D5" s="54">
        <v>12</v>
      </c>
      <c r="F5" t="s">
        <v>30</v>
      </c>
      <c r="G5" t="str">
        <f>IF($D5="E10+","Positive","Negative")</f>
        <v>Negative</v>
      </c>
      <c r="H5">
        <v>2013</v>
      </c>
      <c r="I5" t="s">
        <v>31</v>
      </c>
      <c r="J5" s="58" t="str">
        <f>IF($G5="Sports","Positive","Negative")</f>
        <v>Negative</v>
      </c>
      <c r="L5" s="10" t="s">
        <v>83</v>
      </c>
      <c r="M5" s="54">
        <v>9</v>
      </c>
      <c r="N5" s="54">
        <v>3</v>
      </c>
      <c r="O5" s="54">
        <v>12</v>
      </c>
    </row>
    <row r="6" spans="1:15">
      <c r="F6" t="s">
        <v>30</v>
      </c>
      <c r="G6" t="str">
        <f>IF($D8="E10+","Positive","Negative")</f>
        <v>Negative</v>
      </c>
      <c r="H6">
        <v>2008</v>
      </c>
      <c r="I6" t="s">
        <v>28</v>
      </c>
      <c r="J6" s="58" t="str">
        <f>IF($G6="Sports","Positive","Negative")</f>
        <v>Negative</v>
      </c>
    </row>
    <row r="7" spans="1:15">
      <c r="F7" t="s">
        <v>30</v>
      </c>
      <c r="G7" t="str">
        <f>IF($D9="E10+","Positive","Negative")</f>
        <v>Negative</v>
      </c>
      <c r="H7">
        <v>2010</v>
      </c>
      <c r="I7" t="s">
        <v>28</v>
      </c>
      <c r="J7" s="58" t="str">
        <f>IF($G7="Sports","Positive","Negative")</f>
        <v>Negative</v>
      </c>
    </row>
    <row r="8" spans="1:15">
      <c r="F8" t="s">
        <v>30</v>
      </c>
      <c r="G8" t="str">
        <f>IF($D10="E10+","Positive","Negative")</f>
        <v>Negative</v>
      </c>
      <c r="H8">
        <v>2013</v>
      </c>
      <c r="I8" t="s">
        <v>28</v>
      </c>
      <c r="J8" s="58" t="str">
        <f>IF($G8="Sports","Positive","Negative")</f>
        <v>Negative</v>
      </c>
    </row>
    <row r="9" spans="1:15">
      <c r="F9" t="s">
        <v>30</v>
      </c>
      <c r="G9" t="str">
        <f>IF($D11="E10+","Positive","Negative")</f>
        <v>Negative</v>
      </c>
      <c r="H9">
        <v>2006</v>
      </c>
      <c r="I9" t="s">
        <v>28</v>
      </c>
      <c r="J9" s="58" t="str">
        <f>IF($G9="Sports","Positive","Negative")</f>
        <v>Negative</v>
      </c>
    </row>
    <row r="10" spans="1:15">
      <c r="F10" t="s">
        <v>27</v>
      </c>
      <c r="G10" t="str">
        <f>IF($D12="E10+","Positive","Negative")</f>
        <v>Negative</v>
      </c>
      <c r="H10">
        <v>2011</v>
      </c>
      <c r="I10" t="s">
        <v>28</v>
      </c>
      <c r="J10" s="58" t="str">
        <f>IF($G10="Sports","Positive","Negative")</f>
        <v>Negative</v>
      </c>
    </row>
    <row r="11" spans="1:15">
      <c r="F11" t="s">
        <v>30</v>
      </c>
      <c r="G11" t="str">
        <f>IF($D13="E10+","Positive","Negative")</f>
        <v>Negative</v>
      </c>
      <c r="H11">
        <v>2006</v>
      </c>
      <c r="I11" t="s">
        <v>31</v>
      </c>
      <c r="J11" s="58" t="str">
        <f>IF($G11="Sports","Positive","Negative")</f>
        <v>Negative</v>
      </c>
    </row>
    <row r="12" spans="1:15">
      <c r="F12" t="s">
        <v>27</v>
      </c>
      <c r="G12" t="str">
        <f>IF($D14="E10+","Positive","Negative")</f>
        <v>Negative</v>
      </c>
      <c r="H12">
        <v>2014</v>
      </c>
      <c r="I12" t="s">
        <v>31</v>
      </c>
      <c r="J12" s="58" t="str">
        <f>IF($G12="Sports","Positive","Negative")</f>
        <v>Negative</v>
      </c>
    </row>
    <row r="13" spans="1:15">
      <c r="F13" t="s">
        <v>30</v>
      </c>
      <c r="G13" t="str">
        <f>IF($D15="E10+","Positive","Negative")</f>
        <v>Negative</v>
      </c>
      <c r="H13">
        <v>2009</v>
      </c>
      <c r="I13" t="s">
        <v>31</v>
      </c>
      <c r="J13" s="58" t="str">
        <f>IF($G13="Sports","Positive","Negative")</f>
        <v>Negative</v>
      </c>
    </row>
    <row r="18" spans="1:4">
      <c r="A18" s="57" t="s">
        <v>116</v>
      </c>
      <c r="B18" s="57" t="s">
        <v>30</v>
      </c>
      <c r="C18" s="57" t="s">
        <v>27</v>
      </c>
      <c r="D18" s="57" t="s">
        <v>83</v>
      </c>
    </row>
    <row r="19" spans="1:4">
      <c r="A19" s="10" t="s">
        <v>28</v>
      </c>
      <c r="B19" s="54">
        <f>($O3*M$5)/$O$5</f>
        <v>4.5</v>
      </c>
      <c r="C19" s="54">
        <f>($O3*N$5)/$O$5</f>
        <v>1.5</v>
      </c>
      <c r="D19" s="54">
        <f>SUM(B19:C19)</f>
        <v>6</v>
      </c>
    </row>
    <row r="20" spans="1:4">
      <c r="A20" s="10" t="s">
        <v>31</v>
      </c>
      <c r="B20" s="54">
        <f>($D3*B$5)/$D$5</f>
        <v>4.5</v>
      </c>
      <c r="C20" s="54">
        <f>($O4*N$5)/$O$5</f>
        <v>1.5</v>
      </c>
      <c r="D20" s="54">
        <f>SUM(B20:C20)</f>
        <v>6</v>
      </c>
    </row>
    <row r="21" spans="1:4">
      <c r="A21" s="56" t="s">
        <v>83</v>
      </c>
      <c r="B21" s="55">
        <f>SUM(B19:B20)</f>
        <v>9</v>
      </c>
      <c r="C21" s="55">
        <f>SUM(C19:C20)</f>
        <v>3</v>
      </c>
      <c r="D21" s="55">
        <f>SUM(D19:D20)</f>
        <v>12</v>
      </c>
    </row>
    <row r="23" spans="1:4">
      <c r="A23" t="s">
        <v>115</v>
      </c>
      <c r="B23">
        <f>( C19*B20)/(B19*C20)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4"/>
  <cols>
    <col min="2" max="2" width="11.88671875" customWidth="1"/>
    <col min="3" max="3" width="16.6640625" customWidth="1"/>
    <col min="5" max="5" width="12" customWidth="1"/>
  </cols>
  <sheetData>
    <row r="1" spans="1:5">
      <c r="A1" t="s">
        <v>11</v>
      </c>
      <c r="B1" t="s">
        <v>122</v>
      </c>
      <c r="C1" t="s">
        <v>12</v>
      </c>
      <c r="D1" t="s">
        <v>13</v>
      </c>
      <c r="E1" t="s">
        <v>121</v>
      </c>
    </row>
    <row r="2" spans="1:5">
      <c r="A2" t="s">
        <v>27</v>
      </c>
      <c r="B2" t="s">
        <v>119</v>
      </c>
      <c r="C2">
        <v>2014</v>
      </c>
      <c r="D2" t="s">
        <v>31</v>
      </c>
      <c r="E2" t="s">
        <v>119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4.4"/>
  <cols>
    <col min="2" max="2" width="11.88671875" customWidth="1"/>
    <col min="3" max="3" width="16.6640625" customWidth="1"/>
    <col min="5" max="5" width="12" customWidth="1"/>
  </cols>
  <sheetData>
    <row r="1" spans="1:5">
      <c r="A1" t="s">
        <v>11</v>
      </c>
      <c r="B1" t="s">
        <v>122</v>
      </c>
      <c r="C1" t="s">
        <v>12</v>
      </c>
      <c r="D1" t="s">
        <v>13</v>
      </c>
      <c r="E1" t="s">
        <v>121</v>
      </c>
    </row>
    <row r="2" spans="1:5">
      <c r="A2" t="s">
        <v>27</v>
      </c>
      <c r="B2" t="s">
        <v>120</v>
      </c>
      <c r="C2">
        <v>2006</v>
      </c>
      <c r="D2" t="s">
        <v>28</v>
      </c>
      <c r="E2" t="s">
        <v>120</v>
      </c>
    </row>
    <row r="3" spans="1:5">
      <c r="A3" t="s">
        <v>27</v>
      </c>
      <c r="B3" t="s">
        <v>120</v>
      </c>
      <c r="C3">
        <v>2011</v>
      </c>
      <c r="D3" t="s">
        <v>28</v>
      </c>
      <c r="E3" t="s">
        <v>120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"/>
    </sheetView>
  </sheetViews>
  <sheetFormatPr defaultRowHeight="14.4"/>
  <cols>
    <col min="2" max="2" width="11.88671875" customWidth="1"/>
    <col min="3" max="3" width="16.6640625" customWidth="1"/>
    <col min="5" max="5" width="12" customWidth="1"/>
  </cols>
  <sheetData>
    <row r="1" spans="1:5">
      <c r="A1" t="s">
        <v>11</v>
      </c>
      <c r="B1" t="s">
        <v>122</v>
      </c>
      <c r="C1" t="s">
        <v>12</v>
      </c>
      <c r="D1" t="s">
        <v>13</v>
      </c>
      <c r="E1" t="s">
        <v>121</v>
      </c>
    </row>
    <row r="2" spans="1:5">
      <c r="A2" t="s">
        <v>30</v>
      </c>
      <c r="B2" t="s">
        <v>120</v>
      </c>
      <c r="C2">
        <v>2006</v>
      </c>
      <c r="D2" t="s">
        <v>28</v>
      </c>
      <c r="E2" t="s">
        <v>120</v>
      </c>
    </row>
    <row r="3" spans="1:5">
      <c r="A3" t="s">
        <v>30</v>
      </c>
      <c r="B3" t="s">
        <v>120</v>
      </c>
      <c r="C3">
        <v>2013</v>
      </c>
      <c r="D3" t="s">
        <v>28</v>
      </c>
      <c r="E3" t="s">
        <v>120</v>
      </c>
    </row>
    <row r="4" spans="1:5">
      <c r="A4" t="s">
        <v>30</v>
      </c>
      <c r="B4" t="s">
        <v>120</v>
      </c>
      <c r="C4">
        <v>2010</v>
      </c>
      <c r="D4" t="s">
        <v>28</v>
      </c>
      <c r="E4" t="s">
        <v>120</v>
      </c>
    </row>
    <row r="5" spans="1:5">
      <c r="A5" t="s">
        <v>30</v>
      </c>
      <c r="B5" t="s">
        <v>120</v>
      </c>
      <c r="C5">
        <v>2008</v>
      </c>
      <c r="D5" t="s">
        <v>28</v>
      </c>
      <c r="E5" t="s">
        <v>120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2"/>
  <sheetViews>
    <sheetView workbookViewId="0">
      <selection activeCell="S10" sqref="S10"/>
    </sheetView>
  </sheetViews>
  <sheetFormatPr defaultRowHeight="14.4"/>
  <cols>
    <col min="1" max="1" width="21" customWidth="1"/>
    <col min="2" max="2" width="15.5546875" customWidth="1"/>
    <col min="3" max="3" width="4.88671875" customWidth="1"/>
    <col min="4" max="4" width="10.77734375" bestFit="1" customWidth="1"/>
    <col min="9" max="9" width="5.21875" bestFit="1" customWidth="1"/>
    <col min="10" max="10" width="4.88671875" bestFit="1" customWidth="1"/>
    <col min="11" max="11" width="10.77734375" bestFit="1" customWidth="1"/>
    <col min="17" max="17" width="10.77734375" bestFit="1" customWidth="1"/>
    <col min="18" max="18" width="9.88671875" bestFit="1" customWidth="1"/>
  </cols>
  <sheetData>
    <row r="2" spans="1:19">
      <c r="H2" t="s">
        <v>128</v>
      </c>
      <c r="N2" t="s">
        <v>129</v>
      </c>
    </row>
    <row r="3" spans="1:19">
      <c r="A3" s="22" t="s">
        <v>126</v>
      </c>
      <c r="B3" s="22" t="s">
        <v>117</v>
      </c>
      <c r="H3" s="57" t="s">
        <v>116</v>
      </c>
      <c r="I3" s="57" t="s">
        <v>37</v>
      </c>
      <c r="J3" s="57" t="s">
        <v>32</v>
      </c>
      <c r="K3" s="57" t="s">
        <v>83</v>
      </c>
      <c r="N3" s="57" t="s">
        <v>116</v>
      </c>
      <c r="O3" s="57" t="s">
        <v>37</v>
      </c>
      <c r="P3" s="57" t="s">
        <v>32</v>
      </c>
      <c r="Q3" s="57" t="s">
        <v>83</v>
      </c>
    </row>
    <row r="4" spans="1:19">
      <c r="A4" s="22" t="s">
        <v>116</v>
      </c>
      <c r="B4" t="s">
        <v>37</v>
      </c>
      <c r="C4" t="s">
        <v>32</v>
      </c>
      <c r="D4" t="s">
        <v>83</v>
      </c>
      <c r="H4" s="10" t="s">
        <v>28</v>
      </c>
      <c r="I4" s="54">
        <f>($D$10*B$12)/$D$12</f>
        <v>1</v>
      </c>
      <c r="J4" s="54">
        <f>($D$10*C$12)/$D$12</f>
        <v>5</v>
      </c>
      <c r="K4" s="54">
        <f>SUM(H4:J4)</f>
        <v>6</v>
      </c>
      <c r="N4" s="10" t="s">
        <v>28</v>
      </c>
      <c r="O4" s="54">
        <f>(B10-I4)^2/I4</f>
        <v>0</v>
      </c>
      <c r="P4" s="54">
        <f>(C10-J4)^2/J4</f>
        <v>0</v>
      </c>
      <c r="Q4" s="54">
        <f>SUM(N4:P4)</f>
        <v>0</v>
      </c>
    </row>
    <row r="5" spans="1:19">
      <c r="A5" s="10" t="s">
        <v>28</v>
      </c>
      <c r="B5" s="54">
        <v>1</v>
      </c>
      <c r="C5" s="54">
        <v>5</v>
      </c>
      <c r="D5" s="54">
        <v>6</v>
      </c>
      <c r="H5" s="10" t="s">
        <v>31</v>
      </c>
      <c r="I5" s="54">
        <f>($D$11*B$12)/$D$12</f>
        <v>1</v>
      </c>
      <c r="J5" s="54">
        <f>($D$11*C$12)/$D$12</f>
        <v>5</v>
      </c>
      <c r="K5" s="54">
        <f>SUM(H5:J5)</f>
        <v>6</v>
      </c>
      <c r="N5" s="10" t="s">
        <v>31</v>
      </c>
      <c r="O5" s="54">
        <f>(B11-I5)^2/I5</f>
        <v>0</v>
      </c>
      <c r="P5" s="54">
        <f>(C11-J5)^2/J5</f>
        <v>0</v>
      </c>
      <c r="Q5" s="54">
        <f>SUM(N5:P5)</f>
        <v>0</v>
      </c>
    </row>
    <row r="6" spans="1:19">
      <c r="A6" s="10" t="s">
        <v>31</v>
      </c>
      <c r="B6" s="54">
        <v>1</v>
      </c>
      <c r="C6" s="54">
        <v>5</v>
      </c>
      <c r="D6" s="54">
        <v>6</v>
      </c>
      <c r="H6" s="56" t="s">
        <v>83</v>
      </c>
      <c r="I6" s="55">
        <f>SUM(I4:I5)</f>
        <v>2</v>
      </c>
      <c r="J6" s="55">
        <f>SUM(J4:J5)</f>
        <v>10</v>
      </c>
      <c r="K6" s="55">
        <f>SUM(K4:K5)</f>
        <v>12</v>
      </c>
      <c r="N6" s="56" t="s">
        <v>83</v>
      </c>
      <c r="O6" s="55">
        <f>SUM(O4:O5)</f>
        <v>0</v>
      </c>
      <c r="P6" s="55">
        <f>SUM(P4:P5)</f>
        <v>0</v>
      </c>
      <c r="Q6" s="55">
        <f>SUM(Q4:Q5)</f>
        <v>0</v>
      </c>
    </row>
    <row r="7" spans="1:19">
      <c r="A7" s="10" t="s">
        <v>83</v>
      </c>
      <c r="B7" s="54">
        <v>2</v>
      </c>
      <c r="C7" s="54">
        <v>10</v>
      </c>
      <c r="D7" s="54">
        <v>12</v>
      </c>
    </row>
    <row r="8" spans="1:19">
      <c r="A8" s="10" t="s">
        <v>127</v>
      </c>
      <c r="R8" t="s">
        <v>130</v>
      </c>
      <c r="S8">
        <f>_xlfn.CHISQ.TEST(I4:J5,B10:C11)</f>
        <v>1</v>
      </c>
    </row>
    <row r="9" spans="1:19">
      <c r="A9" s="57" t="s">
        <v>116</v>
      </c>
      <c r="B9" s="57" t="s">
        <v>37</v>
      </c>
      <c r="C9" s="57" t="s">
        <v>32</v>
      </c>
      <c r="D9" s="57" t="s">
        <v>83</v>
      </c>
      <c r="R9" t="s">
        <v>131</v>
      </c>
      <c r="S9">
        <f>SUM(O4:P5)</f>
        <v>0</v>
      </c>
    </row>
    <row r="10" spans="1:19">
      <c r="A10" s="10" t="s">
        <v>28</v>
      </c>
      <c r="B10" s="54">
        <v>1</v>
      </c>
      <c r="C10" s="54">
        <v>5</v>
      </c>
      <c r="D10" s="54">
        <v>6</v>
      </c>
    </row>
    <row r="11" spans="1:19">
      <c r="A11" s="10" t="s">
        <v>31</v>
      </c>
      <c r="B11" s="54">
        <v>1</v>
      </c>
      <c r="C11" s="54">
        <v>5</v>
      </c>
      <c r="D11" s="54">
        <v>6</v>
      </c>
    </row>
    <row r="12" spans="1:19">
      <c r="A12" s="56" t="s">
        <v>83</v>
      </c>
      <c r="B12" s="55">
        <v>2</v>
      </c>
      <c r="C12" s="55">
        <v>10</v>
      </c>
      <c r="D12" s="5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H20" sqref="H20"/>
    </sheetView>
  </sheetViews>
  <sheetFormatPr defaultRowHeight="14.4"/>
  <cols>
    <col min="1" max="1" width="17.5546875" bestFit="1" customWidth="1"/>
    <col min="2" max="2" width="15.5546875" bestFit="1" customWidth="1"/>
    <col min="3" max="3" width="6.33203125" customWidth="1"/>
    <col min="4" max="4" width="10.77734375" bestFit="1" customWidth="1"/>
    <col min="6" max="6" width="38.88671875" bestFit="1" customWidth="1"/>
    <col min="7" max="7" width="12.6640625" bestFit="1" customWidth="1"/>
    <col min="8" max="8" width="12" bestFit="1" customWidth="1"/>
  </cols>
  <sheetData>
    <row r="3" spans="1:8">
      <c r="A3" s="22" t="s">
        <v>137</v>
      </c>
      <c r="B3" s="22" t="s">
        <v>117</v>
      </c>
      <c r="F3" t="s">
        <v>138</v>
      </c>
    </row>
    <row r="4" spans="1:8" ht="15" thickBot="1">
      <c r="A4" s="22" t="s">
        <v>116</v>
      </c>
      <c r="B4" t="s">
        <v>28</v>
      </c>
      <c r="C4" t="s">
        <v>31</v>
      </c>
      <c r="D4" t="s">
        <v>83</v>
      </c>
    </row>
    <row r="5" spans="1:8">
      <c r="A5" s="10" t="s">
        <v>29</v>
      </c>
      <c r="B5" s="54"/>
      <c r="C5" s="54">
        <v>146</v>
      </c>
      <c r="D5" s="54">
        <v>146</v>
      </c>
      <c r="F5" s="65"/>
      <c r="G5" s="65" t="s">
        <v>139</v>
      </c>
      <c r="H5" s="65" t="s">
        <v>140</v>
      </c>
    </row>
    <row r="6" spans="1:8">
      <c r="A6" s="10" t="s">
        <v>33</v>
      </c>
      <c r="B6" s="54"/>
      <c r="C6" s="54">
        <v>52</v>
      </c>
      <c r="D6" s="54">
        <v>52</v>
      </c>
      <c r="F6" s="63" t="s">
        <v>58</v>
      </c>
      <c r="G6" s="63">
        <v>168.57142857142858</v>
      </c>
      <c r="H6" s="63">
        <v>254.28571428571428</v>
      </c>
    </row>
    <row r="7" spans="1:8">
      <c r="A7" s="10" t="s">
        <v>35</v>
      </c>
      <c r="B7" s="54"/>
      <c r="C7" s="54">
        <v>72</v>
      </c>
      <c r="D7" s="54">
        <v>72</v>
      </c>
      <c r="F7" s="63" t="s">
        <v>141</v>
      </c>
      <c r="G7" s="63">
        <v>36713.285714285717</v>
      </c>
      <c r="H7" s="63">
        <v>86743.238095238092</v>
      </c>
    </row>
    <row r="8" spans="1:8">
      <c r="A8" s="10" t="s">
        <v>38</v>
      </c>
      <c r="B8" s="54">
        <v>116</v>
      </c>
      <c r="C8" s="54"/>
      <c r="D8" s="54">
        <v>116</v>
      </c>
      <c r="F8" s="63" t="s">
        <v>142</v>
      </c>
      <c r="G8" s="63">
        <v>7</v>
      </c>
      <c r="H8" s="63">
        <v>7</v>
      </c>
    </row>
    <row r="9" spans="1:8">
      <c r="A9" s="10" t="s">
        <v>39</v>
      </c>
      <c r="B9" s="54">
        <v>54</v>
      </c>
      <c r="C9" s="54"/>
      <c r="D9" s="54">
        <v>54</v>
      </c>
      <c r="F9" s="63" t="s">
        <v>143</v>
      </c>
      <c r="G9" s="63">
        <v>61728.261904761901</v>
      </c>
      <c r="H9" s="63"/>
    </row>
    <row r="10" spans="1:8">
      <c r="A10" s="10" t="s">
        <v>41</v>
      </c>
      <c r="B10" s="54">
        <v>135</v>
      </c>
      <c r="C10" s="54"/>
      <c r="D10" s="54">
        <v>135</v>
      </c>
      <c r="F10" s="63" t="s">
        <v>144</v>
      </c>
      <c r="G10" s="63">
        <v>0</v>
      </c>
      <c r="H10" s="63"/>
    </row>
    <row r="11" spans="1:8">
      <c r="A11" s="10" t="s">
        <v>43</v>
      </c>
      <c r="B11" s="54">
        <v>129</v>
      </c>
      <c r="C11" s="54"/>
      <c r="D11" s="54">
        <v>129</v>
      </c>
      <c r="F11" s="63" t="s">
        <v>145</v>
      </c>
      <c r="G11" s="63">
        <v>12</v>
      </c>
      <c r="H11" s="63"/>
    </row>
    <row r="12" spans="1:8">
      <c r="A12" s="10" t="s">
        <v>44</v>
      </c>
      <c r="B12" s="54">
        <v>16</v>
      </c>
      <c r="C12" s="54"/>
      <c r="D12" s="54">
        <v>16</v>
      </c>
      <c r="F12" s="63" t="s">
        <v>146</v>
      </c>
      <c r="G12" s="63">
        <v>-0.64542414517699009</v>
      </c>
      <c r="H12" s="63"/>
    </row>
    <row r="13" spans="1:8">
      <c r="A13" s="10" t="s">
        <v>24</v>
      </c>
      <c r="B13" s="54">
        <v>140</v>
      </c>
      <c r="C13" s="54"/>
      <c r="D13" s="54">
        <v>140</v>
      </c>
      <c r="F13" s="63" t="s">
        <v>147</v>
      </c>
      <c r="G13" s="63">
        <v>0.26539995964655327</v>
      </c>
      <c r="H13" s="63"/>
    </row>
    <row r="14" spans="1:8">
      <c r="A14" s="10" t="s">
        <v>45</v>
      </c>
      <c r="B14" s="54"/>
      <c r="C14" s="54">
        <v>322</v>
      </c>
      <c r="D14" s="54">
        <v>322</v>
      </c>
      <c r="F14" s="63" t="s">
        <v>148</v>
      </c>
      <c r="G14" s="63">
        <v>1.7822875556493194</v>
      </c>
      <c r="H14" s="63"/>
    </row>
    <row r="15" spans="1:8">
      <c r="A15" s="10" t="s">
        <v>46</v>
      </c>
      <c r="B15" s="54"/>
      <c r="C15" s="54">
        <v>106</v>
      </c>
      <c r="D15" s="54">
        <v>106</v>
      </c>
      <c r="F15" s="63" t="s">
        <v>149</v>
      </c>
      <c r="G15" s="63">
        <v>0.53079991929310699</v>
      </c>
      <c r="H15" s="63"/>
    </row>
    <row r="16" spans="1:8" ht="15" thickBot="1">
      <c r="A16" s="10" t="s">
        <v>47</v>
      </c>
      <c r="B16" s="54"/>
      <c r="C16" s="54">
        <v>192</v>
      </c>
      <c r="D16" s="54">
        <v>192</v>
      </c>
      <c r="F16" s="64" t="s">
        <v>150</v>
      </c>
      <c r="G16" s="64">
        <v>2.1788128296672284</v>
      </c>
      <c r="H16" s="64"/>
    </row>
    <row r="17" spans="1:4">
      <c r="A17" s="10" t="s">
        <v>83</v>
      </c>
      <c r="B17" s="54">
        <v>590</v>
      </c>
      <c r="C17" s="54">
        <v>890</v>
      </c>
      <c r="D17" s="54">
        <v>1480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8"/>
  <sheetViews>
    <sheetView workbookViewId="0">
      <selection activeCell="R15" sqref="R15"/>
    </sheetView>
  </sheetViews>
  <sheetFormatPr defaultRowHeight="14.4"/>
  <cols>
    <col min="1" max="1" width="18.21875" bestFit="1" customWidth="1"/>
    <col min="2" max="2" width="15.5546875" bestFit="1" customWidth="1"/>
    <col min="3" max="3" width="7" customWidth="1"/>
    <col min="4" max="4" width="10.77734375" customWidth="1"/>
    <col min="5" max="10" width="3" customWidth="1"/>
    <col min="11" max="11" width="10.77734375" bestFit="1" customWidth="1"/>
    <col min="14" max="14" width="17.6640625" bestFit="1" customWidth="1"/>
    <col min="15" max="15" width="12" bestFit="1" customWidth="1"/>
    <col min="16" max="16" width="7" bestFit="1" customWidth="1"/>
    <col min="17" max="17" width="11" bestFit="1" customWidth="1"/>
    <col min="18" max="20" width="12" bestFit="1" customWidth="1"/>
  </cols>
  <sheetData>
    <row r="3" spans="1:20">
      <c r="A3" s="22" t="s">
        <v>82</v>
      </c>
      <c r="B3" s="22" t="s">
        <v>117</v>
      </c>
    </row>
    <row r="4" spans="1:20">
      <c r="A4" s="22" t="s">
        <v>116</v>
      </c>
      <c r="B4" t="s">
        <v>37</v>
      </c>
      <c r="C4" t="s">
        <v>32</v>
      </c>
      <c r="D4" t="s">
        <v>83</v>
      </c>
    </row>
    <row r="5" spans="1:20">
      <c r="A5" s="10" t="s">
        <v>29</v>
      </c>
      <c r="B5" s="54"/>
      <c r="C5" s="54">
        <v>22.7</v>
      </c>
      <c r="D5" s="54">
        <v>22.7</v>
      </c>
      <c r="N5" t="s">
        <v>155</v>
      </c>
    </row>
    <row r="6" spans="1:20">
      <c r="A6" s="10" t="s">
        <v>33</v>
      </c>
      <c r="B6" s="54"/>
      <c r="C6" s="54">
        <v>21.79</v>
      </c>
      <c r="D6" s="54">
        <v>21.79</v>
      </c>
    </row>
    <row r="7" spans="1:20" ht="15" thickBot="1">
      <c r="A7" s="10" t="s">
        <v>35</v>
      </c>
      <c r="B7" s="54"/>
      <c r="C7" s="54">
        <v>0.85</v>
      </c>
      <c r="D7" s="54">
        <v>0.85</v>
      </c>
      <c r="N7" t="s">
        <v>156</v>
      </c>
    </row>
    <row r="8" spans="1:20">
      <c r="A8" s="10" t="s">
        <v>38</v>
      </c>
      <c r="B8" s="54"/>
      <c r="C8" s="54">
        <v>3.25</v>
      </c>
      <c r="D8" s="54">
        <v>3.25</v>
      </c>
      <c r="N8" s="65" t="s">
        <v>157</v>
      </c>
      <c r="O8" s="65" t="s">
        <v>70</v>
      </c>
      <c r="P8" s="65" t="s">
        <v>69</v>
      </c>
      <c r="Q8" s="65" t="s">
        <v>158</v>
      </c>
      <c r="R8" s="65" t="s">
        <v>141</v>
      </c>
    </row>
    <row r="9" spans="1:20">
      <c r="A9" s="10" t="s">
        <v>39</v>
      </c>
      <c r="B9" s="54"/>
      <c r="C9" s="54">
        <v>8.3800000000000008</v>
      </c>
      <c r="D9" s="54">
        <v>8.3800000000000008</v>
      </c>
      <c r="N9" s="63" t="s">
        <v>37</v>
      </c>
      <c r="O9" s="63">
        <v>2</v>
      </c>
      <c r="P9" s="63">
        <v>219.68</v>
      </c>
      <c r="Q9" s="63">
        <v>109.84</v>
      </c>
      <c r="R9" s="63">
        <v>1491.6722000000009</v>
      </c>
    </row>
    <row r="10" spans="1:20" ht="15" thickBot="1">
      <c r="A10" s="10" t="s">
        <v>41</v>
      </c>
      <c r="B10" s="54"/>
      <c r="C10" s="54">
        <v>1.75</v>
      </c>
      <c r="D10" s="54">
        <v>1.75</v>
      </c>
      <c r="N10" s="64" t="s">
        <v>32</v>
      </c>
      <c r="O10" s="64">
        <v>10</v>
      </c>
      <c r="P10" s="64">
        <v>121.71000000000001</v>
      </c>
      <c r="Q10" s="64">
        <v>12.171000000000001</v>
      </c>
      <c r="R10" s="64">
        <v>167.17374333333331</v>
      </c>
    </row>
    <row r="11" spans="1:20">
      <c r="A11" s="10" t="s">
        <v>43</v>
      </c>
      <c r="B11" s="54"/>
      <c r="C11" s="54">
        <v>28.92</v>
      </c>
      <c r="D11" s="54">
        <v>28.92</v>
      </c>
    </row>
    <row r="12" spans="1:20">
      <c r="A12" s="10" t="s">
        <v>44</v>
      </c>
      <c r="B12" s="54"/>
      <c r="C12" s="54">
        <v>0.92</v>
      </c>
      <c r="D12" s="54">
        <v>0.92</v>
      </c>
    </row>
    <row r="13" spans="1:20" ht="15" thickBot="1">
      <c r="A13" s="10" t="s">
        <v>24</v>
      </c>
      <c r="B13" s="54">
        <v>137.15</v>
      </c>
      <c r="C13" s="54"/>
      <c r="D13" s="54">
        <v>137.15</v>
      </c>
      <c r="N13" t="s">
        <v>159</v>
      </c>
    </row>
    <row r="14" spans="1:20">
      <c r="A14" s="10" t="s">
        <v>45</v>
      </c>
      <c r="B14" s="54">
        <v>82.53</v>
      </c>
      <c r="C14" s="54"/>
      <c r="D14" s="54">
        <v>82.53</v>
      </c>
      <c r="N14" s="65" t="s">
        <v>160</v>
      </c>
      <c r="O14" s="65" t="s">
        <v>161</v>
      </c>
      <c r="P14" s="65" t="s">
        <v>145</v>
      </c>
      <c r="Q14" s="65" t="s">
        <v>162</v>
      </c>
      <c r="R14" s="65" t="s">
        <v>163</v>
      </c>
      <c r="S14" s="65" t="s">
        <v>164</v>
      </c>
      <c r="T14" s="65" t="s">
        <v>165</v>
      </c>
    </row>
    <row r="15" spans="1:20">
      <c r="A15" s="10" t="s">
        <v>46</v>
      </c>
      <c r="B15" s="54"/>
      <c r="C15" s="54">
        <v>0.38</v>
      </c>
      <c r="D15" s="54">
        <v>0.38</v>
      </c>
      <c r="N15" s="63" t="s">
        <v>166</v>
      </c>
      <c r="O15" s="63">
        <v>15898.722601666665</v>
      </c>
      <c r="P15" s="63">
        <v>1</v>
      </c>
      <c r="Q15" s="63">
        <v>15898.722601666665</v>
      </c>
      <c r="R15" s="63">
        <v>53.062319474674801</v>
      </c>
      <c r="S15" s="63">
        <v>2.649308233119553E-5</v>
      </c>
      <c r="T15" s="63">
        <v>4.9646027437307128</v>
      </c>
    </row>
    <row r="16" spans="1:20">
      <c r="A16" s="10" t="s">
        <v>47</v>
      </c>
      <c r="B16" s="54"/>
      <c r="C16" s="54">
        <v>32.770000000000003</v>
      </c>
      <c r="D16" s="54">
        <v>32.770000000000003</v>
      </c>
      <c r="N16" s="63" t="s">
        <v>167</v>
      </c>
      <c r="O16" s="63">
        <v>2996.2358900000004</v>
      </c>
      <c r="P16" s="63">
        <v>10</v>
      </c>
      <c r="Q16" s="63">
        <v>299.62358900000004</v>
      </c>
      <c r="R16" s="63"/>
      <c r="S16" s="63"/>
      <c r="T16" s="63"/>
    </row>
    <row r="17" spans="1:20">
      <c r="A17" s="10" t="s">
        <v>83</v>
      </c>
      <c r="B17" s="54">
        <v>219.68</v>
      </c>
      <c r="C17" s="54">
        <v>121.71000000000001</v>
      </c>
      <c r="D17" s="54">
        <v>341.39</v>
      </c>
      <c r="N17" s="63"/>
      <c r="O17" s="63"/>
      <c r="P17" s="63"/>
      <c r="Q17" s="63"/>
      <c r="R17" s="63"/>
      <c r="S17" s="63"/>
      <c r="T17" s="63"/>
    </row>
    <row r="18" spans="1:20" ht="15" thickBot="1">
      <c r="N18" s="64" t="s">
        <v>168</v>
      </c>
      <c r="O18" s="64">
        <v>18894.958491666664</v>
      </c>
      <c r="P18" s="64">
        <v>11</v>
      </c>
      <c r="Q18" s="64"/>
      <c r="R18" s="64"/>
      <c r="S18" s="64"/>
      <c r="T18" s="6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G118"/>
  <sheetViews>
    <sheetView workbookViewId="0">
      <selection activeCell="C31" sqref="C31"/>
    </sheetView>
  </sheetViews>
  <sheetFormatPr defaultRowHeight="14.4"/>
  <cols>
    <col min="1" max="1" width="17.33203125" bestFit="1" customWidth="1"/>
    <col min="2" max="2" width="18.21875" bestFit="1" customWidth="1"/>
    <col min="3" max="3" width="17" bestFit="1" customWidth="1"/>
    <col min="4" max="4" width="17.5546875" bestFit="1" customWidth="1"/>
  </cols>
  <sheetData>
    <row r="3" spans="1:33">
      <c r="A3" s="22" t="s">
        <v>116</v>
      </c>
      <c r="B3" t="s">
        <v>82</v>
      </c>
      <c r="C3" t="s">
        <v>171</v>
      </c>
      <c r="D3" t="s">
        <v>137</v>
      </c>
      <c r="G3" t="s">
        <v>172</v>
      </c>
      <c r="O3" t="s">
        <v>182</v>
      </c>
      <c r="S3" t="s">
        <v>185</v>
      </c>
      <c r="AC3" t="s">
        <v>197</v>
      </c>
    </row>
    <row r="4" spans="1:33" ht="15" thickBot="1">
      <c r="A4" s="10" t="s">
        <v>29</v>
      </c>
      <c r="B4" s="54">
        <v>22.7</v>
      </c>
      <c r="C4" s="54">
        <v>7.7</v>
      </c>
      <c r="D4" s="54">
        <v>146</v>
      </c>
    </row>
    <row r="5" spans="1:33" ht="15" thickTop="1">
      <c r="A5" s="61">
        <v>80</v>
      </c>
      <c r="B5" s="54">
        <v>22.7</v>
      </c>
      <c r="C5" s="54">
        <v>7.7</v>
      </c>
      <c r="D5" s="54">
        <v>146</v>
      </c>
      <c r="G5" s="66"/>
      <c r="H5" s="66" t="s">
        <v>173</v>
      </c>
      <c r="I5" s="66" t="s">
        <v>163</v>
      </c>
      <c r="J5" s="66" t="s">
        <v>174</v>
      </c>
      <c r="K5" s="66" t="s">
        <v>175</v>
      </c>
      <c r="L5" s="66" t="s">
        <v>176</v>
      </c>
      <c r="M5" s="66" t="s">
        <v>177</v>
      </c>
      <c r="O5">
        <v>58</v>
      </c>
      <c r="S5" t="s">
        <v>186</v>
      </c>
      <c r="V5">
        <f>B4</f>
        <v>22.7</v>
      </c>
      <c r="AD5" s="62">
        <f t="array" ref="AD5:AF5">$B$4:$D$4</f>
        <v>22.7</v>
      </c>
      <c r="AE5" s="62">
        <v>7.7</v>
      </c>
      <c r="AF5" s="62">
        <v>146</v>
      </c>
      <c r="AG5" s="62" t="s">
        <v>70</v>
      </c>
    </row>
    <row r="6" spans="1:33">
      <c r="A6" s="10" t="s">
        <v>33</v>
      </c>
      <c r="B6" s="54">
        <v>21.79</v>
      </c>
      <c r="C6" s="54">
        <v>7.4</v>
      </c>
      <c r="D6" s="54">
        <v>52</v>
      </c>
      <c r="G6" t="s">
        <v>178</v>
      </c>
      <c r="H6">
        <f>[1]!MANOVA_PillaiTrace(A5:D28)</f>
        <v>2.8946654275705739</v>
      </c>
      <c r="I6">
        <f>[1]!MANOVA_PillaiF(A5:D28)</f>
        <v>4.1221016435653048</v>
      </c>
      <c r="J6">
        <f>[1]!MANOVA_Pillaidf1(A5:D28)</f>
        <v>60</v>
      </c>
      <c r="K6">
        <f>[1]!MANOVA_Pillaidf2(A5:D28)</f>
        <v>9</v>
      </c>
      <c r="L6">
        <f>[1]!F_DIST_RT(I6,J6,K6)</f>
        <v>1.3502521263096368E-2</v>
      </c>
      <c r="M6">
        <f>I6*J6/(I6*J6+K6)</f>
        <v>0.964888475856858</v>
      </c>
      <c r="O6" s="60" t="e">
        <f t="array" ref="O6:Q8">[1]!ExtractCov(A5:D28,O5)</f>
        <v>#VALUE!</v>
      </c>
      <c r="P6" s="67" t="e">
        <v>#VALUE!</v>
      </c>
      <c r="Q6" s="68" t="e">
        <v>#VALUE!</v>
      </c>
      <c r="AC6">
        <v>58</v>
      </c>
      <c r="AD6" s="60">
        <f>AVERAGEIF($A$5:$A$28,$AC6,B$5:B$28)</f>
        <v>28.92</v>
      </c>
      <c r="AE6" s="67">
        <f t="shared" ref="AE6:AF6" si="0">AVERAGEIF($A$5:$A$28,$AC6,C$5:C$28)</f>
        <v>6.6</v>
      </c>
      <c r="AF6" s="68">
        <f t="shared" si="0"/>
        <v>129</v>
      </c>
      <c r="AG6" s="80">
        <f>COUNTIF($A$5:$A$28,AC6)</f>
        <v>1</v>
      </c>
    </row>
    <row r="7" spans="1:33" ht="15" thickBot="1">
      <c r="A7" s="61">
        <v>80</v>
      </c>
      <c r="B7" s="54">
        <v>21.79</v>
      </c>
      <c r="C7" s="54">
        <v>7.4</v>
      </c>
      <c r="D7" s="54">
        <v>52</v>
      </c>
      <c r="G7" t="s">
        <v>179</v>
      </c>
      <c r="H7">
        <f>[1]!MANOVA_WilksLambda(A5:D28)</f>
        <v>1.2795248019993028E-9</v>
      </c>
      <c r="I7">
        <f>[1]!MANOVA_WilksF(A5:D28)</f>
        <v>60.811599430455963</v>
      </c>
      <c r="J7">
        <f>[1]!MANOVA_Wilksdf1(A5:D28)</f>
        <v>60</v>
      </c>
      <c r="K7">
        <f>[1]!MANOVA_Wilksdf2(A5:D28)</f>
        <v>3.8179798583062992</v>
      </c>
      <c r="L7">
        <f>[1]!F_DIST_RT(I7,J7,K7)</f>
        <v>7.3795975864676677E-4</v>
      </c>
      <c r="M7">
        <f t="shared" ref="M7:M8" si="1">I7*J7/(I7*J7+K7)</f>
        <v>0.99895469807505699</v>
      </c>
      <c r="O7" s="69" t="e">
        <v>#VALUE!</v>
      </c>
      <c r="P7" s="70" t="e">
        <v>#VALUE!</v>
      </c>
      <c r="Q7" s="71" t="e">
        <v>#VALUE!</v>
      </c>
      <c r="S7" t="s">
        <v>187</v>
      </c>
      <c r="X7" t="s">
        <v>188</v>
      </c>
      <c r="Y7" s="54">
        <v>1.6666666666666666E-2</v>
      </c>
      <c r="AC7">
        <v>60</v>
      </c>
      <c r="AD7" s="69">
        <f t="shared" ref="AD7:AD26" si="2">AVERAGEIF($A$5:$A$28,$AC7,B$5:B$28)</f>
        <v>0.92</v>
      </c>
      <c r="AE7" s="70">
        <f t="shared" ref="AE7:AE26" si="3">AVERAGEIF($A$5:$A$28,$AC7,C$5:C$28)</f>
        <v>6.1</v>
      </c>
      <c r="AF7" s="70">
        <f t="shared" ref="AF7:AF26" si="4">AVERAGEIF($A$5:$A$28,$AC7,D$5:D$28)</f>
        <v>16</v>
      </c>
      <c r="AG7" s="81">
        <f t="shared" ref="AG7:AG26" si="5">COUNTIF($A$5:$A$28,AC7)</f>
        <v>1</v>
      </c>
    </row>
    <row r="8" spans="1:33" ht="15" thickTop="1">
      <c r="A8" s="10" t="s">
        <v>35</v>
      </c>
      <c r="B8" s="54">
        <v>0.85</v>
      </c>
      <c r="C8" s="54">
        <v>7.7</v>
      </c>
      <c r="D8" s="54">
        <v>72</v>
      </c>
      <c r="G8" t="s">
        <v>180</v>
      </c>
      <c r="H8">
        <f>[1]!MANOVA_HotelTrace(A5:D28)</f>
        <v>156156.10147143528</v>
      </c>
      <c r="I8">
        <f>[1]!MANOVA_HotelF(A5:D28)</f>
        <v>-867.53389706352937</v>
      </c>
      <c r="J8">
        <f>[1]!MANOVA_Hoteldf1(A5:D28)</f>
        <v>60</v>
      </c>
      <c r="K8">
        <f>[1]!MANOVA_Hoteldf2(A5:D28)</f>
        <v>-1</v>
      </c>
      <c r="L8" t="e">
        <f>[1]!F_DIST_RT(I8,J8,K8)</f>
        <v>#VALUE!</v>
      </c>
      <c r="M8">
        <f t="shared" si="1"/>
        <v>0.99998078882388708</v>
      </c>
      <c r="O8" s="72" t="e">
        <v>#VALUE!</v>
      </c>
      <c r="P8" s="73" t="e">
        <v>#VALUE!</v>
      </c>
      <c r="Q8" s="74" t="e">
        <v>#VALUE!</v>
      </c>
      <c r="S8" s="66" t="s">
        <v>157</v>
      </c>
      <c r="T8" s="66" t="s">
        <v>70</v>
      </c>
      <c r="U8" s="66" t="s">
        <v>69</v>
      </c>
      <c r="V8" s="66" t="s">
        <v>58</v>
      </c>
      <c r="W8" s="66" t="s">
        <v>141</v>
      </c>
      <c r="X8" s="66" t="s">
        <v>161</v>
      </c>
      <c r="Y8" s="66" t="s">
        <v>189</v>
      </c>
      <c r="Z8" s="66" t="s">
        <v>190</v>
      </c>
      <c r="AA8" s="66" t="s">
        <v>191</v>
      </c>
      <c r="AC8">
        <v>63</v>
      </c>
      <c r="AD8" s="70">
        <f t="shared" si="2"/>
        <v>3.25</v>
      </c>
      <c r="AE8" s="70">
        <f t="shared" si="3"/>
        <v>4.5999999999999996</v>
      </c>
      <c r="AF8" s="70">
        <f t="shared" si="4"/>
        <v>116</v>
      </c>
      <c r="AG8" s="81">
        <f t="shared" si="5"/>
        <v>1</v>
      </c>
    </row>
    <row r="9" spans="1:33">
      <c r="A9" s="61">
        <v>72</v>
      </c>
      <c r="B9" s="54">
        <v>0.85</v>
      </c>
      <c r="C9" s="54">
        <v>7.7</v>
      </c>
      <c r="D9" s="54">
        <v>72</v>
      </c>
      <c r="G9" s="7" t="s">
        <v>181</v>
      </c>
      <c r="H9" s="7">
        <f>[1]!MANOVA_RoyRoot(A5:D28)</f>
        <v>155629.16690219735</v>
      </c>
      <c r="I9" s="7"/>
      <c r="J9" s="7"/>
      <c r="K9" s="7"/>
      <c r="L9" s="7"/>
      <c r="M9" s="7"/>
      <c r="S9">
        <f t="array" ref="S9:S29">[1]!SortUnique(A5:A28)</f>
        <v>58</v>
      </c>
      <c r="T9">
        <f>COUNTIF($A$5:$A$28,$S9)</f>
        <v>1</v>
      </c>
      <c r="U9">
        <f>SUMIF($A$5:$A$28,$S9,$B$5:$B$28)</f>
        <v>28.92</v>
      </c>
      <c r="V9">
        <f>AVERAGEIF($A$5:$A$28,$S9,$B$5:$B$28)</f>
        <v>28.92</v>
      </c>
      <c r="W9" t="e">
        <f t="array" ref="W9">_xlfn.VAR.S(IF($A$5:$A$28=$S9,$B$5:$B$28))</f>
        <v>#DIV/0!</v>
      </c>
      <c r="X9" t="e">
        <f>($T9-1)*W9</f>
        <v>#DIV/0!</v>
      </c>
      <c r="Y9" t="e">
        <f>SQRT(V$34/T9)</f>
        <v>#DIV/0!</v>
      </c>
      <c r="Z9" t="e">
        <f>V9-Y9*_xlfn.T.INV.2T(Y$7,U$34)</f>
        <v>#DIV/0!</v>
      </c>
      <c r="AA9" t="e">
        <f>V9+Y9*_xlfn.T.INV.2T(Y$7,U$34)</f>
        <v>#DIV/0!</v>
      </c>
      <c r="AC9">
        <v>65</v>
      </c>
      <c r="AD9" s="70">
        <f t="shared" si="2"/>
        <v>1.75</v>
      </c>
      <c r="AE9" s="70">
        <f t="shared" si="3"/>
        <v>6.8</v>
      </c>
      <c r="AF9" s="70">
        <f t="shared" si="4"/>
        <v>135</v>
      </c>
      <c r="AG9" s="81">
        <f t="shared" si="5"/>
        <v>1</v>
      </c>
    </row>
    <row r="10" spans="1:33">
      <c r="A10" s="10" t="s">
        <v>38</v>
      </c>
      <c r="B10" s="54">
        <v>3.25</v>
      </c>
      <c r="C10" s="54">
        <v>4.5999999999999996</v>
      </c>
      <c r="D10" s="54">
        <v>116</v>
      </c>
      <c r="O10">
        <v>60</v>
      </c>
      <c r="S10">
        <v>60</v>
      </c>
      <c r="T10">
        <f t="shared" ref="T10:T29" si="6">COUNTIF($A$5:$A$28,$S10)</f>
        <v>1</v>
      </c>
      <c r="U10">
        <f t="shared" ref="U10:U29" si="7">SUMIF($A$5:$A$28,$S10,$B$5:$B$28)</f>
        <v>0.92</v>
      </c>
      <c r="V10">
        <f t="shared" ref="V10:V29" si="8">AVERAGEIF($A$5:$A$28,$S10,$B$5:$B$28)</f>
        <v>0.92</v>
      </c>
      <c r="W10" t="e">
        <f t="array" ref="W10">_xlfn.VAR.S(IF($A$5:$A$28=$S10,$B$5:$B$28))</f>
        <v>#DIV/0!</v>
      </c>
      <c r="X10" t="e">
        <f t="shared" ref="X10:X29" si="9">($T10-1)*W10</f>
        <v>#DIV/0!</v>
      </c>
      <c r="Y10" t="e">
        <f t="shared" ref="Y10:Y29" si="10">SQRT(V$34/T10)</f>
        <v>#DIV/0!</v>
      </c>
      <c r="Z10" t="e">
        <f t="shared" ref="Z10:Z29" si="11">V10-Y10*_xlfn.T.INV.2T(Y$7,U$34)</f>
        <v>#DIV/0!</v>
      </c>
      <c r="AA10" t="e">
        <f t="shared" ref="AA10:AA29" si="12">V10+Y10*_xlfn.T.INV.2T(Y$7,U$34)</f>
        <v>#DIV/0!</v>
      </c>
      <c r="AC10">
        <v>68</v>
      </c>
      <c r="AD10" s="70">
        <f t="shared" si="2"/>
        <v>4.3800000000000008</v>
      </c>
      <c r="AE10" s="70">
        <f t="shared" si="3"/>
        <v>7.2</v>
      </c>
      <c r="AF10" s="70">
        <f t="shared" si="4"/>
        <v>80</v>
      </c>
      <c r="AG10" s="81">
        <f t="shared" si="5"/>
        <v>2</v>
      </c>
    </row>
    <row r="11" spans="1:33">
      <c r="A11" s="61">
        <v>63</v>
      </c>
      <c r="B11" s="54">
        <v>3.25</v>
      </c>
      <c r="C11" s="54">
        <v>4.5999999999999996</v>
      </c>
      <c r="D11" s="54">
        <v>116</v>
      </c>
      <c r="O11" s="60" t="e">
        <f t="array" ref="O11:Q13">[1]!ExtractCov(A5:D28,O10)</f>
        <v>#VALUE!</v>
      </c>
      <c r="P11" s="67" t="e">
        <v>#VALUE!</v>
      </c>
      <c r="Q11" s="68" t="e">
        <v>#VALUE!</v>
      </c>
      <c r="S11">
        <v>63</v>
      </c>
      <c r="T11">
        <f t="shared" si="6"/>
        <v>1</v>
      </c>
      <c r="U11">
        <f t="shared" si="7"/>
        <v>3.25</v>
      </c>
      <c r="V11">
        <f t="shared" si="8"/>
        <v>3.25</v>
      </c>
      <c r="W11" t="e">
        <f t="array" ref="W11">_xlfn.VAR.S(IF($A$5:$A$28=$S11,$B$5:$B$28))</f>
        <v>#DIV/0!</v>
      </c>
      <c r="X11" t="e">
        <f t="shared" si="9"/>
        <v>#DIV/0!</v>
      </c>
      <c r="Y11" t="e">
        <f t="shared" si="10"/>
        <v>#DIV/0!</v>
      </c>
      <c r="Z11" t="e">
        <f t="shared" si="11"/>
        <v>#DIV/0!</v>
      </c>
      <c r="AA11" t="e">
        <f t="shared" si="12"/>
        <v>#DIV/0!</v>
      </c>
      <c r="AC11">
        <v>72</v>
      </c>
      <c r="AD11" s="70">
        <f t="shared" si="2"/>
        <v>0.85</v>
      </c>
      <c r="AE11" s="70">
        <f t="shared" si="3"/>
        <v>7.7</v>
      </c>
      <c r="AF11" s="70">
        <f t="shared" si="4"/>
        <v>72</v>
      </c>
      <c r="AG11" s="81">
        <f t="shared" si="5"/>
        <v>1</v>
      </c>
    </row>
    <row r="12" spans="1:33">
      <c r="A12" s="10" t="s">
        <v>39</v>
      </c>
      <c r="B12" s="54">
        <v>8.3800000000000008</v>
      </c>
      <c r="C12" s="54">
        <v>7.4</v>
      </c>
      <c r="D12" s="54">
        <v>54</v>
      </c>
      <c r="O12" s="69" t="e">
        <v>#VALUE!</v>
      </c>
      <c r="P12" s="70" t="e">
        <v>#VALUE!</v>
      </c>
      <c r="Q12" s="71" t="e">
        <v>#VALUE!</v>
      </c>
      <c r="S12">
        <v>65</v>
      </c>
      <c r="T12">
        <f t="shared" si="6"/>
        <v>1</v>
      </c>
      <c r="U12">
        <f t="shared" si="7"/>
        <v>1.75</v>
      </c>
      <c r="V12">
        <f t="shared" si="8"/>
        <v>1.75</v>
      </c>
      <c r="W12" t="e">
        <f t="array" ref="W12">_xlfn.VAR.S(IF($A$5:$A$28=$S12,$B$5:$B$28))</f>
        <v>#DIV/0!</v>
      </c>
      <c r="X12" t="e">
        <f t="shared" si="9"/>
        <v>#DIV/0!</v>
      </c>
      <c r="Y12" t="e">
        <f t="shared" si="10"/>
        <v>#DIV/0!</v>
      </c>
      <c r="Z12" t="e">
        <f t="shared" si="11"/>
        <v>#DIV/0!</v>
      </c>
      <c r="AA12" t="e">
        <f t="shared" si="12"/>
        <v>#DIV/0!</v>
      </c>
      <c r="AC12">
        <v>76</v>
      </c>
      <c r="AD12" s="70">
        <f t="shared" si="2"/>
        <v>82.53</v>
      </c>
      <c r="AE12" s="70">
        <f t="shared" si="3"/>
        <v>8</v>
      </c>
      <c r="AF12" s="70">
        <f t="shared" si="4"/>
        <v>322</v>
      </c>
      <c r="AG12" s="81">
        <f t="shared" si="5"/>
        <v>1</v>
      </c>
    </row>
    <row r="13" spans="1:33">
      <c r="A13" s="61">
        <v>68</v>
      </c>
      <c r="B13" s="54">
        <v>8.3800000000000008</v>
      </c>
      <c r="C13" s="54">
        <v>7.4</v>
      </c>
      <c r="D13" s="54">
        <v>54</v>
      </c>
      <c r="O13" s="72" t="e">
        <v>#VALUE!</v>
      </c>
      <c r="P13" s="73" t="e">
        <v>#VALUE!</v>
      </c>
      <c r="Q13" s="74" t="e">
        <v>#VALUE!</v>
      </c>
      <c r="S13">
        <v>68</v>
      </c>
      <c r="T13">
        <f t="shared" si="6"/>
        <v>2</v>
      </c>
      <c r="U13">
        <f t="shared" si="7"/>
        <v>8.7600000000000016</v>
      </c>
      <c r="V13">
        <f t="shared" si="8"/>
        <v>4.3800000000000008</v>
      </c>
      <c r="W13">
        <f t="array" ref="W13">_xlfn.VAR.S(IF($A$5:$A$28=$S13,$B$5:$B$28))</f>
        <v>32.000000000000007</v>
      </c>
      <c r="X13">
        <f t="shared" si="9"/>
        <v>32.000000000000007</v>
      </c>
      <c r="Y13" t="e">
        <f t="shared" si="10"/>
        <v>#DIV/0!</v>
      </c>
      <c r="Z13" t="e">
        <f t="shared" si="11"/>
        <v>#DIV/0!</v>
      </c>
      <c r="AA13" t="e">
        <f t="shared" si="12"/>
        <v>#DIV/0!</v>
      </c>
      <c r="AC13">
        <v>78</v>
      </c>
      <c r="AD13" s="70">
        <f t="shared" si="2"/>
        <v>137.15</v>
      </c>
      <c r="AE13" s="70">
        <f t="shared" si="3"/>
        <v>8</v>
      </c>
      <c r="AF13" s="70">
        <f t="shared" si="4"/>
        <v>140</v>
      </c>
      <c r="AG13" s="81">
        <f t="shared" si="5"/>
        <v>1</v>
      </c>
    </row>
    <row r="14" spans="1:33">
      <c r="A14" s="10" t="s">
        <v>41</v>
      </c>
      <c r="B14" s="54">
        <v>1.75</v>
      </c>
      <c r="C14" s="54">
        <v>6.8</v>
      </c>
      <c r="D14" s="54">
        <v>135</v>
      </c>
      <c r="S14">
        <v>72</v>
      </c>
      <c r="T14">
        <f t="shared" si="6"/>
        <v>1</v>
      </c>
      <c r="U14">
        <f t="shared" si="7"/>
        <v>0.85</v>
      </c>
      <c r="V14">
        <f t="shared" si="8"/>
        <v>0.85</v>
      </c>
      <c r="W14" t="e">
        <f t="array" ref="W14">_xlfn.VAR.S(IF($A$5:$A$28=$S14,$B$5:$B$28))</f>
        <v>#DIV/0!</v>
      </c>
      <c r="X14" t="e">
        <f t="shared" si="9"/>
        <v>#DIV/0!</v>
      </c>
      <c r="Y14" t="e">
        <f t="shared" si="10"/>
        <v>#DIV/0!</v>
      </c>
      <c r="Z14" t="e">
        <f t="shared" si="11"/>
        <v>#DIV/0!</v>
      </c>
      <c r="AA14" t="e">
        <f t="shared" si="12"/>
        <v>#DIV/0!</v>
      </c>
      <c r="AC14">
        <v>80</v>
      </c>
      <c r="AD14" s="70">
        <f t="shared" si="2"/>
        <v>25.75333333333333</v>
      </c>
      <c r="AE14" s="70">
        <f t="shared" si="3"/>
        <v>7.7</v>
      </c>
      <c r="AF14" s="70">
        <f t="shared" si="4"/>
        <v>130</v>
      </c>
      <c r="AG14" s="81">
        <f t="shared" si="5"/>
        <v>3</v>
      </c>
    </row>
    <row r="15" spans="1:33">
      <c r="A15" s="61">
        <v>65</v>
      </c>
      <c r="B15" s="54">
        <v>1.75</v>
      </c>
      <c r="C15" s="54">
        <v>6.8</v>
      </c>
      <c r="D15" s="54">
        <v>135</v>
      </c>
      <c r="O15">
        <v>63</v>
      </c>
      <c r="S15">
        <v>76</v>
      </c>
      <c r="T15">
        <f t="shared" si="6"/>
        <v>1</v>
      </c>
      <c r="U15">
        <f t="shared" si="7"/>
        <v>82.53</v>
      </c>
      <c r="V15">
        <f t="shared" si="8"/>
        <v>82.53</v>
      </c>
      <c r="W15" t="e">
        <f t="array" ref="W15">_xlfn.VAR.S(IF($A$5:$A$28=$S15,$B$5:$B$28))</f>
        <v>#DIV/0!</v>
      </c>
      <c r="X15" t="e">
        <f t="shared" si="9"/>
        <v>#DIV/0!</v>
      </c>
      <c r="Y15" t="e">
        <f t="shared" si="10"/>
        <v>#DIV/0!</v>
      </c>
      <c r="Z15" t="e">
        <f t="shared" si="11"/>
        <v>#DIV/0!</v>
      </c>
      <c r="AA15" t="e">
        <f t="shared" si="12"/>
        <v>#DIV/0!</v>
      </c>
      <c r="AC15" t="s">
        <v>83</v>
      </c>
      <c r="AD15" s="70">
        <f t="shared" si="2"/>
        <v>341.39</v>
      </c>
      <c r="AE15" s="70">
        <f t="shared" si="3"/>
        <v>85.3</v>
      </c>
      <c r="AF15" s="70">
        <f t="shared" si="4"/>
        <v>1480</v>
      </c>
      <c r="AG15" s="81">
        <f t="shared" si="5"/>
        <v>1</v>
      </c>
    </row>
    <row r="16" spans="1:33">
      <c r="A16" s="10" t="s">
        <v>43</v>
      </c>
      <c r="B16" s="54">
        <v>28.92</v>
      </c>
      <c r="C16" s="54">
        <v>6.6</v>
      </c>
      <c r="D16" s="54">
        <v>129</v>
      </c>
      <c r="O16" s="60" t="e">
        <f t="array" ref="O16:Q18">[1]!ExtractCov(A5:D28,O15)</f>
        <v>#VALUE!</v>
      </c>
      <c r="P16" s="67" t="e">
        <v>#VALUE!</v>
      </c>
      <c r="Q16" s="68" t="e">
        <v>#VALUE!</v>
      </c>
      <c r="S16">
        <v>78</v>
      </c>
      <c r="T16">
        <f t="shared" si="6"/>
        <v>1</v>
      </c>
      <c r="U16">
        <f t="shared" si="7"/>
        <v>137.15</v>
      </c>
      <c r="V16">
        <f t="shared" si="8"/>
        <v>137.15</v>
      </c>
      <c r="W16" t="e">
        <f t="array" ref="W16">_xlfn.VAR.S(IF($A$5:$A$28=$S16,$B$5:$B$28))</f>
        <v>#DIV/0!</v>
      </c>
      <c r="X16" t="e">
        <f t="shared" si="9"/>
        <v>#DIV/0!</v>
      </c>
      <c r="Y16" t="e">
        <f t="shared" si="10"/>
        <v>#DIV/0!</v>
      </c>
      <c r="Z16" t="e">
        <f t="shared" si="11"/>
        <v>#DIV/0!</v>
      </c>
      <c r="AA16" t="e">
        <f t="shared" si="12"/>
        <v>#DIV/0!</v>
      </c>
      <c r="AC16" t="s">
        <v>33</v>
      </c>
      <c r="AD16" s="70">
        <f t="shared" si="2"/>
        <v>21.79</v>
      </c>
      <c r="AE16" s="70">
        <f t="shared" si="3"/>
        <v>7.4</v>
      </c>
      <c r="AF16" s="70">
        <f t="shared" si="4"/>
        <v>52</v>
      </c>
      <c r="AG16" s="81">
        <f t="shared" si="5"/>
        <v>1</v>
      </c>
    </row>
    <row r="17" spans="1:33">
      <c r="A17" s="61">
        <v>58</v>
      </c>
      <c r="B17" s="54">
        <v>28.92</v>
      </c>
      <c r="C17" s="54">
        <v>6.6</v>
      </c>
      <c r="D17" s="54">
        <v>129</v>
      </c>
      <c r="O17" s="69" t="e">
        <v>#VALUE!</v>
      </c>
      <c r="P17" s="70" t="e">
        <v>#VALUE!</v>
      </c>
      <c r="Q17" s="71" t="e">
        <v>#VALUE!</v>
      </c>
      <c r="S17">
        <v>80</v>
      </c>
      <c r="T17">
        <f t="shared" si="6"/>
        <v>3</v>
      </c>
      <c r="U17">
        <f t="shared" si="7"/>
        <v>77.259999999999991</v>
      </c>
      <c r="V17">
        <f t="shared" si="8"/>
        <v>25.75333333333333</v>
      </c>
      <c r="W17">
        <f t="array" ref="W17">_xlfn.VAR.S(IF($A$5:$A$28=$S17,$B$5:$B$28))</f>
        <v>37.132233333333602</v>
      </c>
      <c r="X17">
        <f t="shared" si="9"/>
        <v>74.264466666667204</v>
      </c>
      <c r="Y17" t="e">
        <f t="shared" si="10"/>
        <v>#DIV/0!</v>
      </c>
      <c r="Z17" t="e">
        <f t="shared" si="11"/>
        <v>#DIV/0!</v>
      </c>
      <c r="AA17" t="e">
        <f t="shared" si="12"/>
        <v>#DIV/0!</v>
      </c>
      <c r="AC17" t="s">
        <v>35</v>
      </c>
      <c r="AD17" s="70">
        <f t="shared" si="2"/>
        <v>0.85</v>
      </c>
      <c r="AE17" s="70">
        <f t="shared" si="3"/>
        <v>7.7</v>
      </c>
      <c r="AF17" s="70">
        <f t="shared" si="4"/>
        <v>72</v>
      </c>
      <c r="AG17" s="81">
        <f t="shared" si="5"/>
        <v>1</v>
      </c>
    </row>
    <row r="18" spans="1:33">
      <c r="A18" s="10" t="s">
        <v>44</v>
      </c>
      <c r="B18" s="54">
        <v>0.92</v>
      </c>
      <c r="C18" s="54">
        <v>6.1</v>
      </c>
      <c r="D18" s="54">
        <v>16</v>
      </c>
      <c r="O18" s="72" t="e">
        <v>#VALUE!</v>
      </c>
      <c r="P18" s="73" t="e">
        <v>#VALUE!</v>
      </c>
      <c r="Q18" s="74" t="e">
        <v>#VALUE!</v>
      </c>
      <c r="S18" t="str">
        <v>Grand Total</v>
      </c>
      <c r="T18">
        <f t="shared" si="6"/>
        <v>1</v>
      </c>
      <c r="U18">
        <f t="shared" si="7"/>
        <v>341.39</v>
      </c>
      <c r="V18">
        <f t="shared" si="8"/>
        <v>341.39</v>
      </c>
      <c r="W18" t="e">
        <f t="array" ref="W18">_xlfn.VAR.S(IF($A$5:$A$28=$S18,$B$5:$B$28))</f>
        <v>#DIV/0!</v>
      </c>
      <c r="X18" t="e">
        <f t="shared" si="9"/>
        <v>#DIV/0!</v>
      </c>
      <c r="Y18" t="e">
        <f t="shared" si="10"/>
        <v>#DIV/0!</v>
      </c>
      <c r="Z18" t="e">
        <f t="shared" si="11"/>
        <v>#DIV/0!</v>
      </c>
      <c r="AA18" t="e">
        <f t="shared" si="12"/>
        <v>#DIV/0!</v>
      </c>
      <c r="AC18" t="s">
        <v>38</v>
      </c>
      <c r="AD18" s="70">
        <f t="shared" si="2"/>
        <v>3.25</v>
      </c>
      <c r="AE18" s="70">
        <f t="shared" si="3"/>
        <v>4.5999999999999996</v>
      </c>
      <c r="AF18" s="70">
        <f t="shared" si="4"/>
        <v>116</v>
      </c>
      <c r="AG18" s="81">
        <f t="shared" si="5"/>
        <v>1</v>
      </c>
    </row>
    <row r="19" spans="1:33">
      <c r="A19" s="61">
        <v>60</v>
      </c>
      <c r="B19" s="54">
        <v>0.92</v>
      </c>
      <c r="C19" s="54">
        <v>6.1</v>
      </c>
      <c r="D19" s="54">
        <v>16</v>
      </c>
      <c r="S19" t="str">
        <v>Wii Fit Plus</v>
      </c>
      <c r="T19">
        <f t="shared" si="6"/>
        <v>1</v>
      </c>
      <c r="U19">
        <f t="shared" si="7"/>
        <v>21.79</v>
      </c>
      <c r="V19">
        <f t="shared" si="8"/>
        <v>21.79</v>
      </c>
      <c r="W19" t="e">
        <f t="array" ref="W19">_xlfn.VAR.S(IF($A$5:$A$28=$S19,$B$5:$B$28))</f>
        <v>#DIV/0!</v>
      </c>
      <c r="X19" t="e">
        <f t="shared" si="9"/>
        <v>#DIV/0!</v>
      </c>
      <c r="Y19" t="e">
        <f t="shared" si="10"/>
        <v>#DIV/0!</v>
      </c>
      <c r="Z19" t="e">
        <f t="shared" si="11"/>
        <v>#DIV/0!</v>
      </c>
      <c r="AA19" t="e">
        <f t="shared" si="12"/>
        <v>#DIV/0!</v>
      </c>
      <c r="AC19" t="s">
        <v>39</v>
      </c>
      <c r="AD19" s="70">
        <f t="shared" si="2"/>
        <v>8.3800000000000008</v>
      </c>
      <c r="AE19" s="70">
        <f t="shared" si="3"/>
        <v>7.4</v>
      </c>
      <c r="AF19" s="70">
        <f t="shared" si="4"/>
        <v>54</v>
      </c>
      <c r="AG19" s="81">
        <f t="shared" si="5"/>
        <v>1</v>
      </c>
    </row>
    <row r="20" spans="1:33">
      <c r="A20" s="10" t="s">
        <v>24</v>
      </c>
      <c r="B20" s="54">
        <v>137.15</v>
      </c>
      <c r="C20" s="54">
        <v>8</v>
      </c>
      <c r="D20" s="54">
        <v>140</v>
      </c>
      <c r="O20">
        <v>65</v>
      </c>
      <c r="S20" t="str">
        <v>Wii Fit U</v>
      </c>
      <c r="T20">
        <f t="shared" si="6"/>
        <v>1</v>
      </c>
      <c r="U20">
        <f t="shared" si="7"/>
        <v>0.85</v>
      </c>
      <c r="V20">
        <f t="shared" si="8"/>
        <v>0.85</v>
      </c>
      <c r="W20" t="e">
        <f t="array" ref="W20">_xlfn.VAR.S(IF($A$5:$A$28=$S20,$B$5:$B$28))</f>
        <v>#DIV/0!</v>
      </c>
      <c r="X20" t="e">
        <f t="shared" si="9"/>
        <v>#DIV/0!</v>
      </c>
      <c r="Y20" t="e">
        <f t="shared" si="10"/>
        <v>#DIV/0!</v>
      </c>
      <c r="Z20" t="e">
        <f t="shared" si="11"/>
        <v>#DIV/0!</v>
      </c>
      <c r="AA20" t="e">
        <f t="shared" si="12"/>
        <v>#DIV/0!</v>
      </c>
      <c r="AC20" t="s">
        <v>41</v>
      </c>
      <c r="AD20" s="70">
        <f t="shared" si="2"/>
        <v>1.75</v>
      </c>
      <c r="AE20" s="70">
        <f t="shared" si="3"/>
        <v>6.8</v>
      </c>
      <c r="AF20" s="70">
        <f t="shared" si="4"/>
        <v>135</v>
      </c>
      <c r="AG20" s="81">
        <f t="shared" si="5"/>
        <v>1</v>
      </c>
    </row>
    <row r="21" spans="1:33">
      <c r="A21" s="61">
        <v>78</v>
      </c>
      <c r="B21" s="54">
        <v>137.15</v>
      </c>
      <c r="C21" s="54">
        <v>8</v>
      </c>
      <c r="D21" s="54">
        <v>140</v>
      </c>
      <c r="O21" s="60" t="e">
        <f t="array" ref="O21:Q23">[1]!ExtractCov(A5:D28,O20)</f>
        <v>#VALUE!</v>
      </c>
      <c r="P21" s="67" t="e">
        <v>#VALUE!</v>
      </c>
      <c r="Q21" s="68" t="e">
        <v>#VALUE!</v>
      </c>
      <c r="S21" t="str">
        <v>Wii Music</v>
      </c>
      <c r="T21">
        <f t="shared" si="6"/>
        <v>1</v>
      </c>
      <c r="U21">
        <f t="shared" si="7"/>
        <v>3.25</v>
      </c>
      <c r="V21">
        <f t="shared" si="8"/>
        <v>3.25</v>
      </c>
      <c r="W21" t="e">
        <f t="array" ref="W21">_xlfn.VAR.S(IF($A$5:$A$28=$S21,$B$5:$B$28))</f>
        <v>#DIV/0!</v>
      </c>
      <c r="X21" t="e">
        <f t="shared" si="9"/>
        <v>#DIV/0!</v>
      </c>
      <c r="Y21" t="e">
        <f t="shared" si="10"/>
        <v>#DIV/0!</v>
      </c>
      <c r="Z21" t="e">
        <f t="shared" si="11"/>
        <v>#DIV/0!</v>
      </c>
      <c r="AA21" t="e">
        <f t="shared" si="12"/>
        <v>#DIV/0!</v>
      </c>
      <c r="AC21" t="s">
        <v>43</v>
      </c>
      <c r="AD21" s="70">
        <f t="shared" si="2"/>
        <v>28.92</v>
      </c>
      <c r="AE21" s="70">
        <f t="shared" si="3"/>
        <v>6.6</v>
      </c>
      <c r="AF21" s="70">
        <f t="shared" si="4"/>
        <v>129</v>
      </c>
      <c r="AG21" s="81">
        <f t="shared" si="5"/>
        <v>1</v>
      </c>
    </row>
    <row r="22" spans="1:33">
      <c r="A22" s="10" t="s">
        <v>45</v>
      </c>
      <c r="B22" s="54">
        <v>82.53</v>
      </c>
      <c r="C22" s="54">
        <v>8</v>
      </c>
      <c r="D22" s="54">
        <v>322</v>
      </c>
      <c r="O22" s="69" t="e">
        <v>#VALUE!</v>
      </c>
      <c r="P22" s="70" t="e">
        <v>#VALUE!</v>
      </c>
      <c r="Q22" s="71" t="e">
        <v>#VALUE!</v>
      </c>
      <c r="S22" t="str">
        <v>Wii Party</v>
      </c>
      <c r="T22">
        <f t="shared" si="6"/>
        <v>1</v>
      </c>
      <c r="U22">
        <f t="shared" si="7"/>
        <v>8.3800000000000008</v>
      </c>
      <c r="V22">
        <f t="shared" si="8"/>
        <v>8.3800000000000008</v>
      </c>
      <c r="W22" t="e">
        <f t="array" ref="W22">_xlfn.VAR.S(IF($A$5:$A$28=$S22,$B$5:$B$28))</f>
        <v>#DIV/0!</v>
      </c>
      <c r="X22" t="e">
        <f t="shared" si="9"/>
        <v>#DIV/0!</v>
      </c>
      <c r="Y22" t="e">
        <f t="shared" si="10"/>
        <v>#DIV/0!</v>
      </c>
      <c r="Z22" t="e">
        <f t="shared" si="11"/>
        <v>#DIV/0!</v>
      </c>
      <c r="AA22" t="e">
        <f t="shared" si="12"/>
        <v>#DIV/0!</v>
      </c>
      <c r="AC22" t="s">
        <v>44</v>
      </c>
      <c r="AD22" s="70">
        <f t="shared" si="2"/>
        <v>0.92</v>
      </c>
      <c r="AE22" s="70">
        <f t="shared" si="3"/>
        <v>6.1</v>
      </c>
      <c r="AF22" s="70">
        <f t="shared" si="4"/>
        <v>16</v>
      </c>
      <c r="AG22" s="81">
        <f t="shared" si="5"/>
        <v>1</v>
      </c>
    </row>
    <row r="23" spans="1:33">
      <c r="A23" s="61">
        <v>76</v>
      </c>
      <c r="B23" s="54">
        <v>82.53</v>
      </c>
      <c r="C23" s="54">
        <v>8</v>
      </c>
      <c r="D23" s="54">
        <v>322</v>
      </c>
      <c r="O23" s="72" t="e">
        <v>#VALUE!</v>
      </c>
      <c r="P23" s="73" t="e">
        <v>#VALUE!</v>
      </c>
      <c r="Q23" s="74" t="e">
        <v>#VALUE!</v>
      </c>
      <c r="S23" t="str">
        <v>Wii Party U</v>
      </c>
      <c r="T23">
        <f t="shared" si="6"/>
        <v>1</v>
      </c>
      <c r="U23">
        <f t="shared" si="7"/>
        <v>1.75</v>
      </c>
      <c r="V23">
        <f t="shared" si="8"/>
        <v>1.75</v>
      </c>
      <c r="W23" t="e">
        <f t="array" ref="W23">_xlfn.VAR.S(IF($A$5:$A$28=$S23,$B$5:$B$28))</f>
        <v>#DIV/0!</v>
      </c>
      <c r="X23" t="e">
        <f t="shared" si="9"/>
        <v>#DIV/0!</v>
      </c>
      <c r="Y23" t="e">
        <f t="shared" si="10"/>
        <v>#DIV/0!</v>
      </c>
      <c r="Z23" t="e">
        <f t="shared" si="11"/>
        <v>#DIV/0!</v>
      </c>
      <c r="AA23" t="e">
        <f t="shared" si="12"/>
        <v>#DIV/0!</v>
      </c>
      <c r="AC23" t="s">
        <v>24</v>
      </c>
      <c r="AD23" s="70">
        <f t="shared" si="2"/>
        <v>137.15</v>
      </c>
      <c r="AE23" s="70">
        <f t="shared" si="3"/>
        <v>8</v>
      </c>
      <c r="AF23" s="70">
        <f t="shared" si="4"/>
        <v>140</v>
      </c>
      <c r="AG23" s="81">
        <f t="shared" si="5"/>
        <v>1</v>
      </c>
    </row>
    <row r="24" spans="1:33">
      <c r="A24" s="10" t="s">
        <v>46</v>
      </c>
      <c r="B24" s="54">
        <v>0.38</v>
      </c>
      <c r="C24" s="54">
        <v>7</v>
      </c>
      <c r="D24" s="54">
        <v>106</v>
      </c>
      <c r="S24" t="str">
        <v>Wii Play</v>
      </c>
      <c r="T24">
        <f t="shared" si="6"/>
        <v>1</v>
      </c>
      <c r="U24">
        <f t="shared" si="7"/>
        <v>28.92</v>
      </c>
      <c r="V24">
        <f t="shared" si="8"/>
        <v>28.92</v>
      </c>
      <c r="W24" t="e">
        <f t="array" ref="W24">_xlfn.VAR.S(IF($A$5:$A$28=$S24,$B$5:$B$28))</f>
        <v>#DIV/0!</v>
      </c>
      <c r="X24" t="e">
        <f t="shared" si="9"/>
        <v>#DIV/0!</v>
      </c>
      <c r="Y24" t="e">
        <f t="shared" si="10"/>
        <v>#DIV/0!</v>
      </c>
      <c r="Z24" t="e">
        <f t="shared" si="11"/>
        <v>#DIV/0!</v>
      </c>
      <c r="AA24" t="e">
        <f t="shared" si="12"/>
        <v>#DIV/0!</v>
      </c>
      <c r="AC24" t="s">
        <v>45</v>
      </c>
      <c r="AD24" s="70">
        <f t="shared" si="2"/>
        <v>82.53</v>
      </c>
      <c r="AE24" s="70">
        <f t="shared" si="3"/>
        <v>8</v>
      </c>
      <c r="AF24" s="70">
        <f t="shared" si="4"/>
        <v>322</v>
      </c>
      <c r="AG24" s="81">
        <f t="shared" si="5"/>
        <v>1</v>
      </c>
    </row>
    <row r="25" spans="1:33">
      <c r="A25" s="61">
        <v>68</v>
      </c>
      <c r="B25" s="54">
        <v>0.38</v>
      </c>
      <c r="C25" s="54">
        <v>7</v>
      </c>
      <c r="D25" s="54">
        <v>106</v>
      </c>
      <c r="O25">
        <v>68</v>
      </c>
      <c r="S25" t="str">
        <v>Wii Play: Motion</v>
      </c>
      <c r="T25">
        <f t="shared" si="6"/>
        <v>1</v>
      </c>
      <c r="U25">
        <f t="shared" si="7"/>
        <v>0.92</v>
      </c>
      <c r="V25">
        <f t="shared" si="8"/>
        <v>0.92</v>
      </c>
      <c r="W25" t="e">
        <f t="array" ref="W25">_xlfn.VAR.S(IF($A$5:$A$28=$S25,$B$5:$B$28))</f>
        <v>#DIV/0!</v>
      </c>
      <c r="X25" t="e">
        <f t="shared" si="9"/>
        <v>#DIV/0!</v>
      </c>
      <c r="Y25" t="e">
        <f t="shared" si="10"/>
        <v>#DIV/0!</v>
      </c>
      <c r="Z25" t="e">
        <f t="shared" si="11"/>
        <v>#DIV/0!</v>
      </c>
      <c r="AA25" t="e">
        <f t="shared" si="12"/>
        <v>#DIV/0!</v>
      </c>
      <c r="AC25" t="s">
        <v>46</v>
      </c>
      <c r="AD25" s="70">
        <f t="shared" si="2"/>
        <v>0.38</v>
      </c>
      <c r="AE25" s="70">
        <f t="shared" si="3"/>
        <v>7</v>
      </c>
      <c r="AF25" s="70">
        <f t="shared" si="4"/>
        <v>106</v>
      </c>
      <c r="AG25" s="81">
        <f t="shared" si="5"/>
        <v>1</v>
      </c>
    </row>
    <row r="26" spans="1:33">
      <c r="A26" s="10" t="s">
        <v>47</v>
      </c>
      <c r="B26" s="54">
        <v>32.770000000000003</v>
      </c>
      <c r="C26" s="54">
        <v>8</v>
      </c>
      <c r="D26" s="54">
        <v>192</v>
      </c>
      <c r="O26" s="60">
        <f t="array" ref="O26:Q28">[1]!ExtractCov(A5:D28,O25)</f>
        <v>32.000000000000007</v>
      </c>
      <c r="P26" s="67">
        <v>1.6000000000000016</v>
      </c>
      <c r="Q26" s="68">
        <v>-208.00000000000003</v>
      </c>
      <c r="S26" t="str">
        <v>Wii Rohith</v>
      </c>
      <c r="T26">
        <f t="shared" si="6"/>
        <v>1</v>
      </c>
      <c r="U26">
        <f t="shared" si="7"/>
        <v>137.15</v>
      </c>
      <c r="V26">
        <f t="shared" si="8"/>
        <v>137.15</v>
      </c>
      <c r="W26" t="e">
        <f t="array" ref="W26">_xlfn.VAR.S(IF($A$5:$A$28=$S26,$B$5:$B$28))</f>
        <v>#DIV/0!</v>
      </c>
      <c r="X26" t="e">
        <f t="shared" si="9"/>
        <v>#DIV/0!</v>
      </c>
      <c r="Y26" t="e">
        <f t="shared" si="10"/>
        <v>#DIV/0!</v>
      </c>
      <c r="Z26" t="e">
        <f t="shared" si="11"/>
        <v>#DIV/0!</v>
      </c>
      <c r="AA26" t="e">
        <f t="shared" si="12"/>
        <v>#DIV/0!</v>
      </c>
      <c r="AC26" t="s">
        <v>47</v>
      </c>
      <c r="AD26" s="70">
        <f t="shared" si="2"/>
        <v>32.770000000000003</v>
      </c>
      <c r="AE26" s="70">
        <f t="shared" si="3"/>
        <v>8</v>
      </c>
      <c r="AF26" s="70">
        <f t="shared" si="4"/>
        <v>192</v>
      </c>
      <c r="AG26" s="82">
        <f t="shared" si="5"/>
        <v>1</v>
      </c>
    </row>
    <row r="27" spans="1:33">
      <c r="A27" s="61">
        <v>80</v>
      </c>
      <c r="B27" s="54">
        <v>32.770000000000003</v>
      </c>
      <c r="C27" s="54">
        <v>8</v>
      </c>
      <c r="D27" s="54">
        <v>192</v>
      </c>
      <c r="O27" s="69">
        <v>1.6000000000000016</v>
      </c>
      <c r="P27" s="70">
        <v>8.000000000000014E-2</v>
      </c>
      <c r="Q27" s="71">
        <v>-10.400000000000009</v>
      </c>
      <c r="S27" t="str">
        <v>Wii Sports</v>
      </c>
      <c r="T27">
        <f t="shared" si="6"/>
        <v>1</v>
      </c>
      <c r="U27">
        <f t="shared" si="7"/>
        <v>82.53</v>
      </c>
      <c r="V27">
        <f t="shared" si="8"/>
        <v>82.53</v>
      </c>
      <c r="W27" t="e">
        <f t="array" ref="W27">_xlfn.VAR.S(IF($A$5:$A$28=$S27,$B$5:$B$28))</f>
        <v>#DIV/0!</v>
      </c>
      <c r="X27" t="e">
        <f t="shared" si="9"/>
        <v>#DIV/0!</v>
      </c>
      <c r="Y27" t="e">
        <f t="shared" si="10"/>
        <v>#DIV/0!</v>
      </c>
      <c r="Z27" t="e">
        <f t="shared" si="11"/>
        <v>#DIV/0!</v>
      </c>
      <c r="AA27" t="e">
        <f t="shared" si="12"/>
        <v>#DIV/0!</v>
      </c>
      <c r="AC27" t="s">
        <v>168</v>
      </c>
      <c r="AD27" s="77">
        <f>AVERAGE(B$5:B$28)</f>
        <v>41.727916666666658</v>
      </c>
      <c r="AE27" s="78">
        <f t="shared" ref="AE27:AF27" si="13">AVERAGE(C$5:C$28)</f>
        <v>10.341666666666667</v>
      </c>
      <c r="AF27" s="79">
        <f t="shared" si="13"/>
        <v>178.91666666666666</v>
      </c>
      <c r="AG27" s="83">
        <f>SUM(AG6:AG26)</f>
        <v>24</v>
      </c>
    </row>
    <row r="28" spans="1:33">
      <c r="A28" s="10" t="s">
        <v>83</v>
      </c>
      <c r="B28" s="54">
        <v>341.39</v>
      </c>
      <c r="C28" s="54">
        <v>85.3</v>
      </c>
      <c r="D28" s="54">
        <v>1480</v>
      </c>
      <c r="O28" s="72">
        <v>-208.00000000000003</v>
      </c>
      <c r="P28" s="73">
        <v>-10.400000000000009</v>
      </c>
      <c r="Q28" s="74">
        <v>1352</v>
      </c>
      <c r="S28" t="str">
        <v>Wii Sports Club</v>
      </c>
      <c r="T28">
        <f t="shared" si="6"/>
        <v>1</v>
      </c>
      <c r="U28">
        <f t="shared" si="7"/>
        <v>0.38</v>
      </c>
      <c r="V28">
        <f t="shared" si="8"/>
        <v>0.38</v>
      </c>
      <c r="W28" t="e">
        <f t="array" ref="W28">_xlfn.VAR.S(IF($A$5:$A$28=$S28,$B$5:$B$28))</f>
        <v>#DIV/0!</v>
      </c>
      <c r="X28" t="e">
        <f t="shared" si="9"/>
        <v>#DIV/0!</v>
      </c>
      <c r="Y28" t="e">
        <f t="shared" si="10"/>
        <v>#DIV/0!</v>
      </c>
      <c r="Z28" t="e">
        <f t="shared" si="11"/>
        <v>#DIV/0!</v>
      </c>
      <c r="AA28" t="e">
        <f t="shared" si="12"/>
        <v>#DIV/0!</v>
      </c>
    </row>
    <row r="29" spans="1:33">
      <c r="S29" t="str">
        <v>Wii Sports Resort</v>
      </c>
      <c r="T29">
        <f t="shared" si="6"/>
        <v>1</v>
      </c>
      <c r="U29">
        <f t="shared" si="7"/>
        <v>32.770000000000003</v>
      </c>
      <c r="V29">
        <f t="shared" si="8"/>
        <v>32.770000000000003</v>
      </c>
      <c r="W29" t="e">
        <f t="array" ref="W29">_xlfn.VAR.S(IF($A$5:$A$28=$S29,$B$5:$B$28))</f>
        <v>#DIV/0!</v>
      </c>
      <c r="X29" t="e">
        <f t="shared" si="9"/>
        <v>#DIV/0!</v>
      </c>
      <c r="Y29" t="e">
        <f t="shared" si="10"/>
        <v>#DIV/0!</v>
      </c>
      <c r="Z29" t="e">
        <f t="shared" si="11"/>
        <v>#DIV/0!</v>
      </c>
      <c r="AA29" t="e">
        <f t="shared" si="12"/>
        <v>#DIV/0!</v>
      </c>
    </row>
    <row r="30" spans="1:33">
      <c r="O30">
        <v>72</v>
      </c>
      <c r="S30" s="75"/>
      <c r="T30" s="75"/>
      <c r="U30" s="75"/>
      <c r="V30" s="75"/>
      <c r="W30" s="75"/>
      <c r="X30" s="75"/>
      <c r="Y30" s="75"/>
      <c r="Z30" s="75"/>
      <c r="AA30" s="75"/>
    </row>
    <row r="31" spans="1:33" ht="15" thickBot="1">
      <c r="O31" s="60" t="e">
        <f t="array" ref="O31:Q33">[1]!ExtractCov(A5:D28,O30)</f>
        <v>#VALUE!</v>
      </c>
      <c r="P31" s="67" t="e">
        <v>#VALUE!</v>
      </c>
      <c r="Q31" s="68" t="e">
        <v>#VALUE!</v>
      </c>
      <c r="S31" t="s">
        <v>159</v>
      </c>
    </row>
    <row r="32" spans="1:33" ht="15" thickTop="1">
      <c r="O32" s="69" t="e">
        <v>#VALUE!</v>
      </c>
      <c r="P32" s="70" t="e">
        <v>#VALUE!</v>
      </c>
      <c r="Q32" s="71" t="e">
        <v>#VALUE!</v>
      </c>
      <c r="S32" s="66" t="s">
        <v>192</v>
      </c>
      <c r="T32" s="66" t="s">
        <v>161</v>
      </c>
      <c r="U32" s="66" t="s">
        <v>145</v>
      </c>
      <c r="V32" s="66" t="s">
        <v>162</v>
      </c>
      <c r="W32" s="66" t="s">
        <v>163</v>
      </c>
      <c r="X32" s="66" t="s">
        <v>193</v>
      </c>
      <c r="Y32" s="66" t="s">
        <v>194</v>
      </c>
      <c r="Z32" s="66" t="s">
        <v>195</v>
      </c>
      <c r="AA32" s="66" t="s">
        <v>196</v>
      </c>
    </row>
    <row r="33" spans="15:27">
      <c r="O33" s="72" t="e">
        <v>#VALUE!</v>
      </c>
      <c r="P33" s="73" t="e">
        <v>#VALUE!</v>
      </c>
      <c r="Q33" s="74" t="e">
        <v>#VALUE!</v>
      </c>
      <c r="S33" t="s">
        <v>166</v>
      </c>
      <c r="T33" t="e">
        <f>T35-T34</f>
        <v>#DIV/0!</v>
      </c>
      <c r="U33">
        <f>[1]!COUNTAU(A5:A28)-1</f>
        <v>20</v>
      </c>
      <c r="V33" t="e">
        <f>T33/U33</f>
        <v>#DIV/0!</v>
      </c>
      <c r="W33" t="e">
        <f>V33/V34</f>
        <v>#DIV/0!</v>
      </c>
      <c r="X33" t="e">
        <f>_xlfn.F.DIST.RT(W33,U33,U34)</f>
        <v>#DIV/0!</v>
      </c>
      <c r="Y33" t="e">
        <f>T33/T35</f>
        <v>#DIV/0!</v>
      </c>
      <c r="Z33" t="e">
        <f>SQRT(DEVSQ(V9:V29)/(V34*U33))</f>
        <v>#DIV/0!</v>
      </c>
      <c r="AA33" t="e">
        <f>(T35-U35*V34)/(T35+V34)</f>
        <v>#DIV/0!</v>
      </c>
    </row>
    <row r="34" spans="15:27">
      <c r="S34" t="s">
        <v>167</v>
      </c>
      <c r="T34" t="e">
        <f>SUM(X9:X29)</f>
        <v>#DIV/0!</v>
      </c>
      <c r="U34">
        <f>U35-U33</f>
        <v>3</v>
      </c>
      <c r="V34" t="e">
        <f>T34/U34</f>
        <v>#DIV/0!</v>
      </c>
    </row>
    <row r="35" spans="15:27">
      <c r="O35">
        <v>76</v>
      </c>
      <c r="S35" s="76" t="s">
        <v>168</v>
      </c>
      <c r="T35" s="76">
        <f>DEVSQ(B5:B28)</f>
        <v>131457.02439583332</v>
      </c>
      <c r="U35" s="76">
        <f>COUNT(B5:B28)-1</f>
        <v>23</v>
      </c>
      <c r="V35" s="76">
        <f>T35/U35</f>
        <v>5715.5227998188402</v>
      </c>
      <c r="W35" s="76"/>
      <c r="X35" s="76"/>
      <c r="Y35" s="76"/>
      <c r="Z35" s="76"/>
      <c r="AA35" s="76"/>
    </row>
    <row r="36" spans="15:27">
      <c r="O36" s="60" t="e">
        <f t="array" ref="O36:Q38">[1]!ExtractCov(A5:D28,O35)</f>
        <v>#VALUE!</v>
      </c>
      <c r="P36" s="67" t="e">
        <v>#VALUE!</v>
      </c>
      <c r="Q36" s="68" t="e">
        <v>#VALUE!</v>
      </c>
    </row>
    <row r="37" spans="15:27">
      <c r="O37" s="69" t="e">
        <v>#VALUE!</v>
      </c>
      <c r="P37" s="70" t="e">
        <v>#VALUE!</v>
      </c>
      <c r="Q37" s="71" t="e">
        <v>#VALUE!</v>
      </c>
      <c r="S37" t="s">
        <v>186</v>
      </c>
      <c r="V37">
        <f>C4</f>
        <v>7.7</v>
      </c>
    </row>
    <row r="38" spans="15:27">
      <c r="O38" s="72" t="e">
        <v>#VALUE!</v>
      </c>
      <c r="P38" s="73" t="e">
        <v>#VALUE!</v>
      </c>
      <c r="Q38" s="74" t="e">
        <v>#VALUE!</v>
      </c>
    </row>
    <row r="39" spans="15:27" ht="15" thickBot="1">
      <c r="S39" t="s">
        <v>187</v>
      </c>
      <c r="X39" t="s">
        <v>188</v>
      </c>
      <c r="Y39" s="54">
        <v>1.6666666666666666E-2</v>
      </c>
    </row>
    <row r="40" spans="15:27" ht="15" thickTop="1">
      <c r="O40">
        <v>78</v>
      </c>
      <c r="S40" s="66" t="s">
        <v>157</v>
      </c>
      <c r="T40" s="66" t="s">
        <v>70</v>
      </c>
      <c r="U40" s="66" t="s">
        <v>69</v>
      </c>
      <c r="V40" s="66" t="s">
        <v>58</v>
      </c>
      <c r="W40" s="66" t="s">
        <v>141</v>
      </c>
      <c r="X40" s="66" t="s">
        <v>161</v>
      </c>
      <c r="Y40" s="66" t="s">
        <v>189</v>
      </c>
      <c r="Z40" s="66" t="s">
        <v>190</v>
      </c>
      <c r="AA40" s="66" t="s">
        <v>191</v>
      </c>
    </row>
    <row r="41" spans="15:27">
      <c r="O41" s="60" t="e">
        <f t="array" ref="O41:Q43">[1]!ExtractCov(A5:D28,O40)</f>
        <v>#VALUE!</v>
      </c>
      <c r="P41" s="67" t="e">
        <v>#VALUE!</v>
      </c>
      <c r="Q41" s="68" t="e">
        <v>#VALUE!</v>
      </c>
      <c r="S41">
        <f t="array" ref="S41:S61">[1]!SortUnique(A5:A28)</f>
        <v>58</v>
      </c>
      <c r="T41">
        <f>COUNTIF($A$5:$A$28,$S41)</f>
        <v>1</v>
      </c>
      <c r="U41">
        <f>SUMIF($A$5:$A$28,$S41,$C$5:$C$28)</f>
        <v>6.6</v>
      </c>
      <c r="V41">
        <f>AVERAGEIF($A$5:$A$28,$S41,$C$5:$C$28)</f>
        <v>6.6</v>
      </c>
      <c r="W41" t="e">
        <f t="array" ref="W41">_xlfn.VAR.S(IF($A$5:$A$28=$S41,$C$5:$C$28))</f>
        <v>#DIV/0!</v>
      </c>
      <c r="X41" t="e">
        <f>($T41-1)*W41</f>
        <v>#DIV/0!</v>
      </c>
      <c r="Y41" t="e">
        <f>SQRT(V$66/T41)</f>
        <v>#DIV/0!</v>
      </c>
      <c r="Z41" t="e">
        <f>V41-Y41*_xlfn.T.INV.2T(Y$39,U$66)</f>
        <v>#DIV/0!</v>
      </c>
      <c r="AA41" t="e">
        <f>V41+Y41*_xlfn.T.INV.2T(Y$39,U$66)</f>
        <v>#DIV/0!</v>
      </c>
    </row>
    <row r="42" spans="15:27">
      <c r="O42" s="69" t="e">
        <v>#VALUE!</v>
      </c>
      <c r="P42" s="70" t="e">
        <v>#VALUE!</v>
      </c>
      <c r="Q42" s="71" t="e">
        <v>#VALUE!</v>
      </c>
      <c r="S42">
        <v>60</v>
      </c>
      <c r="T42">
        <f t="shared" ref="T42:T61" si="14">COUNTIF($A$5:$A$28,$S42)</f>
        <v>1</v>
      </c>
      <c r="U42">
        <f t="shared" ref="U42:U61" si="15">SUMIF($A$5:$A$28,$S42,$C$5:$C$28)</f>
        <v>6.1</v>
      </c>
      <c r="V42">
        <f t="shared" ref="V42:V61" si="16">AVERAGEIF($A$5:$A$28,$S42,$C$5:$C$28)</f>
        <v>6.1</v>
      </c>
      <c r="W42" t="e">
        <f t="array" ref="W42">_xlfn.VAR.S(IF($A$5:$A$28=$S42,$C$5:$C$28))</f>
        <v>#DIV/0!</v>
      </c>
      <c r="X42" t="e">
        <f t="shared" ref="X42:X61" si="17">($T42-1)*W42</f>
        <v>#DIV/0!</v>
      </c>
      <c r="Y42" t="e">
        <f t="shared" ref="Y42:Y61" si="18">SQRT(V$66/T42)</f>
        <v>#DIV/0!</v>
      </c>
      <c r="Z42" t="e">
        <f t="shared" ref="Z42:Z61" si="19">V42-Y42*_xlfn.T.INV.2T(Y$39,U$66)</f>
        <v>#DIV/0!</v>
      </c>
      <c r="AA42" t="e">
        <f t="shared" ref="AA42:AA61" si="20">V42+Y42*_xlfn.T.INV.2T(Y$39,U$66)</f>
        <v>#DIV/0!</v>
      </c>
    </row>
    <row r="43" spans="15:27">
      <c r="O43" s="72" t="e">
        <v>#VALUE!</v>
      </c>
      <c r="P43" s="73" t="e">
        <v>#VALUE!</v>
      </c>
      <c r="Q43" s="74" t="e">
        <v>#VALUE!</v>
      </c>
      <c r="S43">
        <v>63</v>
      </c>
      <c r="T43">
        <f t="shared" si="14"/>
        <v>1</v>
      </c>
      <c r="U43">
        <f t="shared" si="15"/>
        <v>4.5999999999999996</v>
      </c>
      <c r="V43">
        <f t="shared" si="16"/>
        <v>4.5999999999999996</v>
      </c>
      <c r="W43" t="e">
        <f t="array" ref="W43">_xlfn.VAR.S(IF($A$5:$A$28=$S43,$C$5:$C$28))</f>
        <v>#DIV/0!</v>
      </c>
      <c r="X43" t="e">
        <f t="shared" si="17"/>
        <v>#DIV/0!</v>
      </c>
      <c r="Y43" t="e">
        <f t="shared" si="18"/>
        <v>#DIV/0!</v>
      </c>
      <c r="Z43" t="e">
        <f t="shared" si="19"/>
        <v>#DIV/0!</v>
      </c>
      <c r="AA43" t="e">
        <f t="shared" si="20"/>
        <v>#DIV/0!</v>
      </c>
    </row>
    <row r="44" spans="15:27">
      <c r="S44">
        <v>65</v>
      </c>
      <c r="T44">
        <f t="shared" si="14"/>
        <v>1</v>
      </c>
      <c r="U44">
        <f t="shared" si="15"/>
        <v>6.8</v>
      </c>
      <c r="V44">
        <f t="shared" si="16"/>
        <v>6.8</v>
      </c>
      <c r="W44" t="e">
        <f t="array" ref="W44">_xlfn.VAR.S(IF($A$5:$A$28=$S44,$C$5:$C$28))</f>
        <v>#DIV/0!</v>
      </c>
      <c r="X44" t="e">
        <f t="shared" si="17"/>
        <v>#DIV/0!</v>
      </c>
      <c r="Y44" t="e">
        <f t="shared" si="18"/>
        <v>#DIV/0!</v>
      </c>
      <c r="Z44" t="e">
        <f t="shared" si="19"/>
        <v>#DIV/0!</v>
      </c>
      <c r="AA44" t="e">
        <f t="shared" si="20"/>
        <v>#DIV/0!</v>
      </c>
    </row>
    <row r="45" spans="15:27">
      <c r="O45">
        <v>80</v>
      </c>
      <c r="S45">
        <v>68</v>
      </c>
      <c r="T45">
        <f t="shared" si="14"/>
        <v>2</v>
      </c>
      <c r="U45">
        <f t="shared" si="15"/>
        <v>14.4</v>
      </c>
      <c r="V45">
        <f t="shared" si="16"/>
        <v>7.2</v>
      </c>
      <c r="W45">
        <f t="array" ref="W45">_xlfn.VAR.S(IF($A$5:$A$28=$S45,$C$5:$C$28))</f>
        <v>8.000000000000014E-2</v>
      </c>
      <c r="X45">
        <f t="shared" si="17"/>
        <v>8.000000000000014E-2</v>
      </c>
      <c r="Y45" t="e">
        <f t="shared" si="18"/>
        <v>#DIV/0!</v>
      </c>
      <c r="Z45" t="e">
        <f t="shared" si="19"/>
        <v>#DIV/0!</v>
      </c>
      <c r="AA45" t="e">
        <f t="shared" si="20"/>
        <v>#DIV/0!</v>
      </c>
    </row>
    <row r="46" spans="15:27">
      <c r="O46" s="60">
        <f t="array" ref="O46:Q48">[1]!ExtractCov(A5:D28,O45)</f>
        <v>37.13223333333336</v>
      </c>
      <c r="P46" s="67">
        <v>1.6469999999999996</v>
      </c>
      <c r="Q46" s="68">
        <v>347.66000000000008</v>
      </c>
      <c r="S46">
        <v>72</v>
      </c>
      <c r="T46">
        <f t="shared" si="14"/>
        <v>1</v>
      </c>
      <c r="U46">
        <f t="shared" si="15"/>
        <v>7.7</v>
      </c>
      <c r="V46">
        <f t="shared" si="16"/>
        <v>7.7</v>
      </c>
      <c r="W46" t="e">
        <f t="array" ref="W46">_xlfn.VAR.S(IF($A$5:$A$28=$S46,$C$5:$C$28))</f>
        <v>#DIV/0!</v>
      </c>
      <c r="X46" t="e">
        <f t="shared" si="17"/>
        <v>#DIV/0!</v>
      </c>
      <c r="Y46" t="e">
        <f t="shared" si="18"/>
        <v>#DIV/0!</v>
      </c>
      <c r="Z46" t="e">
        <f t="shared" si="19"/>
        <v>#DIV/0!</v>
      </c>
      <c r="AA46" t="e">
        <f t="shared" si="20"/>
        <v>#DIV/0!</v>
      </c>
    </row>
    <row r="47" spans="15:27">
      <c r="O47" s="69">
        <v>1.6469999999999996</v>
      </c>
      <c r="P47" s="70">
        <v>8.99999999999999E-2</v>
      </c>
      <c r="Q47" s="71">
        <v>20.999999999999986</v>
      </c>
      <c r="S47">
        <v>76</v>
      </c>
      <c r="T47">
        <f t="shared" si="14"/>
        <v>1</v>
      </c>
      <c r="U47">
        <f t="shared" si="15"/>
        <v>8</v>
      </c>
      <c r="V47">
        <f t="shared" si="16"/>
        <v>8</v>
      </c>
      <c r="W47" t="e">
        <f t="array" ref="W47">_xlfn.VAR.S(IF($A$5:$A$28=$S47,$C$5:$C$28))</f>
        <v>#DIV/0!</v>
      </c>
      <c r="X47" t="e">
        <f t="shared" si="17"/>
        <v>#DIV/0!</v>
      </c>
      <c r="Y47" t="e">
        <f t="shared" si="18"/>
        <v>#DIV/0!</v>
      </c>
      <c r="Z47" t="e">
        <f t="shared" si="19"/>
        <v>#DIV/0!</v>
      </c>
      <c r="AA47" t="e">
        <f t="shared" si="20"/>
        <v>#DIV/0!</v>
      </c>
    </row>
    <row r="48" spans="15:27">
      <c r="O48" s="72">
        <v>347.66000000000008</v>
      </c>
      <c r="P48" s="73">
        <v>20.999999999999986</v>
      </c>
      <c r="Q48" s="74">
        <v>5092</v>
      </c>
      <c r="S48">
        <v>78</v>
      </c>
      <c r="T48">
        <f t="shared" si="14"/>
        <v>1</v>
      </c>
      <c r="U48">
        <f t="shared" si="15"/>
        <v>8</v>
      </c>
      <c r="V48">
        <f t="shared" si="16"/>
        <v>8</v>
      </c>
      <c r="W48" t="e">
        <f t="array" ref="W48">_xlfn.VAR.S(IF($A$5:$A$28=$S48,$C$5:$C$28))</f>
        <v>#DIV/0!</v>
      </c>
      <c r="X48" t="e">
        <f t="shared" si="17"/>
        <v>#DIV/0!</v>
      </c>
      <c r="Y48" t="e">
        <f t="shared" si="18"/>
        <v>#DIV/0!</v>
      </c>
      <c r="Z48" t="e">
        <f t="shared" si="19"/>
        <v>#DIV/0!</v>
      </c>
      <c r="AA48" t="e">
        <f t="shared" si="20"/>
        <v>#DIV/0!</v>
      </c>
    </row>
    <row r="49" spans="15:27">
      <c r="S49">
        <v>80</v>
      </c>
      <c r="T49">
        <f t="shared" si="14"/>
        <v>3</v>
      </c>
      <c r="U49">
        <f t="shared" si="15"/>
        <v>23.1</v>
      </c>
      <c r="V49">
        <f t="shared" si="16"/>
        <v>7.7</v>
      </c>
      <c r="W49">
        <f t="array" ref="W49">_xlfn.VAR.S(IF($A$5:$A$28=$S49,$C$5:$C$28))</f>
        <v>8.99999999999999E-2</v>
      </c>
      <c r="X49">
        <f t="shared" si="17"/>
        <v>0.1799999999999998</v>
      </c>
      <c r="Y49" t="e">
        <f t="shared" si="18"/>
        <v>#DIV/0!</v>
      </c>
      <c r="Z49" t="e">
        <f t="shared" si="19"/>
        <v>#DIV/0!</v>
      </c>
      <c r="AA49" t="e">
        <f t="shared" si="20"/>
        <v>#DIV/0!</v>
      </c>
    </row>
    <row r="50" spans="15:27">
      <c r="O50" t="s">
        <v>83</v>
      </c>
      <c r="S50" t="str">
        <v>Grand Total</v>
      </c>
      <c r="T50">
        <f t="shared" si="14"/>
        <v>1</v>
      </c>
      <c r="U50">
        <f t="shared" si="15"/>
        <v>85.3</v>
      </c>
      <c r="V50">
        <f t="shared" si="16"/>
        <v>85.3</v>
      </c>
      <c r="W50" t="e">
        <f t="array" ref="W50">_xlfn.VAR.S(IF($A$5:$A$28=$S50,$C$5:$C$28))</f>
        <v>#DIV/0!</v>
      </c>
      <c r="X50" t="e">
        <f t="shared" si="17"/>
        <v>#DIV/0!</v>
      </c>
      <c r="Y50" t="e">
        <f t="shared" si="18"/>
        <v>#DIV/0!</v>
      </c>
      <c r="Z50" t="e">
        <f t="shared" si="19"/>
        <v>#DIV/0!</v>
      </c>
      <c r="AA50" t="e">
        <f t="shared" si="20"/>
        <v>#DIV/0!</v>
      </c>
    </row>
    <row r="51" spans="15:27">
      <c r="O51" s="60" t="e">
        <f t="array" ref="O51:Q53">[1]!ExtractCov(A5:D28,O50)</f>
        <v>#VALUE!</v>
      </c>
      <c r="P51" s="67" t="e">
        <v>#VALUE!</v>
      </c>
      <c r="Q51" s="68" t="e">
        <v>#VALUE!</v>
      </c>
      <c r="S51" t="str">
        <v>Wii Fit Plus</v>
      </c>
      <c r="T51">
        <f t="shared" si="14"/>
        <v>1</v>
      </c>
      <c r="U51">
        <f t="shared" si="15"/>
        <v>7.4</v>
      </c>
      <c r="V51">
        <f t="shared" si="16"/>
        <v>7.4</v>
      </c>
      <c r="W51" t="e">
        <f t="array" ref="W51">_xlfn.VAR.S(IF($A$5:$A$28=$S51,$C$5:$C$28))</f>
        <v>#DIV/0!</v>
      </c>
      <c r="X51" t="e">
        <f t="shared" si="17"/>
        <v>#DIV/0!</v>
      </c>
      <c r="Y51" t="e">
        <f t="shared" si="18"/>
        <v>#DIV/0!</v>
      </c>
      <c r="Z51" t="e">
        <f t="shared" si="19"/>
        <v>#DIV/0!</v>
      </c>
      <c r="AA51" t="e">
        <f t="shared" si="20"/>
        <v>#DIV/0!</v>
      </c>
    </row>
    <row r="52" spans="15:27">
      <c r="O52" s="69" t="e">
        <v>#VALUE!</v>
      </c>
      <c r="P52" s="70" t="e">
        <v>#VALUE!</v>
      </c>
      <c r="Q52" s="71" t="e">
        <v>#VALUE!</v>
      </c>
      <c r="S52" t="str">
        <v>Wii Fit U</v>
      </c>
      <c r="T52">
        <f t="shared" si="14"/>
        <v>1</v>
      </c>
      <c r="U52">
        <f t="shared" si="15"/>
        <v>7.7</v>
      </c>
      <c r="V52">
        <f t="shared" si="16"/>
        <v>7.7</v>
      </c>
      <c r="W52" t="e">
        <f t="array" ref="W52">_xlfn.VAR.S(IF($A$5:$A$28=$S52,$C$5:$C$28))</f>
        <v>#DIV/0!</v>
      </c>
      <c r="X52" t="e">
        <f t="shared" si="17"/>
        <v>#DIV/0!</v>
      </c>
      <c r="Y52" t="e">
        <f t="shared" si="18"/>
        <v>#DIV/0!</v>
      </c>
      <c r="Z52" t="e">
        <f t="shared" si="19"/>
        <v>#DIV/0!</v>
      </c>
      <c r="AA52" t="e">
        <f t="shared" si="20"/>
        <v>#DIV/0!</v>
      </c>
    </row>
    <row r="53" spans="15:27">
      <c r="O53" s="72" t="e">
        <v>#VALUE!</v>
      </c>
      <c r="P53" s="73" t="e">
        <v>#VALUE!</v>
      </c>
      <c r="Q53" s="74" t="e">
        <v>#VALUE!</v>
      </c>
      <c r="S53" t="str">
        <v>Wii Music</v>
      </c>
      <c r="T53">
        <f t="shared" si="14"/>
        <v>1</v>
      </c>
      <c r="U53">
        <f t="shared" si="15"/>
        <v>4.5999999999999996</v>
      </c>
      <c r="V53">
        <f t="shared" si="16"/>
        <v>4.5999999999999996</v>
      </c>
      <c r="W53" t="e">
        <f t="array" ref="W53">_xlfn.VAR.S(IF($A$5:$A$28=$S53,$C$5:$C$28))</f>
        <v>#DIV/0!</v>
      </c>
      <c r="X53" t="e">
        <f t="shared" si="17"/>
        <v>#DIV/0!</v>
      </c>
      <c r="Y53" t="e">
        <f t="shared" si="18"/>
        <v>#DIV/0!</v>
      </c>
      <c r="Z53" t="e">
        <f t="shared" si="19"/>
        <v>#DIV/0!</v>
      </c>
      <c r="AA53" t="e">
        <f t="shared" si="20"/>
        <v>#DIV/0!</v>
      </c>
    </row>
    <row r="54" spans="15:27">
      <c r="S54" t="str">
        <v>Wii Party</v>
      </c>
      <c r="T54">
        <f t="shared" si="14"/>
        <v>1</v>
      </c>
      <c r="U54">
        <f t="shared" si="15"/>
        <v>7.4</v>
      </c>
      <c r="V54">
        <f t="shared" si="16"/>
        <v>7.4</v>
      </c>
      <c r="W54" t="e">
        <f t="array" ref="W54">_xlfn.VAR.S(IF($A$5:$A$28=$S54,$C$5:$C$28))</f>
        <v>#DIV/0!</v>
      </c>
      <c r="X54" t="e">
        <f t="shared" si="17"/>
        <v>#DIV/0!</v>
      </c>
      <c r="Y54" t="e">
        <f t="shared" si="18"/>
        <v>#DIV/0!</v>
      </c>
      <c r="Z54" t="e">
        <f t="shared" si="19"/>
        <v>#DIV/0!</v>
      </c>
      <c r="AA54" t="e">
        <f t="shared" si="20"/>
        <v>#DIV/0!</v>
      </c>
    </row>
    <row r="55" spans="15:27">
      <c r="O55" t="s">
        <v>33</v>
      </c>
      <c r="S55" t="str">
        <v>Wii Party U</v>
      </c>
      <c r="T55">
        <f t="shared" si="14"/>
        <v>1</v>
      </c>
      <c r="U55">
        <f t="shared" si="15"/>
        <v>6.8</v>
      </c>
      <c r="V55">
        <f t="shared" si="16"/>
        <v>6.8</v>
      </c>
      <c r="W55" t="e">
        <f t="array" ref="W55">_xlfn.VAR.S(IF($A$5:$A$28=$S55,$C$5:$C$28))</f>
        <v>#DIV/0!</v>
      </c>
      <c r="X55" t="e">
        <f t="shared" si="17"/>
        <v>#DIV/0!</v>
      </c>
      <c r="Y55" t="e">
        <f t="shared" si="18"/>
        <v>#DIV/0!</v>
      </c>
      <c r="Z55" t="e">
        <f t="shared" si="19"/>
        <v>#DIV/0!</v>
      </c>
      <c r="AA55" t="e">
        <f t="shared" si="20"/>
        <v>#DIV/0!</v>
      </c>
    </row>
    <row r="56" spans="15:27">
      <c r="O56" s="60" t="e">
        <f t="array" ref="O56:Q58">[1]!ExtractCov(A5:D28,O55)</f>
        <v>#VALUE!</v>
      </c>
      <c r="P56" s="67" t="e">
        <v>#VALUE!</v>
      </c>
      <c r="Q56" s="68" t="e">
        <v>#VALUE!</v>
      </c>
      <c r="S56" t="str">
        <v>Wii Play</v>
      </c>
      <c r="T56">
        <f t="shared" si="14"/>
        <v>1</v>
      </c>
      <c r="U56">
        <f t="shared" si="15"/>
        <v>6.6</v>
      </c>
      <c r="V56">
        <f t="shared" si="16"/>
        <v>6.6</v>
      </c>
      <c r="W56" t="e">
        <f t="array" ref="W56">_xlfn.VAR.S(IF($A$5:$A$28=$S56,$C$5:$C$28))</f>
        <v>#DIV/0!</v>
      </c>
      <c r="X56" t="e">
        <f t="shared" si="17"/>
        <v>#DIV/0!</v>
      </c>
      <c r="Y56" t="e">
        <f t="shared" si="18"/>
        <v>#DIV/0!</v>
      </c>
      <c r="Z56" t="e">
        <f t="shared" si="19"/>
        <v>#DIV/0!</v>
      </c>
      <c r="AA56" t="e">
        <f t="shared" si="20"/>
        <v>#DIV/0!</v>
      </c>
    </row>
    <row r="57" spans="15:27">
      <c r="O57" s="69" t="e">
        <v>#VALUE!</v>
      </c>
      <c r="P57" s="70" t="e">
        <v>#VALUE!</v>
      </c>
      <c r="Q57" s="71" t="e">
        <v>#VALUE!</v>
      </c>
      <c r="S57" t="str">
        <v>Wii Play: Motion</v>
      </c>
      <c r="T57">
        <f t="shared" si="14"/>
        <v>1</v>
      </c>
      <c r="U57">
        <f t="shared" si="15"/>
        <v>6.1</v>
      </c>
      <c r="V57">
        <f t="shared" si="16"/>
        <v>6.1</v>
      </c>
      <c r="W57" t="e">
        <f t="array" ref="W57">_xlfn.VAR.S(IF($A$5:$A$28=$S57,$C$5:$C$28))</f>
        <v>#DIV/0!</v>
      </c>
      <c r="X57" t="e">
        <f t="shared" si="17"/>
        <v>#DIV/0!</v>
      </c>
      <c r="Y57" t="e">
        <f t="shared" si="18"/>
        <v>#DIV/0!</v>
      </c>
      <c r="Z57" t="e">
        <f t="shared" si="19"/>
        <v>#DIV/0!</v>
      </c>
      <c r="AA57" t="e">
        <f t="shared" si="20"/>
        <v>#DIV/0!</v>
      </c>
    </row>
    <row r="58" spans="15:27">
      <c r="O58" s="72" t="e">
        <v>#VALUE!</v>
      </c>
      <c r="P58" s="73" t="e">
        <v>#VALUE!</v>
      </c>
      <c r="Q58" s="74" t="e">
        <v>#VALUE!</v>
      </c>
      <c r="S58" t="str">
        <v>Wii Rohith</v>
      </c>
      <c r="T58">
        <f t="shared" si="14"/>
        <v>1</v>
      </c>
      <c r="U58">
        <f t="shared" si="15"/>
        <v>8</v>
      </c>
      <c r="V58">
        <f t="shared" si="16"/>
        <v>8</v>
      </c>
      <c r="W58" t="e">
        <f t="array" ref="W58">_xlfn.VAR.S(IF($A$5:$A$28=$S58,$C$5:$C$28))</f>
        <v>#DIV/0!</v>
      </c>
      <c r="X58" t="e">
        <f t="shared" si="17"/>
        <v>#DIV/0!</v>
      </c>
      <c r="Y58" t="e">
        <f t="shared" si="18"/>
        <v>#DIV/0!</v>
      </c>
      <c r="Z58" t="e">
        <f t="shared" si="19"/>
        <v>#DIV/0!</v>
      </c>
      <c r="AA58" t="e">
        <f t="shared" si="20"/>
        <v>#DIV/0!</v>
      </c>
    </row>
    <row r="59" spans="15:27">
      <c r="S59" t="str">
        <v>Wii Sports</v>
      </c>
      <c r="T59">
        <f t="shared" si="14"/>
        <v>1</v>
      </c>
      <c r="U59">
        <f t="shared" si="15"/>
        <v>8</v>
      </c>
      <c r="V59">
        <f t="shared" si="16"/>
        <v>8</v>
      </c>
      <c r="W59" t="e">
        <f t="array" ref="W59">_xlfn.VAR.S(IF($A$5:$A$28=$S59,$C$5:$C$28))</f>
        <v>#DIV/0!</v>
      </c>
      <c r="X59" t="e">
        <f t="shared" si="17"/>
        <v>#DIV/0!</v>
      </c>
      <c r="Y59" t="e">
        <f t="shared" si="18"/>
        <v>#DIV/0!</v>
      </c>
      <c r="Z59" t="e">
        <f t="shared" si="19"/>
        <v>#DIV/0!</v>
      </c>
      <c r="AA59" t="e">
        <f t="shared" si="20"/>
        <v>#DIV/0!</v>
      </c>
    </row>
    <row r="60" spans="15:27">
      <c r="O60" t="s">
        <v>35</v>
      </c>
      <c r="S60" t="str">
        <v>Wii Sports Club</v>
      </c>
      <c r="T60">
        <f t="shared" si="14"/>
        <v>1</v>
      </c>
      <c r="U60">
        <f t="shared" si="15"/>
        <v>7</v>
      </c>
      <c r="V60">
        <f t="shared" si="16"/>
        <v>7</v>
      </c>
      <c r="W60" t="e">
        <f t="array" ref="W60">_xlfn.VAR.S(IF($A$5:$A$28=$S60,$C$5:$C$28))</f>
        <v>#DIV/0!</v>
      </c>
      <c r="X60" t="e">
        <f t="shared" si="17"/>
        <v>#DIV/0!</v>
      </c>
      <c r="Y60" t="e">
        <f t="shared" si="18"/>
        <v>#DIV/0!</v>
      </c>
      <c r="Z60" t="e">
        <f t="shared" si="19"/>
        <v>#DIV/0!</v>
      </c>
      <c r="AA60" t="e">
        <f t="shared" si="20"/>
        <v>#DIV/0!</v>
      </c>
    </row>
    <row r="61" spans="15:27">
      <c r="O61" s="60" t="e">
        <f t="array" ref="O61:Q63">[1]!ExtractCov(A5:D28,O60)</f>
        <v>#VALUE!</v>
      </c>
      <c r="P61" s="67" t="e">
        <v>#VALUE!</v>
      </c>
      <c r="Q61" s="68" t="e">
        <v>#VALUE!</v>
      </c>
      <c r="S61" t="str">
        <v>Wii Sports Resort</v>
      </c>
      <c r="T61">
        <f t="shared" si="14"/>
        <v>1</v>
      </c>
      <c r="U61">
        <f t="shared" si="15"/>
        <v>8</v>
      </c>
      <c r="V61">
        <f t="shared" si="16"/>
        <v>8</v>
      </c>
      <c r="W61" t="e">
        <f t="array" ref="W61">_xlfn.VAR.S(IF($A$5:$A$28=$S61,$C$5:$C$28))</f>
        <v>#DIV/0!</v>
      </c>
      <c r="X61" t="e">
        <f t="shared" si="17"/>
        <v>#DIV/0!</v>
      </c>
      <c r="Y61" t="e">
        <f t="shared" si="18"/>
        <v>#DIV/0!</v>
      </c>
      <c r="Z61" t="e">
        <f t="shared" si="19"/>
        <v>#DIV/0!</v>
      </c>
      <c r="AA61" t="e">
        <f t="shared" si="20"/>
        <v>#DIV/0!</v>
      </c>
    </row>
    <row r="62" spans="15:27">
      <c r="O62" s="69" t="e">
        <v>#VALUE!</v>
      </c>
      <c r="P62" s="70" t="e">
        <v>#VALUE!</v>
      </c>
      <c r="Q62" s="71" t="e">
        <v>#VALUE!</v>
      </c>
      <c r="S62" s="75"/>
      <c r="T62" s="75"/>
      <c r="U62" s="75"/>
      <c r="V62" s="75"/>
      <c r="W62" s="75"/>
      <c r="X62" s="75"/>
      <c r="Y62" s="75"/>
      <c r="Z62" s="75"/>
      <c r="AA62" s="75"/>
    </row>
    <row r="63" spans="15:27" ht="15" thickBot="1">
      <c r="O63" s="72" t="e">
        <v>#VALUE!</v>
      </c>
      <c r="P63" s="73" t="e">
        <v>#VALUE!</v>
      </c>
      <c r="Q63" s="74" t="e">
        <v>#VALUE!</v>
      </c>
      <c r="S63" t="s">
        <v>159</v>
      </c>
    </row>
    <row r="64" spans="15:27" ht="15" thickTop="1">
      <c r="S64" s="66" t="s">
        <v>192</v>
      </c>
      <c r="T64" s="66" t="s">
        <v>161</v>
      </c>
      <c r="U64" s="66" t="s">
        <v>145</v>
      </c>
      <c r="V64" s="66" t="s">
        <v>162</v>
      </c>
      <c r="W64" s="66" t="s">
        <v>163</v>
      </c>
      <c r="X64" s="66" t="s">
        <v>193</v>
      </c>
      <c r="Y64" s="66" t="s">
        <v>194</v>
      </c>
      <c r="Z64" s="66" t="s">
        <v>195</v>
      </c>
      <c r="AA64" s="66" t="s">
        <v>196</v>
      </c>
    </row>
    <row r="65" spans="15:27">
      <c r="O65" t="s">
        <v>38</v>
      </c>
      <c r="S65" t="s">
        <v>166</v>
      </c>
      <c r="T65" t="e">
        <f>T67-T66</f>
        <v>#DIV/0!</v>
      </c>
      <c r="U65">
        <f>[1]!COUNTAU(A5:A28)-1</f>
        <v>20</v>
      </c>
      <c r="V65" t="e">
        <f>T65/U65</f>
        <v>#DIV/0!</v>
      </c>
      <c r="W65" t="e">
        <f>V65/V66</f>
        <v>#DIV/0!</v>
      </c>
      <c r="X65" t="e">
        <f>_xlfn.F.DIST.RT(W65,U65,U66)</f>
        <v>#DIV/0!</v>
      </c>
      <c r="Y65" t="e">
        <f>T65/T67</f>
        <v>#DIV/0!</v>
      </c>
      <c r="Z65" t="e">
        <f>SQRT(DEVSQ(V41:V61)/(V66*U65))</f>
        <v>#DIV/0!</v>
      </c>
      <c r="AA65" t="e">
        <f>(T67-U67*V66)/(T67+V66)</f>
        <v>#DIV/0!</v>
      </c>
    </row>
    <row r="66" spans="15:27">
      <c r="O66" s="60" t="e">
        <f t="array" ref="O66:Q68">[1]!ExtractCov(A5:D28,O65)</f>
        <v>#VALUE!</v>
      </c>
      <c r="P66" s="67" t="e">
        <v>#VALUE!</v>
      </c>
      <c r="Q66" s="68" t="e">
        <v>#VALUE!</v>
      </c>
      <c r="S66" t="s">
        <v>167</v>
      </c>
      <c r="T66" t="e">
        <f>SUM(X41:X61)</f>
        <v>#DIV/0!</v>
      </c>
      <c r="U66">
        <f>U67-U65</f>
        <v>3</v>
      </c>
      <c r="V66" t="e">
        <f>T66/U66</f>
        <v>#DIV/0!</v>
      </c>
    </row>
    <row r="67" spans="15:27">
      <c r="O67" s="69" t="e">
        <v>#VALUE!</v>
      </c>
      <c r="P67" s="70" t="e">
        <v>#VALUE!</v>
      </c>
      <c r="Q67" s="71" t="e">
        <v>#VALUE!</v>
      </c>
      <c r="S67" s="76" t="s">
        <v>168</v>
      </c>
      <c r="T67" s="76">
        <f>DEVSQ(C5:C28)</f>
        <v>5884.538333333333</v>
      </c>
      <c r="U67" s="76">
        <f>COUNT(C5:C28)-1</f>
        <v>23</v>
      </c>
      <c r="V67" s="76">
        <f>T67/U67</f>
        <v>255.84949275362317</v>
      </c>
      <c r="W67" s="76"/>
      <c r="X67" s="76"/>
      <c r="Y67" s="76"/>
      <c r="Z67" s="76"/>
      <c r="AA67" s="76"/>
    </row>
    <row r="68" spans="15:27">
      <c r="O68" s="72" t="e">
        <v>#VALUE!</v>
      </c>
      <c r="P68" s="73" t="e">
        <v>#VALUE!</v>
      </c>
      <c r="Q68" s="74" t="e">
        <v>#VALUE!</v>
      </c>
    </row>
    <row r="69" spans="15:27">
      <c r="S69" t="s">
        <v>186</v>
      </c>
      <c r="V69">
        <f>D4</f>
        <v>146</v>
      </c>
    </row>
    <row r="70" spans="15:27">
      <c r="O70" t="s">
        <v>39</v>
      </c>
    </row>
    <row r="71" spans="15:27" ht="15" thickBot="1">
      <c r="O71" s="60" t="e">
        <f t="array" ref="O71:Q73">[1]!ExtractCov(A5:D28,O70)</f>
        <v>#VALUE!</v>
      </c>
      <c r="P71" s="67" t="e">
        <v>#VALUE!</v>
      </c>
      <c r="Q71" s="68" t="e">
        <v>#VALUE!</v>
      </c>
      <c r="S71" t="s">
        <v>187</v>
      </c>
      <c r="X71" t="s">
        <v>188</v>
      </c>
      <c r="Y71" s="54">
        <v>1.6666666666666666E-2</v>
      </c>
    </row>
    <row r="72" spans="15:27" ht="15" thickTop="1">
      <c r="O72" s="69" t="e">
        <v>#VALUE!</v>
      </c>
      <c r="P72" s="70" t="e">
        <v>#VALUE!</v>
      </c>
      <c r="Q72" s="71" t="e">
        <v>#VALUE!</v>
      </c>
      <c r="S72" s="66" t="s">
        <v>157</v>
      </c>
      <c r="T72" s="66" t="s">
        <v>70</v>
      </c>
      <c r="U72" s="66" t="s">
        <v>69</v>
      </c>
      <c r="V72" s="66" t="s">
        <v>58</v>
      </c>
      <c r="W72" s="66" t="s">
        <v>141</v>
      </c>
      <c r="X72" s="66" t="s">
        <v>161</v>
      </c>
      <c r="Y72" s="66" t="s">
        <v>189</v>
      </c>
      <c r="Z72" s="66" t="s">
        <v>190</v>
      </c>
      <c r="AA72" s="66" t="s">
        <v>191</v>
      </c>
    </row>
    <row r="73" spans="15:27">
      <c r="O73" s="72" t="e">
        <v>#VALUE!</v>
      </c>
      <c r="P73" s="73" t="e">
        <v>#VALUE!</v>
      </c>
      <c r="Q73" s="74" t="e">
        <v>#VALUE!</v>
      </c>
      <c r="S73">
        <f t="array" ref="S73:S93">[1]!SortUnique(A5:A28)</f>
        <v>58</v>
      </c>
      <c r="T73">
        <f>COUNTIF($A$5:$A$28,$S73)</f>
        <v>1</v>
      </c>
      <c r="U73">
        <f>SUMIF($A$5:$A$28,$S73,$D$5:$D$28)</f>
        <v>129</v>
      </c>
      <c r="V73">
        <f>AVERAGEIF($A$5:$A$28,$S73,$D$5:$D$28)</f>
        <v>129</v>
      </c>
      <c r="W73" t="e">
        <f t="array" ref="W73">_xlfn.VAR.S(IF($A$5:$A$28=$S73,$D$5:$D$28))</f>
        <v>#DIV/0!</v>
      </c>
      <c r="X73" t="e">
        <f>($T73-1)*W73</f>
        <v>#DIV/0!</v>
      </c>
      <c r="Y73" t="e">
        <f>SQRT(V$98/T73)</f>
        <v>#DIV/0!</v>
      </c>
      <c r="Z73" t="e">
        <f>V73-Y73*_xlfn.T.INV.2T(Y$71,U$98)</f>
        <v>#DIV/0!</v>
      </c>
      <c r="AA73" t="e">
        <f>V73+Y73*_xlfn.T.INV.2T(Y$71,U$98)</f>
        <v>#DIV/0!</v>
      </c>
    </row>
    <row r="74" spans="15:27">
      <c r="S74">
        <v>60</v>
      </c>
      <c r="T74">
        <f t="shared" ref="T74:T93" si="21">COUNTIF($A$5:$A$28,$S74)</f>
        <v>1</v>
      </c>
      <c r="U74">
        <f t="shared" ref="U74:U93" si="22">SUMIF($A$5:$A$28,$S74,$D$5:$D$28)</f>
        <v>16</v>
      </c>
      <c r="V74">
        <f t="shared" ref="V74:V93" si="23">AVERAGEIF($A$5:$A$28,$S74,$D$5:$D$28)</f>
        <v>16</v>
      </c>
      <c r="W74" t="e">
        <f t="array" ref="W74">_xlfn.VAR.S(IF($A$5:$A$28=$S74,$D$5:$D$28))</f>
        <v>#DIV/0!</v>
      </c>
      <c r="X74" t="e">
        <f t="shared" ref="X74:X93" si="24">($T74-1)*W74</f>
        <v>#DIV/0!</v>
      </c>
      <c r="Y74" t="e">
        <f t="shared" ref="Y74:Y93" si="25">SQRT(V$98/T74)</f>
        <v>#DIV/0!</v>
      </c>
      <c r="Z74" t="e">
        <f t="shared" ref="Z74:Z93" si="26">V74-Y74*_xlfn.T.INV.2T(Y$71,U$98)</f>
        <v>#DIV/0!</v>
      </c>
      <c r="AA74" t="e">
        <f t="shared" ref="AA74:AA93" si="27">V74+Y74*_xlfn.T.INV.2T(Y$71,U$98)</f>
        <v>#DIV/0!</v>
      </c>
    </row>
    <row r="75" spans="15:27">
      <c r="O75" t="s">
        <v>41</v>
      </c>
      <c r="S75">
        <v>63</v>
      </c>
      <c r="T75">
        <f t="shared" si="21"/>
        <v>1</v>
      </c>
      <c r="U75">
        <f t="shared" si="22"/>
        <v>116</v>
      </c>
      <c r="V75">
        <f t="shared" si="23"/>
        <v>116</v>
      </c>
      <c r="W75" t="e">
        <f t="array" ref="W75">_xlfn.VAR.S(IF($A$5:$A$28=$S75,$D$5:$D$28))</f>
        <v>#DIV/0!</v>
      </c>
      <c r="X75" t="e">
        <f t="shared" si="24"/>
        <v>#DIV/0!</v>
      </c>
      <c r="Y75" t="e">
        <f t="shared" si="25"/>
        <v>#DIV/0!</v>
      </c>
      <c r="Z75" t="e">
        <f t="shared" si="26"/>
        <v>#DIV/0!</v>
      </c>
      <c r="AA75" t="e">
        <f t="shared" si="27"/>
        <v>#DIV/0!</v>
      </c>
    </row>
    <row r="76" spans="15:27">
      <c r="O76" s="60" t="e">
        <f t="array" ref="O76:Q78">[1]!ExtractCov(A5:D28,O75)</f>
        <v>#VALUE!</v>
      </c>
      <c r="P76" s="67" t="e">
        <v>#VALUE!</v>
      </c>
      <c r="Q76" s="68" t="e">
        <v>#VALUE!</v>
      </c>
      <c r="S76">
        <v>65</v>
      </c>
      <c r="T76">
        <f t="shared" si="21"/>
        <v>1</v>
      </c>
      <c r="U76">
        <f t="shared" si="22"/>
        <v>135</v>
      </c>
      <c r="V76">
        <f t="shared" si="23"/>
        <v>135</v>
      </c>
      <c r="W76" t="e">
        <f t="array" ref="W76">_xlfn.VAR.S(IF($A$5:$A$28=$S76,$D$5:$D$28))</f>
        <v>#DIV/0!</v>
      </c>
      <c r="X76" t="e">
        <f t="shared" si="24"/>
        <v>#DIV/0!</v>
      </c>
      <c r="Y76" t="e">
        <f t="shared" si="25"/>
        <v>#DIV/0!</v>
      </c>
      <c r="Z76" t="e">
        <f t="shared" si="26"/>
        <v>#DIV/0!</v>
      </c>
      <c r="AA76" t="e">
        <f t="shared" si="27"/>
        <v>#DIV/0!</v>
      </c>
    </row>
    <row r="77" spans="15:27">
      <c r="O77" s="69" t="e">
        <v>#VALUE!</v>
      </c>
      <c r="P77" s="70" t="e">
        <v>#VALUE!</v>
      </c>
      <c r="Q77" s="71" t="e">
        <v>#VALUE!</v>
      </c>
      <c r="S77">
        <v>68</v>
      </c>
      <c r="T77">
        <f t="shared" si="21"/>
        <v>2</v>
      </c>
      <c r="U77">
        <f t="shared" si="22"/>
        <v>160</v>
      </c>
      <c r="V77">
        <f t="shared" si="23"/>
        <v>80</v>
      </c>
      <c r="W77">
        <f t="array" ref="W77">_xlfn.VAR.S(IF($A$5:$A$28=$S77,$D$5:$D$28))</f>
        <v>1352</v>
      </c>
      <c r="X77">
        <f t="shared" si="24"/>
        <v>1352</v>
      </c>
      <c r="Y77" t="e">
        <f t="shared" si="25"/>
        <v>#DIV/0!</v>
      </c>
      <c r="Z77" t="e">
        <f t="shared" si="26"/>
        <v>#DIV/0!</v>
      </c>
      <c r="AA77" t="e">
        <f t="shared" si="27"/>
        <v>#DIV/0!</v>
      </c>
    </row>
    <row r="78" spans="15:27">
      <c r="O78" s="72" t="e">
        <v>#VALUE!</v>
      </c>
      <c r="P78" s="73" t="e">
        <v>#VALUE!</v>
      </c>
      <c r="Q78" s="74" t="e">
        <v>#VALUE!</v>
      </c>
      <c r="S78">
        <v>72</v>
      </c>
      <c r="T78">
        <f t="shared" si="21"/>
        <v>1</v>
      </c>
      <c r="U78">
        <f t="shared" si="22"/>
        <v>72</v>
      </c>
      <c r="V78">
        <f t="shared" si="23"/>
        <v>72</v>
      </c>
      <c r="W78" t="e">
        <f t="array" ref="W78">_xlfn.VAR.S(IF($A$5:$A$28=$S78,$D$5:$D$28))</f>
        <v>#DIV/0!</v>
      </c>
      <c r="X78" t="e">
        <f t="shared" si="24"/>
        <v>#DIV/0!</v>
      </c>
      <c r="Y78" t="e">
        <f t="shared" si="25"/>
        <v>#DIV/0!</v>
      </c>
      <c r="Z78" t="e">
        <f t="shared" si="26"/>
        <v>#DIV/0!</v>
      </c>
      <c r="AA78" t="e">
        <f t="shared" si="27"/>
        <v>#DIV/0!</v>
      </c>
    </row>
    <row r="79" spans="15:27">
      <c r="S79">
        <v>76</v>
      </c>
      <c r="T79">
        <f t="shared" si="21"/>
        <v>1</v>
      </c>
      <c r="U79">
        <f t="shared" si="22"/>
        <v>322</v>
      </c>
      <c r="V79">
        <f t="shared" si="23"/>
        <v>322</v>
      </c>
      <c r="W79" t="e">
        <f t="array" ref="W79">_xlfn.VAR.S(IF($A$5:$A$28=$S79,$D$5:$D$28))</f>
        <v>#DIV/0!</v>
      </c>
      <c r="X79" t="e">
        <f t="shared" si="24"/>
        <v>#DIV/0!</v>
      </c>
      <c r="Y79" t="e">
        <f t="shared" si="25"/>
        <v>#DIV/0!</v>
      </c>
      <c r="Z79" t="e">
        <f t="shared" si="26"/>
        <v>#DIV/0!</v>
      </c>
      <c r="AA79" t="e">
        <f t="shared" si="27"/>
        <v>#DIV/0!</v>
      </c>
    </row>
    <row r="80" spans="15:27">
      <c r="O80" t="s">
        <v>43</v>
      </c>
      <c r="S80">
        <v>78</v>
      </c>
      <c r="T80">
        <f t="shared" si="21"/>
        <v>1</v>
      </c>
      <c r="U80">
        <f t="shared" si="22"/>
        <v>140</v>
      </c>
      <c r="V80">
        <f t="shared" si="23"/>
        <v>140</v>
      </c>
      <c r="W80" t="e">
        <f t="array" ref="W80">_xlfn.VAR.S(IF($A$5:$A$28=$S80,$D$5:$D$28))</f>
        <v>#DIV/0!</v>
      </c>
      <c r="X80" t="e">
        <f t="shared" si="24"/>
        <v>#DIV/0!</v>
      </c>
      <c r="Y80" t="e">
        <f t="shared" si="25"/>
        <v>#DIV/0!</v>
      </c>
      <c r="Z80" t="e">
        <f t="shared" si="26"/>
        <v>#DIV/0!</v>
      </c>
      <c r="AA80" t="e">
        <f t="shared" si="27"/>
        <v>#DIV/0!</v>
      </c>
    </row>
    <row r="81" spans="15:27">
      <c r="O81" s="60" t="e">
        <f t="array" ref="O81:Q83">[1]!ExtractCov(A5:D28,O80)</f>
        <v>#VALUE!</v>
      </c>
      <c r="P81" s="67" t="e">
        <v>#VALUE!</v>
      </c>
      <c r="Q81" s="68" t="e">
        <v>#VALUE!</v>
      </c>
      <c r="S81">
        <v>80</v>
      </c>
      <c r="T81">
        <f t="shared" si="21"/>
        <v>3</v>
      </c>
      <c r="U81">
        <f t="shared" si="22"/>
        <v>390</v>
      </c>
      <c r="V81">
        <f t="shared" si="23"/>
        <v>130</v>
      </c>
      <c r="W81">
        <f t="array" ref="W81">_xlfn.VAR.S(IF($A$5:$A$28=$S81,$D$5:$D$28))</f>
        <v>5092</v>
      </c>
      <c r="X81">
        <f t="shared" si="24"/>
        <v>10184</v>
      </c>
      <c r="Y81" t="e">
        <f t="shared" si="25"/>
        <v>#DIV/0!</v>
      </c>
      <c r="Z81" t="e">
        <f t="shared" si="26"/>
        <v>#DIV/0!</v>
      </c>
      <c r="AA81" t="e">
        <f t="shared" si="27"/>
        <v>#DIV/0!</v>
      </c>
    </row>
    <row r="82" spans="15:27">
      <c r="O82" s="69" t="e">
        <v>#VALUE!</v>
      </c>
      <c r="P82" s="70" t="e">
        <v>#VALUE!</v>
      </c>
      <c r="Q82" s="71" t="e">
        <v>#VALUE!</v>
      </c>
      <c r="S82" t="str">
        <v>Grand Total</v>
      </c>
      <c r="T82">
        <f t="shared" si="21"/>
        <v>1</v>
      </c>
      <c r="U82">
        <f t="shared" si="22"/>
        <v>1480</v>
      </c>
      <c r="V82">
        <f t="shared" si="23"/>
        <v>1480</v>
      </c>
      <c r="W82" t="e">
        <f t="array" ref="W82">_xlfn.VAR.S(IF($A$5:$A$28=$S82,$D$5:$D$28))</f>
        <v>#DIV/0!</v>
      </c>
      <c r="X82" t="e">
        <f t="shared" si="24"/>
        <v>#DIV/0!</v>
      </c>
      <c r="Y82" t="e">
        <f t="shared" si="25"/>
        <v>#DIV/0!</v>
      </c>
      <c r="Z82" t="e">
        <f t="shared" si="26"/>
        <v>#DIV/0!</v>
      </c>
      <c r="AA82" t="e">
        <f t="shared" si="27"/>
        <v>#DIV/0!</v>
      </c>
    </row>
    <row r="83" spans="15:27">
      <c r="O83" s="72" t="e">
        <v>#VALUE!</v>
      </c>
      <c r="P83" s="73" t="e">
        <v>#VALUE!</v>
      </c>
      <c r="Q83" s="74" t="e">
        <v>#VALUE!</v>
      </c>
      <c r="S83" t="str">
        <v>Wii Fit Plus</v>
      </c>
      <c r="T83">
        <f t="shared" si="21"/>
        <v>1</v>
      </c>
      <c r="U83">
        <f t="shared" si="22"/>
        <v>52</v>
      </c>
      <c r="V83">
        <f t="shared" si="23"/>
        <v>52</v>
      </c>
      <c r="W83" t="e">
        <f t="array" ref="W83">_xlfn.VAR.S(IF($A$5:$A$28=$S83,$D$5:$D$28))</f>
        <v>#DIV/0!</v>
      </c>
      <c r="X83" t="e">
        <f t="shared" si="24"/>
        <v>#DIV/0!</v>
      </c>
      <c r="Y83" t="e">
        <f t="shared" si="25"/>
        <v>#DIV/0!</v>
      </c>
      <c r="Z83" t="e">
        <f t="shared" si="26"/>
        <v>#DIV/0!</v>
      </c>
      <c r="AA83" t="e">
        <f t="shared" si="27"/>
        <v>#DIV/0!</v>
      </c>
    </row>
    <row r="84" spans="15:27">
      <c r="S84" t="str">
        <v>Wii Fit U</v>
      </c>
      <c r="T84">
        <f t="shared" si="21"/>
        <v>1</v>
      </c>
      <c r="U84">
        <f t="shared" si="22"/>
        <v>72</v>
      </c>
      <c r="V84">
        <f t="shared" si="23"/>
        <v>72</v>
      </c>
      <c r="W84" t="e">
        <f t="array" ref="W84">_xlfn.VAR.S(IF($A$5:$A$28=$S84,$D$5:$D$28))</f>
        <v>#DIV/0!</v>
      </c>
      <c r="X84" t="e">
        <f t="shared" si="24"/>
        <v>#DIV/0!</v>
      </c>
      <c r="Y84" t="e">
        <f t="shared" si="25"/>
        <v>#DIV/0!</v>
      </c>
      <c r="Z84" t="e">
        <f t="shared" si="26"/>
        <v>#DIV/0!</v>
      </c>
      <c r="AA84" t="e">
        <f t="shared" si="27"/>
        <v>#DIV/0!</v>
      </c>
    </row>
    <row r="85" spans="15:27">
      <c r="O85" t="s">
        <v>44</v>
      </c>
      <c r="S85" t="str">
        <v>Wii Music</v>
      </c>
      <c r="T85">
        <f t="shared" si="21"/>
        <v>1</v>
      </c>
      <c r="U85">
        <f t="shared" si="22"/>
        <v>116</v>
      </c>
      <c r="V85">
        <f t="shared" si="23"/>
        <v>116</v>
      </c>
      <c r="W85" t="e">
        <f t="array" ref="W85">_xlfn.VAR.S(IF($A$5:$A$28=$S85,$D$5:$D$28))</f>
        <v>#DIV/0!</v>
      </c>
      <c r="X85" t="e">
        <f t="shared" si="24"/>
        <v>#DIV/0!</v>
      </c>
      <c r="Y85" t="e">
        <f t="shared" si="25"/>
        <v>#DIV/0!</v>
      </c>
      <c r="Z85" t="e">
        <f t="shared" si="26"/>
        <v>#DIV/0!</v>
      </c>
      <c r="AA85" t="e">
        <f t="shared" si="27"/>
        <v>#DIV/0!</v>
      </c>
    </row>
    <row r="86" spans="15:27">
      <c r="O86" s="60" t="e">
        <f t="array" ref="O86:Q88">[1]!ExtractCov(A5:D28,O85)</f>
        <v>#VALUE!</v>
      </c>
      <c r="P86" s="67" t="e">
        <v>#VALUE!</v>
      </c>
      <c r="Q86" s="68" t="e">
        <v>#VALUE!</v>
      </c>
      <c r="S86" t="str">
        <v>Wii Party</v>
      </c>
      <c r="T86">
        <f t="shared" si="21"/>
        <v>1</v>
      </c>
      <c r="U86">
        <f t="shared" si="22"/>
        <v>54</v>
      </c>
      <c r="V86">
        <f t="shared" si="23"/>
        <v>54</v>
      </c>
      <c r="W86" t="e">
        <f t="array" ref="W86">_xlfn.VAR.S(IF($A$5:$A$28=$S86,$D$5:$D$28))</f>
        <v>#DIV/0!</v>
      </c>
      <c r="X86" t="e">
        <f t="shared" si="24"/>
        <v>#DIV/0!</v>
      </c>
      <c r="Y86" t="e">
        <f t="shared" si="25"/>
        <v>#DIV/0!</v>
      </c>
      <c r="Z86" t="e">
        <f t="shared" si="26"/>
        <v>#DIV/0!</v>
      </c>
      <c r="AA86" t="e">
        <f t="shared" si="27"/>
        <v>#DIV/0!</v>
      </c>
    </row>
    <row r="87" spans="15:27">
      <c r="O87" s="69" t="e">
        <v>#VALUE!</v>
      </c>
      <c r="P87" s="70" t="e">
        <v>#VALUE!</v>
      </c>
      <c r="Q87" s="71" t="e">
        <v>#VALUE!</v>
      </c>
      <c r="S87" t="str">
        <v>Wii Party U</v>
      </c>
      <c r="T87">
        <f t="shared" si="21"/>
        <v>1</v>
      </c>
      <c r="U87">
        <f t="shared" si="22"/>
        <v>135</v>
      </c>
      <c r="V87">
        <f t="shared" si="23"/>
        <v>135</v>
      </c>
      <c r="W87" t="e">
        <f t="array" ref="W87">_xlfn.VAR.S(IF($A$5:$A$28=$S87,$D$5:$D$28))</f>
        <v>#DIV/0!</v>
      </c>
      <c r="X87" t="e">
        <f t="shared" si="24"/>
        <v>#DIV/0!</v>
      </c>
      <c r="Y87" t="e">
        <f t="shared" si="25"/>
        <v>#DIV/0!</v>
      </c>
      <c r="Z87" t="e">
        <f t="shared" si="26"/>
        <v>#DIV/0!</v>
      </c>
      <c r="AA87" t="e">
        <f t="shared" si="27"/>
        <v>#DIV/0!</v>
      </c>
    </row>
    <row r="88" spans="15:27">
      <c r="O88" s="72" t="e">
        <v>#VALUE!</v>
      </c>
      <c r="P88" s="73" t="e">
        <v>#VALUE!</v>
      </c>
      <c r="Q88" s="74" t="e">
        <v>#VALUE!</v>
      </c>
      <c r="S88" t="str">
        <v>Wii Play</v>
      </c>
      <c r="T88">
        <f t="shared" si="21"/>
        <v>1</v>
      </c>
      <c r="U88">
        <f t="shared" si="22"/>
        <v>129</v>
      </c>
      <c r="V88">
        <f t="shared" si="23"/>
        <v>129</v>
      </c>
      <c r="W88" t="e">
        <f t="array" ref="W88">_xlfn.VAR.S(IF($A$5:$A$28=$S88,$D$5:$D$28))</f>
        <v>#DIV/0!</v>
      </c>
      <c r="X88" t="e">
        <f t="shared" si="24"/>
        <v>#DIV/0!</v>
      </c>
      <c r="Y88" t="e">
        <f t="shared" si="25"/>
        <v>#DIV/0!</v>
      </c>
      <c r="Z88" t="e">
        <f t="shared" si="26"/>
        <v>#DIV/0!</v>
      </c>
      <c r="AA88" t="e">
        <f t="shared" si="27"/>
        <v>#DIV/0!</v>
      </c>
    </row>
    <row r="89" spans="15:27">
      <c r="S89" t="str">
        <v>Wii Play: Motion</v>
      </c>
      <c r="T89">
        <f t="shared" si="21"/>
        <v>1</v>
      </c>
      <c r="U89">
        <f t="shared" si="22"/>
        <v>16</v>
      </c>
      <c r="V89">
        <f t="shared" si="23"/>
        <v>16</v>
      </c>
      <c r="W89" t="e">
        <f t="array" ref="W89">_xlfn.VAR.S(IF($A$5:$A$28=$S89,$D$5:$D$28))</f>
        <v>#DIV/0!</v>
      </c>
      <c r="X89" t="e">
        <f t="shared" si="24"/>
        <v>#DIV/0!</v>
      </c>
      <c r="Y89" t="e">
        <f t="shared" si="25"/>
        <v>#DIV/0!</v>
      </c>
      <c r="Z89" t="e">
        <f t="shared" si="26"/>
        <v>#DIV/0!</v>
      </c>
      <c r="AA89" t="e">
        <f t="shared" si="27"/>
        <v>#DIV/0!</v>
      </c>
    </row>
    <row r="90" spans="15:27">
      <c r="O90" t="s">
        <v>24</v>
      </c>
      <c r="S90" t="str">
        <v>Wii Rohith</v>
      </c>
      <c r="T90">
        <f t="shared" si="21"/>
        <v>1</v>
      </c>
      <c r="U90">
        <f t="shared" si="22"/>
        <v>140</v>
      </c>
      <c r="V90">
        <f t="shared" si="23"/>
        <v>140</v>
      </c>
      <c r="W90" t="e">
        <f t="array" ref="W90">_xlfn.VAR.S(IF($A$5:$A$28=$S90,$D$5:$D$28))</f>
        <v>#DIV/0!</v>
      </c>
      <c r="X90" t="e">
        <f t="shared" si="24"/>
        <v>#DIV/0!</v>
      </c>
      <c r="Y90" t="e">
        <f t="shared" si="25"/>
        <v>#DIV/0!</v>
      </c>
      <c r="Z90" t="e">
        <f t="shared" si="26"/>
        <v>#DIV/0!</v>
      </c>
      <c r="AA90" t="e">
        <f t="shared" si="27"/>
        <v>#DIV/0!</v>
      </c>
    </row>
    <row r="91" spans="15:27">
      <c r="O91" s="60" t="e">
        <f t="array" ref="O91:Q93">[1]!ExtractCov(A5:D28,O90)</f>
        <v>#VALUE!</v>
      </c>
      <c r="P91" s="67" t="e">
        <v>#VALUE!</v>
      </c>
      <c r="Q91" s="68" t="e">
        <v>#VALUE!</v>
      </c>
      <c r="S91" t="str">
        <v>Wii Sports</v>
      </c>
      <c r="T91">
        <f t="shared" si="21"/>
        <v>1</v>
      </c>
      <c r="U91">
        <f t="shared" si="22"/>
        <v>322</v>
      </c>
      <c r="V91">
        <f t="shared" si="23"/>
        <v>322</v>
      </c>
      <c r="W91" t="e">
        <f t="array" ref="W91">_xlfn.VAR.S(IF($A$5:$A$28=$S91,$D$5:$D$28))</f>
        <v>#DIV/0!</v>
      </c>
      <c r="X91" t="e">
        <f t="shared" si="24"/>
        <v>#DIV/0!</v>
      </c>
      <c r="Y91" t="e">
        <f t="shared" si="25"/>
        <v>#DIV/0!</v>
      </c>
      <c r="Z91" t="e">
        <f t="shared" si="26"/>
        <v>#DIV/0!</v>
      </c>
      <c r="AA91" t="e">
        <f t="shared" si="27"/>
        <v>#DIV/0!</v>
      </c>
    </row>
    <row r="92" spans="15:27">
      <c r="O92" s="69" t="e">
        <v>#VALUE!</v>
      </c>
      <c r="P92" s="70" t="e">
        <v>#VALUE!</v>
      </c>
      <c r="Q92" s="71" t="e">
        <v>#VALUE!</v>
      </c>
      <c r="S92" t="str">
        <v>Wii Sports Club</v>
      </c>
      <c r="T92">
        <f t="shared" si="21"/>
        <v>1</v>
      </c>
      <c r="U92">
        <f t="shared" si="22"/>
        <v>106</v>
      </c>
      <c r="V92">
        <f t="shared" si="23"/>
        <v>106</v>
      </c>
      <c r="W92" t="e">
        <f t="array" ref="W92">_xlfn.VAR.S(IF($A$5:$A$28=$S92,$D$5:$D$28))</f>
        <v>#DIV/0!</v>
      </c>
      <c r="X92" t="e">
        <f t="shared" si="24"/>
        <v>#DIV/0!</v>
      </c>
      <c r="Y92" t="e">
        <f t="shared" si="25"/>
        <v>#DIV/0!</v>
      </c>
      <c r="Z92" t="e">
        <f t="shared" si="26"/>
        <v>#DIV/0!</v>
      </c>
      <c r="AA92" t="e">
        <f t="shared" si="27"/>
        <v>#DIV/0!</v>
      </c>
    </row>
    <row r="93" spans="15:27">
      <c r="O93" s="72" t="e">
        <v>#VALUE!</v>
      </c>
      <c r="P93" s="73" t="e">
        <v>#VALUE!</v>
      </c>
      <c r="Q93" s="74" t="e">
        <v>#VALUE!</v>
      </c>
      <c r="S93" t="str">
        <v>Wii Sports Resort</v>
      </c>
      <c r="T93">
        <f t="shared" si="21"/>
        <v>1</v>
      </c>
      <c r="U93">
        <f t="shared" si="22"/>
        <v>192</v>
      </c>
      <c r="V93">
        <f t="shared" si="23"/>
        <v>192</v>
      </c>
      <c r="W93" t="e">
        <f t="array" ref="W93">_xlfn.VAR.S(IF($A$5:$A$28=$S93,$D$5:$D$28))</f>
        <v>#DIV/0!</v>
      </c>
      <c r="X93" t="e">
        <f t="shared" si="24"/>
        <v>#DIV/0!</v>
      </c>
      <c r="Y93" t="e">
        <f t="shared" si="25"/>
        <v>#DIV/0!</v>
      </c>
      <c r="Z93" t="e">
        <f t="shared" si="26"/>
        <v>#DIV/0!</v>
      </c>
      <c r="AA93" t="e">
        <f t="shared" si="27"/>
        <v>#DIV/0!</v>
      </c>
    </row>
    <row r="94" spans="15:27">
      <c r="S94" s="75"/>
      <c r="T94" s="75"/>
      <c r="U94" s="75"/>
      <c r="V94" s="75"/>
      <c r="W94" s="75"/>
      <c r="X94" s="75"/>
      <c r="Y94" s="75"/>
      <c r="Z94" s="75"/>
      <c r="AA94" s="75"/>
    </row>
    <row r="95" spans="15:27" ht="15" thickBot="1">
      <c r="O95" t="s">
        <v>45</v>
      </c>
      <c r="S95" t="s">
        <v>159</v>
      </c>
    </row>
    <row r="96" spans="15:27" ht="15" thickTop="1">
      <c r="O96" s="60" t="e">
        <f t="array" ref="O96:Q98">[1]!ExtractCov(A5:D28,O95)</f>
        <v>#VALUE!</v>
      </c>
      <c r="P96" s="67" t="e">
        <v>#VALUE!</v>
      </c>
      <c r="Q96" s="68" t="e">
        <v>#VALUE!</v>
      </c>
      <c r="S96" s="66" t="s">
        <v>192</v>
      </c>
      <c r="T96" s="66" t="s">
        <v>161</v>
      </c>
      <c r="U96" s="66" t="s">
        <v>145</v>
      </c>
      <c r="V96" s="66" t="s">
        <v>162</v>
      </c>
      <c r="W96" s="66" t="s">
        <v>163</v>
      </c>
      <c r="X96" s="66" t="s">
        <v>193</v>
      </c>
      <c r="Y96" s="66" t="s">
        <v>194</v>
      </c>
      <c r="Z96" s="66" t="s">
        <v>195</v>
      </c>
      <c r="AA96" s="66" t="s">
        <v>196</v>
      </c>
    </row>
    <row r="97" spans="15:27">
      <c r="O97" s="69" t="e">
        <v>#VALUE!</v>
      </c>
      <c r="P97" s="70" t="e">
        <v>#VALUE!</v>
      </c>
      <c r="Q97" s="71" t="e">
        <v>#VALUE!</v>
      </c>
      <c r="S97" t="s">
        <v>166</v>
      </c>
      <c r="T97" t="e">
        <f>T99-T98</f>
        <v>#DIV/0!</v>
      </c>
      <c r="U97">
        <f>[1]!COUNTAU(A5:A28)-1</f>
        <v>20</v>
      </c>
      <c r="V97" t="e">
        <f>T97/U97</f>
        <v>#DIV/0!</v>
      </c>
      <c r="W97" t="e">
        <f>V97/V98</f>
        <v>#DIV/0!</v>
      </c>
      <c r="X97" t="e">
        <f>_xlfn.F.DIST.RT(W97,U97,U98)</f>
        <v>#DIV/0!</v>
      </c>
      <c r="Y97" t="e">
        <f>T97/T99</f>
        <v>#DIV/0!</v>
      </c>
      <c r="Z97" t="e">
        <f>SQRT(DEVSQ(V73:V93)/(V98*U97))</f>
        <v>#DIV/0!</v>
      </c>
      <c r="AA97" t="e">
        <f>(T99-U99*V98)/(T99+V98)</f>
        <v>#DIV/0!</v>
      </c>
    </row>
    <row r="98" spans="15:27">
      <c r="O98" s="72" t="e">
        <v>#VALUE!</v>
      </c>
      <c r="P98" s="73" t="e">
        <v>#VALUE!</v>
      </c>
      <c r="Q98" s="74" t="e">
        <v>#VALUE!</v>
      </c>
      <c r="S98" t="s">
        <v>167</v>
      </c>
      <c r="T98" t="e">
        <f>SUM(X73:X93)</f>
        <v>#DIV/0!</v>
      </c>
      <c r="U98">
        <f>U99-U97</f>
        <v>3</v>
      </c>
      <c r="V98" t="e">
        <f>T98/U98</f>
        <v>#DIV/0!</v>
      </c>
    </row>
    <row r="99" spans="15:27">
      <c r="S99" s="76" t="s">
        <v>168</v>
      </c>
      <c r="T99" s="76">
        <f>DEVSQ(D5:D28)</f>
        <v>1904979.833333333</v>
      </c>
      <c r="U99" s="76">
        <f>COUNT(D5:D28)-1</f>
        <v>23</v>
      </c>
      <c r="V99" s="76">
        <f>T99/U99</f>
        <v>82825.210144927521</v>
      </c>
      <c r="W99" s="76"/>
      <c r="X99" s="76"/>
      <c r="Y99" s="76"/>
      <c r="Z99" s="76"/>
      <c r="AA99" s="76"/>
    </row>
    <row r="100" spans="15:27">
      <c r="O100" t="s">
        <v>46</v>
      </c>
    </row>
    <row r="101" spans="15:27">
      <c r="O101" s="60" t="e">
        <f t="array" ref="O101:Q103">[1]!ExtractCov(A5:D28,O100)</f>
        <v>#VALUE!</v>
      </c>
      <c r="P101" s="67" t="e">
        <v>#VALUE!</v>
      </c>
      <c r="Q101" s="68" t="e">
        <v>#VALUE!</v>
      </c>
    </row>
    <row r="102" spans="15:27">
      <c r="O102" s="69" t="e">
        <v>#VALUE!</v>
      </c>
      <c r="P102" s="70" t="e">
        <v>#VALUE!</v>
      </c>
      <c r="Q102" s="71" t="e">
        <v>#VALUE!</v>
      </c>
    </row>
    <row r="103" spans="15:27">
      <c r="O103" s="72" t="e">
        <v>#VALUE!</v>
      </c>
      <c r="P103" s="73" t="e">
        <v>#VALUE!</v>
      </c>
      <c r="Q103" s="74" t="e">
        <v>#VALUE!</v>
      </c>
    </row>
    <row r="105" spans="15:27">
      <c r="O105" t="s">
        <v>47</v>
      </c>
    </row>
    <row r="106" spans="15:27">
      <c r="O106" s="60" t="e">
        <f t="array" ref="O106:Q108">[1]!ExtractCov(A5:D28,O105)</f>
        <v>#VALUE!</v>
      </c>
      <c r="P106" s="67" t="e">
        <v>#VALUE!</v>
      </c>
      <c r="Q106" s="68" t="e">
        <v>#VALUE!</v>
      </c>
    </row>
    <row r="107" spans="15:27">
      <c r="O107" s="69" t="e">
        <v>#VALUE!</v>
      </c>
      <c r="P107" s="70" t="e">
        <v>#VALUE!</v>
      </c>
      <c r="Q107" s="71" t="e">
        <v>#VALUE!</v>
      </c>
    </row>
    <row r="108" spans="15:27">
      <c r="O108" s="72" t="e">
        <v>#VALUE!</v>
      </c>
      <c r="P108" s="73" t="e">
        <v>#VALUE!</v>
      </c>
      <c r="Q108" s="74" t="e">
        <v>#VALUE!</v>
      </c>
    </row>
    <row r="110" spans="15:27">
      <c r="O110" t="s">
        <v>183</v>
      </c>
    </row>
    <row r="111" spans="15:27">
      <c r="O111" s="60" t="e">
        <f t="array" ref="O111:Q113">[1]!COVPooled(A5:D28)</f>
        <v>#VALUE!</v>
      </c>
      <c r="P111" s="67" t="e">
        <v>#VALUE!</v>
      </c>
      <c r="Q111" s="68" t="e">
        <v>#VALUE!</v>
      </c>
    </row>
    <row r="112" spans="15:27">
      <c r="O112" s="69" t="e">
        <v>#VALUE!</v>
      </c>
      <c r="P112" s="70" t="e">
        <v>#VALUE!</v>
      </c>
      <c r="Q112" s="71" t="e">
        <v>#VALUE!</v>
      </c>
    </row>
    <row r="113" spans="15:17">
      <c r="O113" s="72" t="e">
        <v>#VALUE!</v>
      </c>
      <c r="P113" s="73" t="e">
        <v>#VALUE!</v>
      </c>
      <c r="Q113" s="74" t="e">
        <v>#VALUE!</v>
      </c>
    </row>
    <row r="115" spans="15:17">
      <c r="O115" t="s">
        <v>184</v>
      </c>
    </row>
    <row r="116" spans="15:17">
      <c r="O116" s="60">
        <f t="array" ref="O116:Q118">[1]!CORR(B5:D28)</f>
        <v>1.0000000000000004</v>
      </c>
      <c r="P116" s="67">
        <v>0.85892452160480215</v>
      </c>
      <c r="Q116" s="68">
        <v>0.8904833759625177</v>
      </c>
    </row>
    <row r="117" spans="15:17">
      <c r="O117" s="69">
        <v>0.85892452160480215</v>
      </c>
      <c r="P117" s="70">
        <v>0.99999999999999978</v>
      </c>
      <c r="Q117" s="71">
        <v>0.9670460949372095</v>
      </c>
    </row>
    <row r="118" spans="15:17">
      <c r="O118" s="72">
        <v>0.8904833759625177</v>
      </c>
      <c r="P118" s="73">
        <v>0.9670460949372095</v>
      </c>
      <c r="Q118" s="74">
        <v>0.99999999999999978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I3" sqref="I3"/>
    </sheetView>
  </sheetViews>
  <sheetFormatPr defaultRowHeight="14.4"/>
  <cols>
    <col min="1" max="1" width="12.109375" customWidth="1"/>
    <col min="2" max="2" width="11.44140625" bestFit="1" customWidth="1"/>
    <col min="3" max="3" width="10.33203125" bestFit="1" customWidth="1"/>
    <col min="4" max="4" width="9" bestFit="1" customWidth="1"/>
    <col min="5" max="5" width="8.33203125" customWidth="1"/>
    <col min="6" max="6" width="14.33203125" bestFit="1" customWidth="1"/>
    <col min="7" max="7" width="9.33203125" customWidth="1"/>
    <col min="8" max="8" width="9.33203125" bestFit="1" customWidth="1"/>
    <col min="9" max="9" width="16.33203125" bestFit="1" customWidth="1"/>
    <col min="10" max="10" width="11.6640625" bestFit="1" customWidth="1"/>
    <col min="11" max="11" width="8.6640625" bestFit="1" customWidth="1"/>
    <col min="12" max="12" width="9.44140625" bestFit="1" customWidth="1"/>
    <col min="13" max="13" width="6.5546875" bestFit="1" customWidth="1"/>
    <col min="14" max="14" width="11.33203125" bestFit="1" customWidth="1"/>
    <col min="15" max="15" width="10.88671875" bestFit="1" customWidth="1"/>
    <col min="16" max="16" width="15.88671875" bestFit="1" customWidth="1"/>
  </cols>
  <sheetData>
    <row r="1" spans="1:16" s="2" customFormat="1" ht="18">
      <c r="A1" s="4" t="s">
        <v>0</v>
      </c>
      <c r="B1" s="3"/>
      <c r="C1" s="1"/>
      <c r="D1" s="1"/>
      <c r="H1" s="1"/>
      <c r="I1" s="1"/>
      <c r="J1" s="1"/>
    </row>
    <row r="2" spans="1:16">
      <c r="A2" s="1"/>
      <c r="B2" s="1"/>
      <c r="C2" s="1"/>
      <c r="E2" s="5" t="s">
        <v>1</v>
      </c>
      <c r="F2" s="53"/>
      <c r="G2" s="47"/>
    </row>
    <row r="3" spans="1:16" ht="17.399999999999999">
      <c r="A3" s="1"/>
      <c r="B3" s="1"/>
      <c r="C3" s="1"/>
      <c r="E3" s="5" t="s">
        <v>3</v>
      </c>
      <c r="F3" s="34"/>
      <c r="G3" s="6" t="s">
        <v>4</v>
      </c>
      <c r="H3" s="1"/>
      <c r="I3" s="1"/>
    </row>
    <row r="4" spans="1:16">
      <c r="E4" s="5" t="s">
        <v>5</v>
      </c>
      <c r="F4" s="13" t="s">
        <v>6</v>
      </c>
      <c r="G4" s="13"/>
      <c r="H4" s="13"/>
    </row>
    <row r="5" spans="1:16">
      <c r="A5" t="s">
        <v>21</v>
      </c>
      <c r="B5" t="s">
        <v>20</v>
      </c>
      <c r="C5" t="s">
        <v>9</v>
      </c>
      <c r="D5" t="s">
        <v>15</v>
      </c>
      <c r="E5" t="s">
        <v>13</v>
      </c>
      <c r="F5" t="s">
        <v>18</v>
      </c>
      <c r="G5" t="s">
        <v>16</v>
      </c>
      <c r="H5" t="s">
        <v>14</v>
      </c>
      <c r="I5" t="s">
        <v>7</v>
      </c>
      <c r="J5" t="s">
        <v>17</v>
      </c>
      <c r="K5" t="s">
        <v>8</v>
      </c>
      <c r="L5" t="s">
        <v>10</v>
      </c>
      <c r="M5" t="s">
        <v>11</v>
      </c>
      <c r="N5" t="s">
        <v>23</v>
      </c>
      <c r="O5" t="s">
        <v>22</v>
      </c>
      <c r="P5" t="s">
        <v>12</v>
      </c>
    </row>
    <row r="6" spans="1:16" ht="15.6">
      <c r="A6">
        <v>51</v>
      </c>
      <c r="B6">
        <v>76</v>
      </c>
      <c r="C6" t="s">
        <v>26</v>
      </c>
      <c r="D6" s="33" t="s">
        <v>111</v>
      </c>
      <c r="E6" s="13" t="s">
        <v>28</v>
      </c>
      <c r="F6" s="11"/>
      <c r="G6">
        <v>2.81</v>
      </c>
      <c r="H6" s="31" t="s">
        <v>112</v>
      </c>
      <c r="I6" s="32" t="s">
        <v>113</v>
      </c>
      <c r="J6">
        <v>3.22</v>
      </c>
      <c r="K6" t="s">
        <v>25</v>
      </c>
      <c r="L6" t="s">
        <v>26</v>
      </c>
      <c r="M6" t="s">
        <v>27</v>
      </c>
      <c r="N6">
        <v>297</v>
      </c>
      <c r="O6">
        <v>8</v>
      </c>
      <c r="P6" s="30" t="s">
        <v>114</v>
      </c>
    </row>
    <row r="7" spans="1:16">
      <c r="A7">
        <v>63</v>
      </c>
      <c r="B7">
        <v>80</v>
      </c>
      <c r="C7" t="s">
        <v>26</v>
      </c>
      <c r="D7">
        <v>8.0299999999999994</v>
      </c>
      <c r="E7" t="s">
        <v>31</v>
      </c>
      <c r="F7">
        <v>22.7</v>
      </c>
      <c r="G7">
        <v>3.6</v>
      </c>
      <c r="H7">
        <v>8.92</v>
      </c>
      <c r="I7" t="s">
        <v>29</v>
      </c>
      <c r="J7">
        <v>2.15</v>
      </c>
      <c r="K7" t="s">
        <v>25</v>
      </c>
      <c r="L7" t="s">
        <v>26</v>
      </c>
      <c r="M7" t="s">
        <v>30</v>
      </c>
      <c r="N7">
        <v>146</v>
      </c>
      <c r="O7">
        <v>7.7</v>
      </c>
      <c r="P7">
        <v>2007</v>
      </c>
    </row>
    <row r="8" spans="1:16">
      <c r="A8">
        <v>33</v>
      </c>
      <c r="B8">
        <v>80</v>
      </c>
      <c r="C8" t="s">
        <v>26</v>
      </c>
      <c r="D8">
        <v>8.49</v>
      </c>
      <c r="E8" t="s">
        <v>31</v>
      </c>
      <c r="F8">
        <v>21.79</v>
      </c>
      <c r="G8">
        <v>2.5299999999999998</v>
      </c>
      <c r="H8">
        <v>9.01</v>
      </c>
      <c r="I8" t="s">
        <v>33</v>
      </c>
      <c r="J8">
        <v>1.77</v>
      </c>
      <c r="K8" t="s">
        <v>25</v>
      </c>
      <c r="L8" t="s">
        <v>26</v>
      </c>
      <c r="M8" t="s">
        <v>30</v>
      </c>
      <c r="N8">
        <v>52</v>
      </c>
      <c r="O8">
        <v>7.4</v>
      </c>
      <c r="P8">
        <v>2009</v>
      </c>
    </row>
    <row r="9" spans="1:16">
      <c r="A9">
        <v>19</v>
      </c>
      <c r="B9">
        <v>72</v>
      </c>
      <c r="C9" t="s">
        <v>26</v>
      </c>
      <c r="D9">
        <v>0.23</v>
      </c>
      <c r="E9" t="s">
        <v>31</v>
      </c>
      <c r="F9">
        <v>0.85</v>
      </c>
      <c r="G9">
        <v>0.21</v>
      </c>
      <c r="H9">
        <v>0.35</v>
      </c>
      <c r="I9" t="s">
        <v>35</v>
      </c>
      <c r="J9">
        <v>0.05</v>
      </c>
      <c r="K9" t="s">
        <v>36</v>
      </c>
      <c r="L9" t="s">
        <v>26</v>
      </c>
      <c r="M9" t="s">
        <v>30</v>
      </c>
      <c r="N9">
        <v>72</v>
      </c>
      <c r="O9">
        <v>7.7</v>
      </c>
      <c r="P9">
        <v>2013</v>
      </c>
    </row>
    <row r="10" spans="1:16">
      <c r="A10">
        <v>43</v>
      </c>
      <c r="B10">
        <v>63</v>
      </c>
      <c r="C10" t="s">
        <v>26</v>
      </c>
      <c r="D10">
        <v>1.1100000000000001</v>
      </c>
      <c r="E10" t="s">
        <v>28</v>
      </c>
      <c r="F10">
        <v>3.25</v>
      </c>
      <c r="G10">
        <v>0.46</v>
      </c>
      <c r="H10">
        <v>1.35</v>
      </c>
      <c r="I10" t="s">
        <v>38</v>
      </c>
      <c r="J10">
        <v>0.32</v>
      </c>
      <c r="K10" t="s">
        <v>25</v>
      </c>
      <c r="L10" t="s">
        <v>26</v>
      </c>
      <c r="M10" t="s">
        <v>30</v>
      </c>
      <c r="N10">
        <v>116</v>
      </c>
      <c r="O10">
        <v>4.5999999999999996</v>
      </c>
      <c r="P10">
        <v>2008</v>
      </c>
    </row>
    <row r="11" spans="1:16">
      <c r="A11">
        <v>42</v>
      </c>
      <c r="B11">
        <v>68</v>
      </c>
      <c r="C11" t="s">
        <v>40</v>
      </c>
      <c r="D11">
        <v>3.47</v>
      </c>
      <c r="E11" t="s">
        <v>28</v>
      </c>
      <c r="F11">
        <v>8.3800000000000008</v>
      </c>
      <c r="G11">
        <v>2.4900000000000002</v>
      </c>
      <c r="H11">
        <v>1.75</v>
      </c>
      <c r="I11" t="s">
        <v>39</v>
      </c>
      <c r="J11">
        <v>0.67</v>
      </c>
      <c r="K11" t="s">
        <v>25</v>
      </c>
      <c r="L11" t="s">
        <v>26</v>
      </c>
      <c r="M11" t="s">
        <v>30</v>
      </c>
      <c r="N11">
        <v>54</v>
      </c>
      <c r="O11">
        <v>7.4</v>
      </c>
      <c r="P11">
        <v>2010</v>
      </c>
    </row>
    <row r="12" spans="1:16">
      <c r="A12">
        <v>38</v>
      </c>
      <c r="B12">
        <v>65</v>
      </c>
      <c r="C12" t="s">
        <v>40</v>
      </c>
      <c r="D12">
        <v>0.56000000000000005</v>
      </c>
      <c r="E12" t="s">
        <v>28</v>
      </c>
      <c r="F12">
        <v>1.75</v>
      </c>
      <c r="G12">
        <v>0.84</v>
      </c>
      <c r="H12">
        <v>0.3</v>
      </c>
      <c r="I12" t="s">
        <v>41</v>
      </c>
      <c r="J12">
        <v>0.05</v>
      </c>
      <c r="K12" t="s">
        <v>36</v>
      </c>
      <c r="L12" t="s">
        <v>26</v>
      </c>
      <c r="M12" t="s">
        <v>30</v>
      </c>
      <c r="N12">
        <v>135</v>
      </c>
      <c r="O12">
        <v>6.8</v>
      </c>
      <c r="P12">
        <v>2013</v>
      </c>
    </row>
    <row r="13" spans="1:16">
      <c r="A13">
        <v>41</v>
      </c>
      <c r="B13">
        <v>58</v>
      </c>
      <c r="C13" t="s">
        <v>26</v>
      </c>
      <c r="D13">
        <v>9.18</v>
      </c>
      <c r="E13" t="s">
        <v>28</v>
      </c>
      <c r="F13">
        <v>28.92</v>
      </c>
      <c r="G13">
        <v>2.93</v>
      </c>
      <c r="H13">
        <v>13.96</v>
      </c>
      <c r="I13" t="s">
        <v>43</v>
      </c>
      <c r="J13">
        <v>2.84</v>
      </c>
      <c r="K13" t="s">
        <v>25</v>
      </c>
      <c r="L13" t="s">
        <v>26</v>
      </c>
      <c r="M13" t="s">
        <v>30</v>
      </c>
      <c r="N13">
        <v>129</v>
      </c>
      <c r="O13">
        <v>6.6</v>
      </c>
      <c r="P13">
        <v>2006</v>
      </c>
    </row>
    <row r="14" spans="1:16">
      <c r="A14">
        <v>34</v>
      </c>
      <c r="B14">
        <v>60</v>
      </c>
      <c r="C14" t="s">
        <v>26</v>
      </c>
      <c r="D14">
        <v>0.42</v>
      </c>
      <c r="E14" t="s">
        <v>28</v>
      </c>
      <c r="F14">
        <v>0.92</v>
      </c>
      <c r="G14">
        <v>0.18</v>
      </c>
      <c r="H14">
        <v>0.23</v>
      </c>
      <c r="I14" t="s">
        <v>44</v>
      </c>
      <c r="J14">
        <v>0.09</v>
      </c>
      <c r="K14" t="s">
        <v>25</v>
      </c>
      <c r="L14" t="s">
        <v>26</v>
      </c>
      <c r="M14" t="s">
        <v>27</v>
      </c>
      <c r="N14">
        <v>16</v>
      </c>
      <c r="O14">
        <v>6.1</v>
      </c>
      <c r="P14">
        <v>2011</v>
      </c>
    </row>
    <row r="15" spans="1:16">
      <c r="A15">
        <v>51</v>
      </c>
      <c r="B15">
        <v>76</v>
      </c>
      <c r="C15" t="s">
        <v>26</v>
      </c>
      <c r="D15">
        <v>28.96</v>
      </c>
      <c r="E15" t="s">
        <v>31</v>
      </c>
      <c r="F15">
        <v>82.53</v>
      </c>
      <c r="G15">
        <v>3.77</v>
      </c>
      <c r="H15">
        <v>41.36</v>
      </c>
      <c r="I15" t="s">
        <v>45</v>
      </c>
      <c r="J15">
        <v>8.4499999999999993</v>
      </c>
      <c r="K15" t="s">
        <v>25</v>
      </c>
      <c r="L15" t="s">
        <v>26</v>
      </c>
      <c r="M15" t="s">
        <v>30</v>
      </c>
      <c r="N15">
        <v>322</v>
      </c>
      <c r="O15">
        <v>8</v>
      </c>
      <c r="P15">
        <v>2006</v>
      </c>
    </row>
    <row r="16" spans="1:16">
      <c r="A16">
        <v>21</v>
      </c>
      <c r="B16">
        <v>68</v>
      </c>
      <c r="C16" t="s">
        <v>26</v>
      </c>
      <c r="D16">
        <v>0.14000000000000001</v>
      </c>
      <c r="E16" t="s">
        <v>31</v>
      </c>
      <c r="F16">
        <v>0.38</v>
      </c>
      <c r="G16">
        <v>0.04</v>
      </c>
      <c r="H16">
        <v>0.17</v>
      </c>
      <c r="I16" t="s">
        <v>46</v>
      </c>
      <c r="J16">
        <v>0.03</v>
      </c>
      <c r="K16" t="s">
        <v>36</v>
      </c>
      <c r="L16" t="s">
        <v>26</v>
      </c>
      <c r="M16" t="s">
        <v>27</v>
      </c>
      <c r="N16">
        <v>106</v>
      </c>
      <c r="O16">
        <v>7</v>
      </c>
      <c r="P16">
        <v>2014</v>
      </c>
    </row>
    <row r="17" spans="1:16">
      <c r="A17">
        <v>73</v>
      </c>
      <c r="B17">
        <v>80</v>
      </c>
      <c r="C17" t="s">
        <v>26</v>
      </c>
      <c r="D17">
        <v>10.93</v>
      </c>
      <c r="E17" t="s">
        <v>31</v>
      </c>
      <c r="F17">
        <v>32.770000000000003</v>
      </c>
      <c r="G17">
        <v>3.28</v>
      </c>
      <c r="H17">
        <v>15.61</v>
      </c>
      <c r="I17" t="s">
        <v>47</v>
      </c>
      <c r="J17">
        <v>2.95</v>
      </c>
      <c r="K17" t="s">
        <v>25</v>
      </c>
      <c r="L17" t="s">
        <v>26</v>
      </c>
      <c r="M17" t="s">
        <v>30</v>
      </c>
      <c r="N17">
        <v>192</v>
      </c>
      <c r="O17">
        <v>8</v>
      </c>
      <c r="P17">
        <v>2009</v>
      </c>
    </row>
  </sheetData>
  <sortState columnSort="1" ref="A5:P17">
    <sortCondition ref="A5:P5"/>
  </sortState>
  <mergeCells count="1"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Arranged Data</vt:lpstr>
      <vt:lpstr>Pivot Table1</vt:lpstr>
      <vt:lpstr>Questions</vt:lpstr>
      <vt:lpstr>ODDs Risk Ratio</vt:lpstr>
      <vt:lpstr>Sheet4</vt:lpstr>
      <vt:lpstr>Sheet3</vt:lpstr>
      <vt:lpstr>Sheet2</vt:lpstr>
      <vt:lpstr>Chi Square</vt:lpstr>
      <vt:lpstr>T test</vt:lpstr>
      <vt:lpstr>ANOVA</vt:lpstr>
      <vt:lpstr>MANOVA</vt:lpstr>
      <vt:lpstr>Raw Data</vt:lpstr>
      <vt:lpstr>bucket1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Kettle</dc:creator>
  <cp:keywords/>
  <dc:description/>
  <cp:lastModifiedBy>rohith kumar</cp:lastModifiedBy>
  <cp:revision/>
  <dcterms:created xsi:type="dcterms:W3CDTF">2020-10-30T21:08:22Z</dcterms:created>
  <dcterms:modified xsi:type="dcterms:W3CDTF">2022-03-20T00:10:15Z</dcterms:modified>
  <cp:category/>
  <cp:contentStatus/>
</cp:coreProperties>
</file>