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2.xml" ContentType="application/vnd.openxmlformats-officedocument.drawing+xml"/>
  <Override PartName="/xl/activeX/activeX11.xml" ContentType="application/vnd.ms-office.activeX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activeX/activeX13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activeX/activeX14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activeX/activeX15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 T540p\Pictures\FINAL PROJECT VBA EXCEL\"/>
    </mc:Choice>
  </mc:AlternateContent>
  <xr:revisionPtr revIDLastSave="0" documentId="13_ncr:1_{5760C4C8-F15A-4722-B30A-0AEB1980D015}" xr6:coauthVersionLast="45" xr6:coauthVersionMax="45" xr10:uidLastSave="{00000000-0000-0000-0000-000000000000}"/>
  <bookViews>
    <workbookView xWindow="-108" yWindow="-108" windowWidth="23256" windowHeight="12720" xr2:uid="{0142B545-50A7-4090-A4E7-123C08CDDD3B}"/>
  </bookViews>
  <sheets>
    <sheet name="ACCEUIL" sheetId="4" r:id="rId1"/>
    <sheet name="BASE_DONNEES_GP" sheetId="17" state="hidden" r:id="rId2"/>
    <sheet name="BASE_SALARIALE" sheetId="2" state="hidden" r:id="rId3"/>
    <sheet name="LIVRE" sheetId="5" state="hidden" r:id="rId4"/>
    <sheet name="Bultin" sheetId="8" state="hidden" r:id="rId5"/>
    <sheet name="ETAT CIVIL" sheetId="13" state="hidden" r:id="rId6"/>
    <sheet name="SEXE" sheetId="12" state="hidden" r:id="rId7"/>
    <sheet name="AGE" sheetId="14" state="hidden" r:id="rId8"/>
    <sheet name="IPRESS" sheetId="15" state="hidden" r:id="rId9"/>
    <sheet name="Book" sheetId="7" state="hidden" r:id="rId10"/>
    <sheet name="CATEGORIE" sheetId="11" state="hidden" r:id="rId11"/>
    <sheet name="Parametres" sheetId="10" state="hidden" r:id="rId12"/>
  </sheets>
  <functionGroups builtInGroupCount="19"/>
  <definedNames>
    <definedName name="Journal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1" i="5" l="1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23" i="7" l="1"/>
  <c r="D22" i="7"/>
  <c r="E24" i="7" s="1"/>
  <c r="E20" i="7"/>
  <c r="E19" i="7"/>
  <c r="E18" i="7"/>
  <c r="E17" i="7"/>
  <c r="E16" i="7"/>
  <c r="E11" i="7"/>
  <c r="D10" i="7"/>
  <c r="D9" i="7"/>
  <c r="D5" i="7"/>
  <c r="E15" i="7" s="1"/>
  <c r="A47" i="5"/>
  <c r="A51" i="5"/>
  <c r="A50" i="5"/>
  <c r="A49" i="5"/>
  <c r="A48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D14" i="7" l="1"/>
  <c r="G7" i="7"/>
  <c r="E6" i="7"/>
  <c r="H7" i="7" s="1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0" i="2"/>
  <c r="L9" i="2"/>
  <c r="L8" i="2"/>
  <c r="L11" i="2"/>
  <c r="L6" i="2"/>
  <c r="L7" i="2"/>
  <c r="L5" i="2"/>
  <c r="L4" i="2"/>
  <c r="L3" i="2"/>
  <c r="L2" i="2"/>
  <c r="Q48" i="2"/>
  <c r="O44" i="2"/>
  <c r="Q2" i="2"/>
  <c r="P20" i="2"/>
  <c r="O33" i="2"/>
  <c r="Q35" i="2"/>
  <c r="O40" i="2"/>
  <c r="P30" i="2"/>
  <c r="R25" i="2"/>
  <c r="P37" i="2"/>
  <c r="P8" i="2"/>
  <c r="R35" i="2"/>
  <c r="O17" i="2"/>
  <c r="M21" i="2"/>
  <c r="M37" i="2"/>
  <c r="O19" i="2"/>
  <c r="O14" i="2"/>
  <c r="Q7" i="2"/>
  <c r="O12" i="2"/>
  <c r="P28" i="2"/>
  <c r="P43" i="2"/>
  <c r="P25" i="2"/>
  <c r="R3" i="2"/>
  <c r="R22" i="2"/>
  <c r="O29" i="2"/>
  <c r="R40" i="2"/>
  <c r="Q13" i="2"/>
  <c r="M25" i="2"/>
  <c r="M45" i="2"/>
  <c r="M2" i="2"/>
  <c r="M33" i="2"/>
  <c r="Q20" i="2"/>
  <c r="O15" i="2"/>
  <c r="P38" i="2"/>
  <c r="O25" i="2"/>
  <c r="Q46" i="2"/>
  <c r="P41" i="2"/>
  <c r="M41" i="2"/>
  <c r="Q14" i="2"/>
  <c r="R19" i="2"/>
  <c r="P46" i="2"/>
  <c r="O9" i="2"/>
  <c r="R16" i="2"/>
  <c r="P32" i="2"/>
  <c r="O8" i="2"/>
  <c r="O5" i="2"/>
  <c r="M26" i="2"/>
  <c r="M50" i="2"/>
  <c r="Q6" i="2"/>
  <c r="R32" i="2"/>
  <c r="Q23" i="2"/>
  <c r="M36" i="2"/>
  <c r="O51" i="2"/>
  <c r="R11" i="2"/>
  <c r="P47" i="2"/>
  <c r="O26" i="2"/>
  <c r="P16" i="2"/>
  <c r="O35" i="2"/>
  <c r="M42" i="2"/>
  <c r="P13" i="2"/>
  <c r="O38" i="2"/>
  <c r="M48" i="2"/>
  <c r="M5" i="2"/>
  <c r="Q4" i="2"/>
  <c r="O45" i="2"/>
  <c r="R15" i="2"/>
  <c r="P51" i="2"/>
  <c r="R6" i="2"/>
  <c r="P5" i="2"/>
  <c r="R14" i="2"/>
  <c r="Q39" i="2"/>
  <c r="O20" i="2"/>
  <c r="O31" i="2"/>
  <c r="P27" i="2"/>
  <c r="M16" i="2"/>
  <c r="R30" i="2"/>
  <c r="Q30" i="2"/>
  <c r="O39" i="2"/>
  <c r="O46" i="2"/>
  <c r="Q24" i="2"/>
  <c r="P10" i="2"/>
  <c r="Q15" i="2"/>
  <c r="R2" i="2"/>
  <c r="R49" i="2"/>
  <c r="P36" i="2"/>
  <c r="R44" i="2"/>
  <c r="O11" i="2"/>
  <c r="Q33" i="2"/>
  <c r="M47" i="2"/>
  <c r="P17" i="2"/>
  <c r="R23" i="2"/>
  <c r="Q36" i="2"/>
  <c r="Q19" i="2"/>
  <c r="Q9" i="2"/>
  <c r="P50" i="2"/>
  <c r="M6" i="2"/>
  <c r="O49" i="2"/>
  <c r="Q21" i="2"/>
  <c r="Q18" i="2"/>
  <c r="P12" i="2"/>
  <c r="P18" i="2"/>
  <c r="R24" i="2"/>
  <c r="M32" i="2"/>
  <c r="M7" i="2"/>
  <c r="R51" i="2"/>
  <c r="P21" i="2"/>
  <c r="R47" i="2"/>
  <c r="R27" i="2"/>
  <c r="P34" i="2"/>
  <c r="M18" i="2"/>
  <c r="M11" i="2"/>
  <c r="P45" i="2"/>
  <c r="P14" i="2"/>
  <c r="P11" i="2"/>
  <c r="O37" i="2"/>
  <c r="P49" i="2"/>
  <c r="M13" i="2"/>
  <c r="M31" i="2"/>
  <c r="R37" i="2"/>
  <c r="P15" i="2"/>
  <c r="M3" i="2"/>
  <c r="M20" i="2"/>
  <c r="P48" i="2"/>
  <c r="O18" i="2"/>
  <c r="M28" i="2"/>
  <c r="O42" i="2"/>
  <c r="R34" i="2"/>
  <c r="M23" i="2"/>
  <c r="P26" i="2"/>
  <c r="M12" i="2"/>
  <c r="Q49" i="2"/>
  <c r="R38" i="2"/>
  <c r="O34" i="2"/>
  <c r="O7" i="2"/>
  <c r="P35" i="2"/>
  <c r="R45" i="2"/>
  <c r="R43" i="2"/>
  <c r="M24" i="2"/>
  <c r="R5" i="2"/>
  <c r="O21" i="2"/>
  <c r="P2" i="2"/>
  <c r="O28" i="2"/>
  <c r="R8" i="2"/>
  <c r="P9" i="2"/>
  <c r="M43" i="2"/>
  <c r="M30" i="2"/>
  <c r="P23" i="2"/>
  <c r="R48" i="2"/>
  <c r="Q38" i="2"/>
  <c r="Q12" i="2"/>
  <c r="Q40" i="2"/>
  <c r="M27" i="2"/>
  <c r="M35" i="2"/>
  <c r="O50" i="2"/>
  <c r="Q43" i="2"/>
  <c r="O10" i="2"/>
  <c r="Q22" i="2"/>
  <c r="O6" i="2"/>
  <c r="M44" i="2"/>
  <c r="M10" i="2"/>
  <c r="R41" i="2"/>
  <c r="R7" i="2"/>
  <c r="M4" i="2"/>
  <c r="O47" i="2"/>
  <c r="P4" i="2"/>
  <c r="O16" i="2"/>
  <c r="Q5" i="2"/>
  <c r="R39" i="2"/>
  <c r="P31" i="2"/>
  <c r="R20" i="2"/>
  <c r="P42" i="2"/>
  <c r="Q28" i="2"/>
  <c r="O4" i="2"/>
  <c r="O48" i="2"/>
  <c r="R18" i="2"/>
  <c r="T18" i="2" s="1"/>
  <c r="Q3" i="2"/>
  <c r="M17" i="2"/>
  <c r="M14" i="2"/>
  <c r="Q45" i="2"/>
  <c r="T45" i="2" s="1"/>
  <c r="Q51" i="2"/>
  <c r="M39" i="2"/>
  <c r="O23" i="2"/>
  <c r="P39" i="2"/>
  <c r="O41" i="2"/>
  <c r="R4" i="2"/>
  <c r="T4" i="2" s="1"/>
  <c r="M8" i="2"/>
  <c r="O43" i="2"/>
  <c r="Q26" i="2"/>
  <c r="R31" i="2"/>
  <c r="M51" i="2"/>
  <c r="M22" i="2"/>
  <c r="T48" i="2"/>
  <c r="X45" i="2"/>
  <c r="X48" i="2"/>
  <c r="Q37" i="2"/>
  <c r="P22" i="2"/>
  <c r="Q44" i="2"/>
  <c r="P24" i="2"/>
  <c r="O30" i="2"/>
  <c r="R33" i="2"/>
  <c r="P7" i="2"/>
  <c r="M29" i="2"/>
  <c r="Q16" i="2"/>
  <c r="O2" i="2"/>
  <c r="P29" i="2"/>
  <c r="Q31" i="2"/>
  <c r="R36" i="2"/>
  <c r="M15" i="2"/>
  <c r="P33" i="2"/>
  <c r="P6" i="2"/>
  <c r="M9" i="2"/>
  <c r="Q25" i="2"/>
  <c r="O24" i="2"/>
  <c r="P3" i="2"/>
  <c r="R21" i="2"/>
  <c r="T21" i="2" s="1"/>
  <c r="Q8" i="2"/>
  <c r="O36" i="2"/>
  <c r="R13" i="2"/>
  <c r="Q34" i="2"/>
  <c r="Q32" i="2"/>
  <c r="M38" i="2"/>
  <c r="T38" i="2" s="1"/>
  <c r="Q17" i="2"/>
  <c r="Q29" i="2"/>
  <c r="M40" i="2"/>
  <c r="R29" i="2"/>
  <c r="T29" i="2" s="1"/>
  <c r="V29" i="2" s="1"/>
  <c r="R42" i="2"/>
  <c r="O3" i="2"/>
  <c r="M19" i="2"/>
  <c r="R12" i="2"/>
  <c r="Q11" i="2"/>
  <c r="Q41" i="2"/>
  <c r="P40" i="2"/>
  <c r="R9" i="2"/>
  <c r="X18" i="2"/>
  <c r="W48" i="2"/>
  <c r="X29" i="2"/>
  <c r="Q42" i="2"/>
  <c r="R46" i="2"/>
  <c r="P44" i="2"/>
  <c r="T44" i="2" s="1"/>
  <c r="Q47" i="2"/>
  <c r="T47" i="2" s="1"/>
  <c r="O27" i="2"/>
  <c r="Q50" i="2"/>
  <c r="R50" i="2"/>
  <c r="M49" i="2"/>
  <c r="O22" i="2"/>
  <c r="O32" i="2"/>
  <c r="M34" i="2"/>
  <c r="R10" i="2"/>
  <c r="R26" i="2"/>
  <c r="O13" i="2"/>
  <c r="R17" i="2"/>
  <c r="P19" i="2"/>
  <c r="T19" i="2" s="1"/>
  <c r="Q10" i="2"/>
  <c r="M46" i="2"/>
  <c r="R28" i="2"/>
  <c r="X19" i="2"/>
  <c r="Q27" i="2"/>
  <c r="W4" i="2"/>
  <c r="V21" i="2"/>
  <c r="V48" i="2"/>
  <c r="W29" i="2"/>
  <c r="W18" i="2"/>
  <c r="V18" i="2"/>
  <c r="W45" i="2"/>
  <c r="V45" i="2"/>
  <c r="X4" i="2"/>
  <c r="W21" i="2"/>
  <c r="X21" i="2"/>
  <c r="X38" i="2"/>
  <c r="V38" i="2"/>
  <c r="W38" i="2"/>
  <c r="Z29" i="2"/>
  <c r="AA29" i="2"/>
  <c r="V44" i="2"/>
  <c r="Z44" i="2" s="1"/>
  <c r="W44" i="2"/>
  <c r="X44" i="2"/>
  <c r="X47" i="2"/>
  <c r="V47" i="2"/>
  <c r="W47" i="2"/>
  <c r="V19" i="2"/>
  <c r="W19" i="2"/>
  <c r="Z21" i="2"/>
  <c r="AA21" i="2"/>
  <c r="Z48" i="2"/>
  <c r="AA48" i="2"/>
  <c r="AA18" i="2"/>
  <c r="Z18" i="2"/>
  <c r="AA45" i="2"/>
  <c r="Z45" i="2"/>
  <c r="Z38" i="2"/>
  <c r="AA38" i="2"/>
  <c r="AA47" i="2"/>
  <c r="Z47" i="2"/>
  <c r="AA19" i="2"/>
  <c r="Z19" i="2"/>
  <c r="G21" i="5" l="1"/>
  <c r="F21" i="5"/>
  <c r="G29" i="5"/>
  <c r="F29" i="5"/>
  <c r="F47" i="5"/>
  <c r="G47" i="5"/>
  <c r="F19" i="5"/>
  <c r="G19" i="5"/>
  <c r="F38" i="5"/>
  <c r="G38" i="5"/>
  <c r="F48" i="5"/>
  <c r="G48" i="5"/>
  <c r="F45" i="5"/>
  <c r="G45" i="5"/>
  <c r="C21" i="5"/>
  <c r="D21" i="5"/>
  <c r="D29" i="5"/>
  <c r="D47" i="5"/>
  <c r="C19" i="5"/>
  <c r="D19" i="5"/>
  <c r="C38" i="5"/>
  <c r="D38" i="5"/>
  <c r="D44" i="5"/>
  <c r="D48" i="5"/>
  <c r="F44" i="5"/>
  <c r="C29" i="5"/>
  <c r="C44" i="5"/>
  <c r="D45" i="5"/>
  <c r="C47" i="5"/>
  <c r="B21" i="5"/>
  <c r="B29" i="5"/>
  <c r="B47" i="5"/>
  <c r="G18" i="5"/>
  <c r="B19" i="5"/>
  <c r="B38" i="5"/>
  <c r="F18" i="5"/>
  <c r="C48" i="5"/>
  <c r="D4" i="5"/>
  <c r="C45" i="5"/>
  <c r="B44" i="5"/>
  <c r="B48" i="5"/>
  <c r="B45" i="5"/>
  <c r="C4" i="5"/>
  <c r="B4" i="5"/>
  <c r="C18" i="5"/>
  <c r="D18" i="5"/>
  <c r="B18" i="5"/>
  <c r="AD19" i="2"/>
  <c r="AD18" i="2"/>
  <c r="T17" i="2"/>
  <c r="T24" i="2"/>
  <c r="T22" i="2"/>
  <c r="T39" i="2"/>
  <c r="T15" i="2"/>
  <c r="T16" i="2"/>
  <c r="T11" i="2"/>
  <c r="AA44" i="2"/>
  <c r="T28" i="2"/>
  <c r="T20" i="2"/>
  <c r="T35" i="2"/>
  <c r="W11" i="2"/>
  <c r="AD44" i="2"/>
  <c r="V28" i="2"/>
  <c r="W35" i="2"/>
  <c r="AE44" i="2"/>
  <c r="Z28" i="2"/>
  <c r="AD38" i="2"/>
  <c r="AD47" i="2"/>
  <c r="AD48" i="2"/>
  <c r="T9" i="2"/>
  <c r="T25" i="2"/>
  <c r="T43" i="2"/>
  <c r="T7" i="2"/>
  <c r="T37" i="2"/>
  <c r="T36" i="2"/>
  <c r="T42" i="2"/>
  <c r="V42" i="2" s="1"/>
  <c r="AA42" i="2" s="1"/>
  <c r="T14" i="2"/>
  <c r="T31" i="2"/>
  <c r="T27" i="2"/>
  <c r="W27" i="2" s="1"/>
  <c r="X42" i="2"/>
  <c r="V14" i="2"/>
  <c r="W31" i="2"/>
  <c r="V20" i="2"/>
  <c r="Z20" i="2" s="1"/>
  <c r="V27" i="2"/>
  <c r="AA20" i="2"/>
  <c r="AD21" i="2"/>
  <c r="T40" i="2"/>
  <c r="T6" i="2"/>
  <c r="T8" i="2"/>
  <c r="T23" i="2"/>
  <c r="T5" i="2"/>
  <c r="T32" i="2"/>
  <c r="AD45" i="2"/>
  <c r="V4" i="2"/>
  <c r="T34" i="2"/>
  <c r="X14" i="2"/>
  <c r="X31" i="2"/>
  <c r="X27" i="2"/>
  <c r="Z14" i="2"/>
  <c r="AA27" i="2"/>
  <c r="Z42" i="2"/>
  <c r="Z27" i="2"/>
  <c r="AD27" i="2" s="1"/>
  <c r="AE27" i="2"/>
  <c r="T13" i="2"/>
  <c r="T26" i="2"/>
  <c r="V26" i="2" s="1"/>
  <c r="AA26" i="2" s="1"/>
  <c r="T50" i="2"/>
  <c r="X26" i="2"/>
  <c r="W28" i="2"/>
  <c r="X20" i="2"/>
  <c r="T2" i="2"/>
  <c r="T10" i="2"/>
  <c r="T33" i="2"/>
  <c r="T12" i="2"/>
  <c r="V11" i="2"/>
  <c r="W33" i="2"/>
  <c r="X35" i="2"/>
  <c r="AD29" i="2"/>
  <c r="T3" i="2"/>
  <c r="T49" i="2"/>
  <c r="T46" i="2"/>
  <c r="V10" i="2"/>
  <c r="AA10" i="2" s="1"/>
  <c r="W14" i="2"/>
  <c r="V31" i="2"/>
  <c r="AA31" i="2" s="1"/>
  <c r="V46" i="2"/>
  <c r="AA14" i="2"/>
  <c r="AD14" i="2" s="1"/>
  <c r="AE14" i="2" s="1"/>
  <c r="T41" i="2"/>
  <c r="X11" i="2"/>
  <c r="X50" i="2"/>
  <c r="W34" i="2"/>
  <c r="V35" i="2"/>
  <c r="Z35" i="2" s="1"/>
  <c r="T30" i="2"/>
  <c r="T51" i="2"/>
  <c r="W42" i="2"/>
  <c r="AD42" i="2" s="1"/>
  <c r="W26" i="2"/>
  <c r="X28" i="2"/>
  <c r="W20" i="2"/>
  <c r="AD20" i="2" s="1"/>
  <c r="AE20" i="2" s="1"/>
  <c r="Z10" i="2"/>
  <c r="AA28" i="2"/>
  <c r="AD28" i="2" s="1"/>
  <c r="AE28" i="2" s="1"/>
  <c r="AA35" i="2"/>
  <c r="AD35" i="2" s="1"/>
  <c r="AE35" i="2" s="1"/>
  <c r="AE42" i="2"/>
  <c r="V17" i="2"/>
  <c r="W17" i="2"/>
  <c r="X24" i="2"/>
  <c r="W24" i="2"/>
  <c r="X22" i="2"/>
  <c r="V22" i="2"/>
  <c r="W22" i="2"/>
  <c r="W39" i="2"/>
  <c r="V39" i="2"/>
  <c r="X39" i="2"/>
  <c r="X15" i="2"/>
  <c r="W15" i="2"/>
  <c r="V15" i="2"/>
  <c r="W16" i="2"/>
  <c r="V16" i="2"/>
  <c r="X16" i="2"/>
  <c r="X9" i="2"/>
  <c r="W9" i="2"/>
  <c r="V9" i="2"/>
  <c r="W25" i="2"/>
  <c r="V25" i="2"/>
  <c r="X25" i="2"/>
  <c r="V43" i="2"/>
  <c r="W43" i="2"/>
  <c r="X43" i="2"/>
  <c r="W7" i="2"/>
  <c r="V7" i="2"/>
  <c r="X37" i="2"/>
  <c r="V37" i="2"/>
  <c r="W37" i="2"/>
  <c r="W36" i="2"/>
  <c r="X36" i="2"/>
  <c r="V36" i="2"/>
  <c r="V40" i="2"/>
  <c r="X40" i="2"/>
  <c r="W40" i="2"/>
  <c r="X6" i="2"/>
  <c r="W6" i="2"/>
  <c r="V6" i="2"/>
  <c r="W8" i="2"/>
  <c r="V8" i="2"/>
  <c r="X23" i="2"/>
  <c r="V23" i="2"/>
  <c r="W23" i="2"/>
  <c r="X5" i="2"/>
  <c r="W5" i="2"/>
  <c r="V5" i="2"/>
  <c r="X32" i="2"/>
  <c r="W32" i="2"/>
  <c r="V32" i="2"/>
  <c r="Z4" i="2"/>
  <c r="X34" i="2"/>
  <c r="V34" i="2"/>
  <c r="V13" i="2"/>
  <c r="X13" i="2"/>
  <c r="W13" i="2"/>
  <c r="V50" i="2"/>
  <c r="W50" i="2"/>
  <c r="W2" i="2"/>
  <c r="X2" i="2"/>
  <c r="W10" i="2"/>
  <c r="X10" i="2"/>
  <c r="AD10" i="2" s="1"/>
  <c r="AE10" i="2" s="1"/>
  <c r="V33" i="2"/>
  <c r="X33" i="2"/>
  <c r="W12" i="2"/>
  <c r="V12" i="2"/>
  <c r="X12" i="2"/>
  <c r="AA11" i="2"/>
  <c r="Z11" i="2"/>
  <c r="AD11" i="2" s="1"/>
  <c r="AE11" i="2" s="1"/>
  <c r="V3" i="2"/>
  <c r="W3" i="2"/>
  <c r="X3" i="2"/>
  <c r="W49" i="2"/>
  <c r="V49" i="2"/>
  <c r="X49" i="2"/>
  <c r="W46" i="2"/>
  <c r="X46" i="2"/>
  <c r="Z46" i="2"/>
  <c r="AA46" i="2"/>
  <c r="AD46" i="2" s="1"/>
  <c r="AE46" i="2" s="1"/>
  <c r="W41" i="2"/>
  <c r="X41" i="2"/>
  <c r="V41" i="2"/>
  <c r="V30" i="2"/>
  <c r="W30" i="2"/>
  <c r="X30" i="2"/>
  <c r="W51" i="2"/>
  <c r="X51" i="2"/>
  <c r="V51" i="2"/>
  <c r="Z51" i="2" s="1"/>
  <c r="AA17" i="2"/>
  <c r="Z17" i="2"/>
  <c r="Z22" i="2"/>
  <c r="AA22" i="2"/>
  <c r="Z39" i="2"/>
  <c r="AA39" i="2"/>
  <c r="Z15" i="2"/>
  <c r="AA15" i="2"/>
  <c r="AA16" i="2"/>
  <c r="Z16" i="2"/>
  <c r="Z9" i="2"/>
  <c r="AA9" i="2"/>
  <c r="Z25" i="2"/>
  <c r="AA25" i="2"/>
  <c r="Z43" i="2"/>
  <c r="AA43" i="2"/>
  <c r="AA7" i="2"/>
  <c r="Z7" i="2"/>
  <c r="AA37" i="2"/>
  <c r="Z37" i="2"/>
  <c r="AA36" i="2"/>
  <c r="AA40" i="2"/>
  <c r="Z40" i="2"/>
  <c r="AA6" i="2"/>
  <c r="Z6" i="2"/>
  <c r="Z8" i="2"/>
  <c r="AA23" i="2"/>
  <c r="Z23" i="2"/>
  <c r="Z5" i="2"/>
  <c r="AA5" i="2"/>
  <c r="Z32" i="2"/>
  <c r="AA32" i="2"/>
  <c r="AA34" i="2"/>
  <c r="Z34" i="2"/>
  <c r="AD34" i="2" s="1"/>
  <c r="AE34" i="2" s="1"/>
  <c r="Z13" i="2"/>
  <c r="AA13" i="2"/>
  <c r="AA50" i="2"/>
  <c r="Z50" i="2"/>
  <c r="AD50" i="2" s="1"/>
  <c r="AE50" i="2" s="1"/>
  <c r="Z33" i="2"/>
  <c r="AA33" i="2"/>
  <c r="AD33" i="2" s="1"/>
  <c r="AE33" i="2" s="1"/>
  <c r="Z12" i="2"/>
  <c r="AA12" i="2"/>
  <c r="AD12" i="2" s="1"/>
  <c r="AE12" i="2" s="1"/>
  <c r="AA3" i="2"/>
  <c r="AA49" i="2"/>
  <c r="Z49" i="2"/>
  <c r="AD49" i="2" s="1"/>
  <c r="AE49" i="2" s="1"/>
  <c r="Z41" i="2"/>
  <c r="AA41" i="2"/>
  <c r="Z30" i="2"/>
  <c r="AA30" i="2"/>
  <c r="AD30" i="2" s="1"/>
  <c r="AE30" i="2" s="1"/>
  <c r="AD39" i="2"/>
  <c r="AE39" i="2" s="1"/>
  <c r="AD15" i="2"/>
  <c r="AE15" i="2" s="1"/>
  <c r="AD23" i="2"/>
  <c r="AE23" i="2" s="1"/>
  <c r="AD41" i="2"/>
  <c r="AE41" i="2" s="1"/>
  <c r="G41" i="5" l="1"/>
  <c r="G3" i="5"/>
  <c r="G13" i="5"/>
  <c r="F13" i="5"/>
  <c r="G32" i="5"/>
  <c r="F32" i="5"/>
  <c r="G5" i="5"/>
  <c r="F5" i="5"/>
  <c r="F23" i="5"/>
  <c r="F8" i="5"/>
  <c r="F6" i="5"/>
  <c r="G6" i="5"/>
  <c r="F40" i="5"/>
  <c r="G40" i="5"/>
  <c r="G36" i="5"/>
  <c r="F37" i="5"/>
  <c r="G37" i="5"/>
  <c r="F7" i="5"/>
  <c r="G43" i="5"/>
  <c r="F43" i="5"/>
  <c r="G25" i="5"/>
  <c r="F25" i="5"/>
  <c r="G9" i="5"/>
  <c r="F9" i="5"/>
  <c r="F16" i="5"/>
  <c r="G16" i="5"/>
  <c r="G15" i="5"/>
  <c r="G39" i="5"/>
  <c r="G22" i="5"/>
  <c r="F22" i="5"/>
  <c r="F17" i="5"/>
  <c r="G17" i="5"/>
  <c r="D41" i="5"/>
  <c r="C41" i="5"/>
  <c r="D3" i="5"/>
  <c r="C3" i="5"/>
  <c r="D2" i="5"/>
  <c r="C2" i="5"/>
  <c r="C13" i="5"/>
  <c r="D13" i="5"/>
  <c r="F4" i="5"/>
  <c r="C32" i="5"/>
  <c r="D32" i="5"/>
  <c r="C5" i="5"/>
  <c r="D5" i="5"/>
  <c r="C23" i="5"/>
  <c r="D23" i="5"/>
  <c r="C8" i="5"/>
  <c r="C6" i="5"/>
  <c r="D6" i="5"/>
  <c r="C40" i="5"/>
  <c r="D40" i="5"/>
  <c r="D36" i="5"/>
  <c r="C36" i="5"/>
  <c r="C37" i="5"/>
  <c r="D37" i="5"/>
  <c r="C7" i="5"/>
  <c r="D43" i="5"/>
  <c r="C43" i="5"/>
  <c r="D25" i="5"/>
  <c r="C25" i="5"/>
  <c r="C9" i="5"/>
  <c r="D9" i="5"/>
  <c r="D16" i="5"/>
  <c r="C16" i="5"/>
  <c r="C15" i="5"/>
  <c r="D15" i="5"/>
  <c r="D39" i="5"/>
  <c r="C39" i="5"/>
  <c r="C22" i="5"/>
  <c r="D22" i="5"/>
  <c r="C24" i="5"/>
  <c r="D24" i="5"/>
  <c r="C17" i="5"/>
  <c r="B41" i="5"/>
  <c r="B3" i="5"/>
  <c r="J29" i="5"/>
  <c r="B2" i="5"/>
  <c r="B13" i="5"/>
  <c r="J45" i="5"/>
  <c r="B32" i="5"/>
  <c r="B5" i="5"/>
  <c r="B23" i="5"/>
  <c r="B8" i="5"/>
  <c r="B6" i="5"/>
  <c r="B40" i="5"/>
  <c r="J21" i="5"/>
  <c r="B36" i="5"/>
  <c r="B37" i="5"/>
  <c r="B7" i="5"/>
  <c r="B43" i="5"/>
  <c r="B25" i="5"/>
  <c r="B9" i="5"/>
  <c r="J48" i="5"/>
  <c r="J47" i="5"/>
  <c r="J38" i="5"/>
  <c r="B16" i="5"/>
  <c r="B15" i="5"/>
  <c r="B39" i="5"/>
  <c r="B22" i="5"/>
  <c r="B24" i="5"/>
  <c r="B17" i="5"/>
  <c r="J18" i="5"/>
  <c r="J19" i="5"/>
  <c r="J35" i="5"/>
  <c r="J46" i="5"/>
  <c r="J27" i="5"/>
  <c r="J20" i="5"/>
  <c r="J12" i="5"/>
  <c r="J49" i="5"/>
  <c r="J34" i="5"/>
  <c r="J28" i="5"/>
  <c r="J33" i="5"/>
  <c r="J50" i="5"/>
  <c r="J30" i="5"/>
  <c r="J14" i="5"/>
  <c r="J11" i="5"/>
  <c r="J10" i="5"/>
  <c r="J42" i="5"/>
  <c r="G35" i="5"/>
  <c r="F35" i="5"/>
  <c r="F46" i="5"/>
  <c r="G46" i="5"/>
  <c r="F27" i="5"/>
  <c r="G27" i="5"/>
  <c r="G20" i="5"/>
  <c r="F20" i="5"/>
  <c r="G12" i="5"/>
  <c r="F12" i="5"/>
  <c r="G49" i="5"/>
  <c r="F49" i="5"/>
  <c r="G34" i="5"/>
  <c r="F34" i="5"/>
  <c r="G31" i="5"/>
  <c r="F28" i="5"/>
  <c r="G28" i="5"/>
  <c r="F51" i="5"/>
  <c r="G33" i="5"/>
  <c r="F33" i="5"/>
  <c r="G50" i="5"/>
  <c r="F50" i="5"/>
  <c r="G30" i="5"/>
  <c r="F30" i="5"/>
  <c r="G26" i="5"/>
  <c r="G14" i="5"/>
  <c r="F14" i="5"/>
  <c r="G11" i="5"/>
  <c r="F11" i="5"/>
  <c r="F10" i="5"/>
  <c r="G10" i="5"/>
  <c r="G42" i="5"/>
  <c r="F42" i="5"/>
  <c r="C35" i="5"/>
  <c r="D35" i="5"/>
  <c r="C46" i="5"/>
  <c r="D46" i="5"/>
  <c r="D27" i="5"/>
  <c r="C27" i="5"/>
  <c r="C20" i="5"/>
  <c r="D20" i="5"/>
  <c r="D12" i="5"/>
  <c r="C12" i="5"/>
  <c r="D49" i="5"/>
  <c r="C49" i="5"/>
  <c r="C34" i="5"/>
  <c r="D34" i="5"/>
  <c r="D31" i="5"/>
  <c r="C31" i="5"/>
  <c r="D28" i="5"/>
  <c r="C28" i="5"/>
  <c r="D51" i="5"/>
  <c r="C51" i="5"/>
  <c r="J39" i="5"/>
  <c r="D33" i="5"/>
  <c r="C33" i="5"/>
  <c r="D50" i="5"/>
  <c r="C50" i="5"/>
  <c r="J23" i="5"/>
  <c r="C30" i="5"/>
  <c r="D30" i="5"/>
  <c r="C26" i="5"/>
  <c r="D26" i="5"/>
  <c r="J44" i="5"/>
  <c r="C14" i="5"/>
  <c r="D14" i="5"/>
  <c r="C11" i="5"/>
  <c r="D11" i="5"/>
  <c r="C10" i="5"/>
  <c r="D10" i="5"/>
  <c r="D42" i="5"/>
  <c r="C42" i="5"/>
  <c r="J15" i="5"/>
  <c r="J41" i="5"/>
  <c r="B35" i="5"/>
  <c r="B46" i="5"/>
  <c r="B27" i="5"/>
  <c r="B20" i="5"/>
  <c r="B12" i="5"/>
  <c r="B49" i="5"/>
  <c r="B34" i="5"/>
  <c r="B31" i="5"/>
  <c r="B28" i="5"/>
  <c r="B51" i="5"/>
  <c r="F39" i="5"/>
  <c r="B33" i="5"/>
  <c r="B50" i="5"/>
  <c r="G23" i="5"/>
  <c r="B30" i="5"/>
  <c r="B26" i="5"/>
  <c r="G44" i="5"/>
  <c r="B14" i="5"/>
  <c r="B11" i="5"/>
  <c r="B10" i="5"/>
  <c r="G7" i="5"/>
  <c r="B42" i="5"/>
  <c r="F15" i="5"/>
  <c r="F41" i="5"/>
  <c r="AD9" i="2"/>
  <c r="AD16" i="2"/>
  <c r="AA4" i="2"/>
  <c r="AG33" i="2"/>
  <c r="AG41" i="2"/>
  <c r="AG49" i="2"/>
  <c r="AG44" i="2"/>
  <c r="AG27" i="2"/>
  <c r="AG14" i="2"/>
  <c r="AE29" i="2"/>
  <c r="AG29" i="2" s="1"/>
  <c r="AG46" i="2"/>
  <c r="AD5" i="2"/>
  <c r="AD22" i="2"/>
  <c r="Z36" i="2"/>
  <c r="V2" i="2"/>
  <c r="AE45" i="2"/>
  <c r="AG45" i="2" s="1"/>
  <c r="AE47" i="2"/>
  <c r="AG47" i="2" s="1"/>
  <c r="V24" i="2"/>
  <c r="AE18" i="2"/>
  <c r="AG18" i="2" s="1"/>
  <c r="AG11" i="2"/>
  <c r="AG20" i="2"/>
  <c r="AG50" i="2"/>
  <c r="AA51" i="2"/>
  <c r="AD51" i="2" s="1"/>
  <c r="AG34" i="2"/>
  <c r="AG15" i="2"/>
  <c r="AD32" i="2"/>
  <c r="AD6" i="2"/>
  <c r="AD4" i="2"/>
  <c r="AE38" i="2"/>
  <c r="AG38" i="2" s="1"/>
  <c r="AE19" i="2"/>
  <c r="AG19" i="2" s="1"/>
  <c r="AG12" i="2"/>
  <c r="AG28" i="2"/>
  <c r="AD37" i="2"/>
  <c r="AD25" i="2"/>
  <c r="Z3" i="2"/>
  <c r="AD36" i="2"/>
  <c r="X8" i="2"/>
  <c r="AE21" i="2"/>
  <c r="AG21" i="2" s="1"/>
  <c r="X7" i="2"/>
  <c r="AG35" i="2"/>
  <c r="AG39" i="2"/>
  <c r="Z31" i="2"/>
  <c r="AG10" i="2"/>
  <c r="Z26" i="2"/>
  <c r="AD26" i="2" s="1"/>
  <c r="AE26" i="2" s="1"/>
  <c r="AG30" i="2"/>
  <c r="AD31" i="2"/>
  <c r="AE31" i="2" s="1"/>
  <c r="AE51" i="2"/>
  <c r="AD13" i="2"/>
  <c r="AD40" i="2"/>
  <c r="AD43" i="2"/>
  <c r="AA8" i="2"/>
  <c r="AE48" i="2"/>
  <c r="AG48" i="2" s="1"/>
  <c r="X17" i="2"/>
  <c r="AG23" i="2"/>
  <c r="AG42" i="2"/>
  <c r="Z2" i="2"/>
  <c r="AA2" i="2"/>
  <c r="AA24" i="2"/>
  <c r="AD3" i="2"/>
  <c r="AD7" i="2"/>
  <c r="AD8" i="2"/>
  <c r="AD17" i="2"/>
  <c r="AE7" i="2"/>
  <c r="AG7" i="2" s="1"/>
  <c r="J17" i="5" l="1"/>
  <c r="J8" i="5"/>
  <c r="J7" i="5"/>
  <c r="J3" i="5"/>
  <c r="G24" i="5"/>
  <c r="G2" i="5"/>
  <c r="F2" i="5"/>
  <c r="D17" i="5"/>
  <c r="L48" i="5"/>
  <c r="G8" i="5"/>
  <c r="J43" i="5"/>
  <c r="J40" i="5"/>
  <c r="J13" i="5"/>
  <c r="D7" i="5"/>
  <c r="L21" i="5"/>
  <c r="D8" i="5"/>
  <c r="J36" i="5"/>
  <c r="F3" i="5"/>
  <c r="J25" i="5"/>
  <c r="J37" i="5"/>
  <c r="L19" i="5"/>
  <c r="L38" i="5"/>
  <c r="J4" i="5"/>
  <c r="J6" i="5"/>
  <c r="J32" i="5"/>
  <c r="L18" i="5"/>
  <c r="L47" i="5"/>
  <c r="L45" i="5"/>
  <c r="F36" i="5"/>
  <c r="J22" i="5"/>
  <c r="J5" i="5"/>
  <c r="L29" i="5"/>
  <c r="G4" i="5"/>
  <c r="J16" i="5"/>
  <c r="J9" i="5"/>
  <c r="J26" i="5"/>
  <c r="J51" i="5"/>
  <c r="J31" i="5"/>
  <c r="L15" i="5"/>
  <c r="L14" i="5"/>
  <c r="L42" i="5"/>
  <c r="L30" i="5"/>
  <c r="L34" i="5"/>
  <c r="L27" i="5"/>
  <c r="L28" i="5"/>
  <c r="F26" i="5"/>
  <c r="G51" i="5"/>
  <c r="L44" i="5"/>
  <c r="L23" i="5"/>
  <c r="L10" i="5"/>
  <c r="L50" i="5"/>
  <c r="L49" i="5"/>
  <c r="L46" i="5"/>
  <c r="F31" i="5"/>
  <c r="L20" i="5"/>
  <c r="L41" i="5"/>
  <c r="L7" i="5"/>
  <c r="L39" i="5"/>
  <c r="L11" i="5"/>
  <c r="L33" i="5"/>
  <c r="L12" i="5"/>
  <c r="L35" i="5"/>
  <c r="AE17" i="2"/>
  <c r="AG17" i="2" s="1"/>
  <c r="AE36" i="2"/>
  <c r="AG36" i="2" s="1"/>
  <c r="Z24" i="2"/>
  <c r="AE22" i="2"/>
  <c r="AG22" i="2" s="1"/>
  <c r="AE9" i="2"/>
  <c r="AG9" i="2" s="1"/>
  <c r="AE43" i="2"/>
  <c r="AG43" i="2" s="1"/>
  <c r="AE25" i="2"/>
  <c r="AG25" i="2" s="1"/>
  <c r="AE3" i="2"/>
  <c r="AD2" i="2"/>
  <c r="AE40" i="2"/>
  <c r="AG40" i="2" s="1"/>
  <c r="AE37" i="2"/>
  <c r="AG37" i="2" s="1"/>
  <c r="AE4" i="2"/>
  <c r="AE32" i="2"/>
  <c r="AG32" i="2" s="1"/>
  <c r="AG26" i="2"/>
  <c r="AE8" i="2"/>
  <c r="AG8" i="2" s="1"/>
  <c r="AE5" i="2"/>
  <c r="AG5" i="2" s="1"/>
  <c r="AE16" i="2"/>
  <c r="AG16" i="2" s="1"/>
  <c r="AG51" i="2"/>
  <c r="AD24" i="2"/>
  <c r="AE13" i="2"/>
  <c r="AG13" i="2" s="1"/>
  <c r="AE6" i="2"/>
  <c r="AG6" i="2" s="1"/>
  <c r="AG31" i="2"/>
  <c r="L6" i="5" l="1"/>
  <c r="L13" i="5"/>
  <c r="J24" i="5"/>
  <c r="L16" i="5"/>
  <c r="L5" i="5"/>
  <c r="L8" i="5"/>
  <c r="L32" i="5"/>
  <c r="L37" i="5"/>
  <c r="L40" i="5"/>
  <c r="J2" i="5"/>
  <c r="L25" i="5"/>
  <c r="L43" i="5"/>
  <c r="L9" i="5"/>
  <c r="L22" i="5"/>
  <c r="F24" i="5"/>
  <c r="L36" i="5"/>
  <c r="L17" i="5"/>
  <c r="L31" i="5"/>
  <c r="L51" i="5"/>
  <c r="L26" i="5"/>
  <c r="AG4" i="2"/>
  <c r="AE24" i="2"/>
  <c r="AG24" i="2" s="1"/>
  <c r="AE2" i="2"/>
  <c r="AG3" i="2"/>
  <c r="L3" i="5" l="1"/>
  <c r="L24" i="5"/>
  <c r="L4" i="5"/>
  <c r="AG2" i="2"/>
  <c r="L2" i="5" l="1"/>
</calcChain>
</file>

<file path=xl/sharedStrings.xml><?xml version="1.0" encoding="utf-8"?>
<sst xmlns="http://schemas.openxmlformats.org/spreadsheetml/2006/main" count="879" uniqueCount="312">
  <si>
    <t>Matricule</t>
  </si>
  <si>
    <t>Prenom</t>
  </si>
  <si>
    <t>Nom</t>
  </si>
  <si>
    <t>Sexe</t>
  </si>
  <si>
    <t>Categorie</t>
  </si>
  <si>
    <t>Avantages</t>
  </si>
  <si>
    <t>Indemnites</t>
  </si>
  <si>
    <t>IPM</t>
  </si>
  <si>
    <t>Oppositions</t>
  </si>
  <si>
    <t>Masculin</t>
  </si>
  <si>
    <t>Marie</t>
  </si>
  <si>
    <t>A</t>
  </si>
  <si>
    <t>B</t>
  </si>
  <si>
    <t>C</t>
  </si>
  <si>
    <t>SBS</t>
  </si>
  <si>
    <t>RG</t>
  </si>
  <si>
    <t>RC</t>
  </si>
  <si>
    <t>Trimf</t>
  </si>
  <si>
    <t>IR</t>
  </si>
  <si>
    <t>Employé</t>
  </si>
  <si>
    <t>Retenues</t>
  </si>
  <si>
    <t>Sursalaire</t>
  </si>
  <si>
    <t>Libellé</t>
  </si>
  <si>
    <t>Lieu de naiss</t>
  </si>
  <si>
    <t>Genre</t>
  </si>
  <si>
    <t>Etat civil</t>
  </si>
  <si>
    <t>ECRITURES COMPTABLES DE LA GESTION DE PAIE</t>
  </si>
  <si>
    <t>N°Cmpte-Debit</t>
  </si>
  <si>
    <t>Mtnt-Debit</t>
  </si>
  <si>
    <t>Mtnt-Credit</t>
  </si>
  <si>
    <t>N°Cmpte-Credit</t>
  </si>
  <si>
    <t>Avance et Acomptes</t>
  </si>
  <si>
    <t>Banque</t>
  </si>
  <si>
    <t>Renumerations directes versées</t>
  </si>
  <si>
    <t>Indemnites forfaitaires</t>
  </si>
  <si>
    <t>Personnel renumerations dues</t>
  </si>
  <si>
    <t>Personnel renumeration dues</t>
  </si>
  <si>
    <t>Versement d'avances et acomptes</t>
  </si>
  <si>
    <t>Comptabilisation du livre de paie</t>
  </si>
  <si>
    <t>Retraite Obligatoire</t>
  </si>
  <si>
    <t>Retraite Facultative</t>
  </si>
  <si>
    <t>Mutuelle de Santé</t>
  </si>
  <si>
    <t>Etat,Impots,Retenues a la source</t>
  </si>
  <si>
    <t>Opposition</t>
  </si>
  <si>
    <t>Comptabilisation du reglement des salaries et oppositions</t>
  </si>
  <si>
    <t>Etat_civil</t>
  </si>
  <si>
    <t>Celibataire</t>
  </si>
  <si>
    <t>Feminin</t>
  </si>
  <si>
    <t>1231-BA/B</t>
  </si>
  <si>
    <t>ADAMA</t>
  </si>
  <si>
    <t>BA</t>
  </si>
  <si>
    <t>DAKAR</t>
  </si>
  <si>
    <t>1232-BAMPASSY/B</t>
  </si>
  <si>
    <t>ALEX</t>
  </si>
  <si>
    <t>BAMPASSY</t>
  </si>
  <si>
    <t>TAMBA</t>
  </si>
  <si>
    <t>Heure_supp(15%)</t>
  </si>
  <si>
    <t>Heure_supp(40%)</t>
  </si>
  <si>
    <t>Heure_supp(60%)</t>
  </si>
  <si>
    <t>Heure_supp(100%)</t>
  </si>
  <si>
    <t>Salaire Brut Social</t>
  </si>
  <si>
    <t>Salaire Brut Fiscal</t>
  </si>
  <si>
    <t>Salaire Net</t>
  </si>
  <si>
    <t>AV_AC</t>
  </si>
  <si>
    <t>RETENUES</t>
  </si>
  <si>
    <t>TRIMF</t>
  </si>
  <si>
    <t>OPP</t>
  </si>
  <si>
    <t>IND.</t>
  </si>
  <si>
    <t>NAP</t>
  </si>
  <si>
    <t>Matricule:</t>
  </si>
  <si>
    <t>Prenom:</t>
  </si>
  <si>
    <t>Nom:</t>
  </si>
  <si>
    <t>Age:</t>
  </si>
  <si>
    <t>Etat Civil:</t>
  </si>
  <si>
    <t>Nbre Epouses:</t>
  </si>
  <si>
    <t>Nbre Enfants:</t>
  </si>
  <si>
    <t>Salaire de base:</t>
  </si>
  <si>
    <t>Primes Imposables</t>
  </si>
  <si>
    <t>Salaire Brut Social:</t>
  </si>
  <si>
    <t>Sursalaire:</t>
  </si>
  <si>
    <t>Avantages:</t>
  </si>
  <si>
    <t>Salaire Brut Fiscal:</t>
  </si>
  <si>
    <t>Avances et Acomptes:</t>
  </si>
  <si>
    <t>Oppositions:</t>
  </si>
  <si>
    <t>Regime General:</t>
  </si>
  <si>
    <t>Regime Cadre:</t>
  </si>
  <si>
    <t>IPM:</t>
  </si>
  <si>
    <t>TRIMF:</t>
  </si>
  <si>
    <t>IR:</t>
  </si>
  <si>
    <t>Total Retenues:</t>
  </si>
  <si>
    <t>Salaire Net:</t>
  </si>
  <si>
    <t>Primes et indemnités non imposables:</t>
  </si>
  <si>
    <t xml:space="preserve">Dans votre intérêt, et pour vous aider à faire valoir vos droits, </t>
  </si>
  <si>
    <t xml:space="preserve">conservez ce bulletin de paie sans limitation de durée. </t>
  </si>
  <si>
    <t>Date de naissance:</t>
  </si>
  <si>
    <t>Lieu de naissance:</t>
  </si>
  <si>
    <t>Genre:</t>
  </si>
  <si>
    <t>Categorie:</t>
  </si>
  <si>
    <t>Type Regime</t>
  </si>
  <si>
    <t>General</t>
  </si>
  <si>
    <t>Heures Supplementaires a (15%):</t>
  </si>
  <si>
    <t>Heures Supplémentaires a (40%):</t>
  </si>
  <si>
    <t>Heures Supplémentaires a (60%)</t>
  </si>
  <si>
    <t>Heures Supplémentaires a (100%)</t>
  </si>
  <si>
    <t>Net a Payer :</t>
  </si>
  <si>
    <t>Total</t>
  </si>
  <si>
    <t>Employés de genre feminn</t>
  </si>
  <si>
    <t>Employés de genre masculin</t>
  </si>
  <si>
    <t>Employs mariés</t>
  </si>
  <si>
    <t>Emplyés célibataires</t>
  </si>
  <si>
    <t xml:space="preserve">Jeunes </t>
  </si>
  <si>
    <t>Adultes</t>
  </si>
  <si>
    <t>Vieux</t>
  </si>
  <si>
    <t>Cadres</t>
  </si>
  <si>
    <t>Non Cadres</t>
  </si>
  <si>
    <t xml:space="preserve">Regime general </t>
  </si>
  <si>
    <t>Regime cadre</t>
  </si>
  <si>
    <t>Total en valeur</t>
  </si>
  <si>
    <t>1233-BEYE/B</t>
  </si>
  <si>
    <t>ALA</t>
  </si>
  <si>
    <t>BEYE</t>
  </si>
  <si>
    <t>GOUDIRY</t>
  </si>
  <si>
    <t>1234-BOYE/C</t>
  </si>
  <si>
    <t>MEDOUNE</t>
  </si>
  <si>
    <t>BOYE</t>
  </si>
  <si>
    <t>FATICK</t>
  </si>
  <si>
    <t>1235-CISSE/C</t>
  </si>
  <si>
    <t>LAHAT</t>
  </si>
  <si>
    <t>CISSE</t>
  </si>
  <si>
    <t>GUEDIAWAYE</t>
  </si>
  <si>
    <t>1236-DEME/C</t>
  </si>
  <si>
    <t xml:space="preserve">FARY  </t>
  </si>
  <si>
    <t>DEME</t>
  </si>
  <si>
    <t>RANEROU</t>
  </si>
  <si>
    <t>4567-DIAGNE/A</t>
  </si>
  <si>
    <t>MBOMBE</t>
  </si>
  <si>
    <t>DIAGNE</t>
  </si>
  <si>
    <t>PIKINE</t>
  </si>
  <si>
    <t>4568-DIALLO</t>
  </si>
  <si>
    <t>YACINE</t>
  </si>
  <si>
    <t>DIALLO</t>
  </si>
  <si>
    <t>1239-DIALLO/A</t>
  </si>
  <si>
    <t>ALIOUNE NDIAYE</t>
  </si>
  <si>
    <t>12310-DIAME/A</t>
  </si>
  <si>
    <t xml:space="preserve">KARIM ABDEL </t>
  </si>
  <si>
    <t>DIAME</t>
  </si>
  <si>
    <t>BANJUL</t>
  </si>
  <si>
    <t>45611-DIAO/B</t>
  </si>
  <si>
    <t>AISSATOU SECK</t>
  </si>
  <si>
    <t>DIAO</t>
  </si>
  <si>
    <t>ZINGUINCHOR</t>
  </si>
  <si>
    <t>12312-DIATTA/B</t>
  </si>
  <si>
    <t>LEON</t>
  </si>
  <si>
    <t>DIATTA</t>
  </si>
  <si>
    <t>OUSSOUYE</t>
  </si>
  <si>
    <t>45613-DIAW/B</t>
  </si>
  <si>
    <t>AWA</t>
  </si>
  <si>
    <t>DIAW</t>
  </si>
  <si>
    <t>DIOURBEL</t>
  </si>
  <si>
    <t>12314-DIOP/C</t>
  </si>
  <si>
    <t>HABIB</t>
  </si>
  <si>
    <t>DIOP</t>
  </si>
  <si>
    <t>BAMBEY</t>
  </si>
  <si>
    <t>12315-DIOP/C</t>
  </si>
  <si>
    <t>BABACAR</t>
  </si>
  <si>
    <t>MODOU</t>
  </si>
  <si>
    <t>DIOUF</t>
  </si>
  <si>
    <t>KAFFRINE</t>
  </si>
  <si>
    <t>12316-DIOUF/C</t>
  </si>
  <si>
    <t>12317-DIOUF/C</t>
  </si>
  <si>
    <t>HENRY</t>
  </si>
  <si>
    <t>LOMPOUL</t>
  </si>
  <si>
    <t>12318-DIOUM/C</t>
  </si>
  <si>
    <t>ASSANE</t>
  </si>
  <si>
    <t>DIOUM</t>
  </si>
  <si>
    <t>MBOUR</t>
  </si>
  <si>
    <t>12319-FALL/C</t>
  </si>
  <si>
    <t>SENGANE</t>
  </si>
  <si>
    <t>FALL</t>
  </si>
  <si>
    <t>JOAL</t>
  </si>
  <si>
    <t>12320-FALL/B</t>
  </si>
  <si>
    <t>LAMINE</t>
  </si>
  <si>
    <t>YOFF</t>
  </si>
  <si>
    <t>12321-FAYE/B</t>
  </si>
  <si>
    <t>%OUHAMED</t>
  </si>
  <si>
    <t>FAYE</t>
  </si>
  <si>
    <t>RUFISQUE</t>
  </si>
  <si>
    <t>NDIAYA</t>
  </si>
  <si>
    <t>SAINT LOUIS</t>
  </si>
  <si>
    <t>45622-FAYE/B</t>
  </si>
  <si>
    <t>12323-GNING/C</t>
  </si>
  <si>
    <t>DAME</t>
  </si>
  <si>
    <t>GNING</t>
  </si>
  <si>
    <t>TOUBA</t>
  </si>
  <si>
    <t>12324-GUEYE/C</t>
  </si>
  <si>
    <t>BOUBA</t>
  </si>
  <si>
    <t>GUEYE</t>
  </si>
  <si>
    <t>SEDHIOU</t>
  </si>
  <si>
    <t>45625-GUEYE/C</t>
  </si>
  <si>
    <t>KINE</t>
  </si>
  <si>
    <t>AERO LAO</t>
  </si>
  <si>
    <t>12326-K1NDJ/C</t>
  </si>
  <si>
    <t>MADIOP</t>
  </si>
  <si>
    <t>KANDJ</t>
  </si>
  <si>
    <t>KEDOUGOU</t>
  </si>
  <si>
    <t>12327-KARE/A</t>
  </si>
  <si>
    <t>KARE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</si>
  <si>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</si>
  <si>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</si>
  <si>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</si>
  <si>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</si>
  <si>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</si>
  <si>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</si>
  <si>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</si>
  <si>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</si>
  <si>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</si>
  <si>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12330-L0/A</t>
  </si>
  <si>
    <t>MOUSTAPHA DIOP</t>
  </si>
  <si>
    <t>LO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</si>
  <si>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</si>
  <si>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</si>
  <si>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</si>
  <si>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</si>
  <si>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</si>
  <si>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</si>
  <si>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</si>
  <si>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</si>
  <si>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</si>
  <si>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°</t>
  </si>
  <si>
    <t>12333-MBENGUE/B</t>
  </si>
  <si>
    <t>MBENGUE</t>
  </si>
  <si>
    <t>KAOLACK</t>
  </si>
  <si>
    <t>45634-NDIAYE/B</t>
  </si>
  <si>
    <t>FATIM</t>
  </si>
  <si>
    <t>NDIAYE</t>
  </si>
  <si>
    <t>VELINGARA</t>
  </si>
  <si>
    <t>YOUSSOU</t>
  </si>
  <si>
    <t>NGOM</t>
  </si>
  <si>
    <t>OUAKAM</t>
  </si>
  <si>
    <t>12335-NGOM/B</t>
  </si>
  <si>
    <t>12336-PREIRA/B</t>
  </si>
  <si>
    <t>FRANCOIS</t>
  </si>
  <si>
    <t>PREIRA</t>
  </si>
  <si>
    <t>PARIS</t>
  </si>
  <si>
    <t>12337-SAGNA/C</t>
  </si>
  <si>
    <t>MBAYA</t>
  </si>
  <si>
    <t>SAGNA</t>
  </si>
  <si>
    <t>12338-SAGNA/A</t>
  </si>
  <si>
    <t>FREDERIC</t>
  </si>
  <si>
    <t>45639-SAMB/C</t>
  </si>
  <si>
    <t>ALIMATOU</t>
  </si>
  <si>
    <t>SAMB</t>
  </si>
  <si>
    <t>45640-SAMB/C</t>
  </si>
  <si>
    <t>DIARRY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</si>
  <si>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</si>
  <si>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</si>
  <si>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</si>
  <si>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</si>
  <si>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</si>
  <si>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</si>
  <si>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</si>
  <si>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</si>
  <si>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>IBRAHIMA</t>
  </si>
  <si>
    <t>SENE</t>
  </si>
  <si>
    <t>MBACKE</t>
  </si>
  <si>
    <t>SEYDI/B</t>
  </si>
  <si>
    <t>MOUSSA</t>
  </si>
  <si>
    <t>SEYDI</t>
  </si>
  <si>
    <t>45645-SOW/B</t>
  </si>
  <si>
    <t>KHADY</t>
  </si>
  <si>
    <t>SOW</t>
  </si>
  <si>
    <t>CASCAS</t>
  </si>
  <si>
    <t>12346-SY/B</t>
  </si>
  <si>
    <t>ALPHA</t>
  </si>
  <si>
    <t>SY</t>
  </si>
  <si>
    <t>12347-TALL/B</t>
  </si>
  <si>
    <t>TALL</t>
  </si>
  <si>
    <t>MOUSTAPHA</t>
  </si>
  <si>
    <t>45648-TALL/B</t>
  </si>
  <si>
    <t>NDEYE</t>
  </si>
  <si>
    <t>12349-TAVARES/B</t>
  </si>
  <si>
    <t>PHILIPPE MODOU</t>
  </si>
  <si>
    <t>TAVARES</t>
  </si>
  <si>
    <t>12350-THIAM/B</t>
  </si>
  <si>
    <t>KHADIM</t>
  </si>
  <si>
    <t>THIAM</t>
  </si>
  <si>
    <t>Numero</t>
  </si>
  <si>
    <t>Date de naiss</t>
  </si>
  <si>
    <t>nbre Epouses</t>
  </si>
  <si>
    <t>Nbre Enfants</t>
  </si>
  <si>
    <t>H.Supp(15%)</t>
  </si>
  <si>
    <t>H.Supp(40%)</t>
  </si>
  <si>
    <t>H.Supp(60%)</t>
  </si>
  <si>
    <t>H.Supp(100%)</t>
  </si>
  <si>
    <t>Primes</t>
  </si>
  <si>
    <t>Av_Acomptes</t>
  </si>
  <si>
    <t>Type de regime</t>
  </si>
  <si>
    <t>Salaire base</t>
  </si>
  <si>
    <t>Age</t>
  </si>
  <si>
    <t>Nbre Epouses</t>
  </si>
  <si>
    <t>Regime General</t>
  </si>
  <si>
    <t>Regime Cdare</t>
  </si>
  <si>
    <t>Impot sur le revenu</t>
  </si>
  <si>
    <t>Avances_Acomptes</t>
  </si>
  <si>
    <t>Totales Retenues</t>
  </si>
  <si>
    <t>Salaire net à payer</t>
  </si>
  <si>
    <t>Salaire B. Social</t>
  </si>
  <si>
    <t>350126,6</t>
  </si>
  <si>
    <t>26/10/1975</t>
  </si>
  <si>
    <t>407142,6</t>
  </si>
  <si>
    <t>323582,6</t>
  </si>
  <si>
    <t>336082,6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</si>
</sst>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XOF]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/>
    <xf numFmtId="0" fontId="0" fillId="0" borderId="0" xfId="0" applyAlignment="1">
      <alignment horizontal="right"/>
    </xf>
    <xf numFmtId="0" fontId="1" fillId="2" borderId="4" xfId="0" applyFont="1" applyFill="1" applyBorder="1"/>
    <xf numFmtId="0" fontId="1" fillId="2" borderId="10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0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7" xfId="0" applyFont="1" applyFill="1" applyBorder="1" applyAlignment="1"/>
    <xf numFmtId="0" fontId="1" fillId="2" borderId="11" xfId="0" applyFont="1" applyFill="1" applyBorder="1" applyAlignment="1"/>
    <xf numFmtId="0" fontId="1" fillId="2" borderId="9" xfId="0" applyFont="1" applyFill="1" applyBorder="1" applyAlignment="1"/>
    <xf numFmtId="0" fontId="1" fillId="2" borderId="13" xfId="0" applyFont="1" applyFill="1" applyBorder="1"/>
    <xf numFmtId="0" fontId="1" fillId="2" borderId="2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14" fontId="1" fillId="2" borderId="3" xfId="0" applyNumberFormat="1" applyFont="1" applyFill="1" applyBorder="1" applyAlignment="1">
      <alignment horizontal="left"/>
    </xf>
    <xf numFmtId="164" fontId="1" fillId="2" borderId="1" xfId="0" applyNumberFormat="1" applyFont="1" applyFill="1" applyBorder="1" applyAlignment="1">
      <alignment horizontal="right"/>
    </xf>
    <xf numFmtId="164" fontId="1" fillId="2" borderId="3" xfId="0" applyNumberFormat="1" applyFont="1" applyFill="1" applyBorder="1" applyAlignment="1">
      <alignment horizontal="right"/>
    </xf>
    <xf numFmtId="0" fontId="2" fillId="2" borderId="12" xfId="0" applyFont="1" applyFill="1" applyBorder="1"/>
    <xf numFmtId="0" fontId="2" fillId="2" borderId="11" xfId="0" applyFont="1" applyFill="1" applyBorder="1"/>
    <xf numFmtId="0" fontId="2" fillId="2" borderId="2" xfId="0" applyFont="1" applyFill="1" applyBorder="1"/>
    <xf numFmtId="14" fontId="0" fillId="0" borderId="0" xfId="0" applyNumberFormat="1"/>
    <xf numFmtId="0" fontId="3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B159B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000"/>
              <a:t>Répartition selon la situation matrimoniale</a:t>
            </a:r>
          </a:p>
        </c:rich>
      </c:tx>
      <c:layout>
        <c:manualLayout>
          <c:xMode val="edge"/>
          <c:yMode val="edge"/>
          <c:x val="0.12022691705790295"/>
          <c:y val="4.59929530666590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'ETAT CIVIL'!$A$1</c:f>
              <c:strCache>
                <c:ptCount val="1"/>
                <c:pt idx="0">
                  <c:v>Employs mariés</c:v>
                </c:pt>
              </c:strCache>
            </c:strRef>
          </c:tx>
          <c:spPr>
            <a:gradFill rotWithShape="1">
              <a:gsLst>
                <a:gs pos="0">
                  <a:schemeClr val="accent1"/>
                </a:gs>
                <a:gs pos="100000">
                  <a:schemeClr val="accent1">
                    <a:shade val="48000"/>
                    <a:satMod val="180000"/>
                    <a:lumMod val="94000"/>
                  </a:schemeClr>
                </a:gs>
                <a:gs pos="100000">
                  <a:schemeClr val="accent1">
                    <a:shade val="48000"/>
                    <a:satMod val="180000"/>
                    <a:lumMod val="94000"/>
                  </a:schemeClr>
                </a:gs>
              </a:gsLst>
              <a:lin ang="4140000" scaled="1"/>
            </a:gradFill>
            <a:ln>
              <a:noFill/>
            </a:ln>
            <a:effectLst>
              <a:outerShdw blurRad="114300" dist="114300" dir="5400000" rotWithShape="0">
                <a:srgbClr val="000000">
                  <a:alpha val="70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9800000"/>
              </a:lightRig>
            </a:scene3d>
            <a:sp3d prstMaterial="plastic">
              <a:bevelT w="38100" h="31750"/>
            </a:sp3d>
          </c:spPr>
          <c:invertIfNegative val="0"/>
          <c:dLbls>
            <c:dLbl>
              <c:idx val="0"/>
              <c:layout>
                <c:manualLayout>
                  <c:x val="-0.14444433508311463"/>
                  <c:y val="0.1712962962962963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Mariés; </a:t>
                    </a:r>
                    <a:fld id="{BC3F881F-976D-4805-B2B2-25E992DD34DB}" type="VALUE">
                      <a:rPr lang="en-US"/>
                      <a:pPr/>
                      <a:t>[VALEUR]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949-4DE3-85EB-1A5443130119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'ETAT CIVIL'!$B$1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0-E949-4DE3-85EB-1A5443130119}"/>
            </c:ext>
          </c:extLst>
        </c:ser>
        <c:ser>
          <c:idx val="1"/>
          <c:order val="1"/>
          <c:tx>
            <c:strRef>
              <c:f>'ETAT CIVIL'!$A$2</c:f>
              <c:strCache>
                <c:ptCount val="1"/>
                <c:pt idx="0">
                  <c:v>Emplyés célibataires</c:v>
                </c:pt>
              </c:strCache>
            </c:strRef>
          </c:tx>
          <c:spPr>
            <a:gradFill rotWithShape="1">
              <a:gsLst>
                <a:gs pos="0">
                  <a:schemeClr val="accent2"/>
                </a:gs>
                <a:gs pos="100000">
                  <a:schemeClr val="accent2">
                    <a:shade val="48000"/>
                    <a:satMod val="180000"/>
                    <a:lumMod val="94000"/>
                  </a:schemeClr>
                </a:gs>
                <a:gs pos="100000">
                  <a:schemeClr val="accent2">
                    <a:shade val="48000"/>
                    <a:satMod val="180000"/>
                    <a:lumMod val="94000"/>
                  </a:schemeClr>
                </a:gs>
              </a:gsLst>
              <a:lin ang="4140000" scaled="1"/>
            </a:gradFill>
            <a:ln>
              <a:noFill/>
            </a:ln>
            <a:effectLst>
              <a:outerShdw blurRad="114300" dist="114300" dir="5400000" rotWithShape="0">
                <a:srgbClr val="000000">
                  <a:alpha val="70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9800000"/>
              </a:lightRig>
            </a:scene3d>
            <a:sp3d prstMaterial="plastic">
              <a:bevelT w="38100" h="31750"/>
            </a:sp3d>
          </c:spPr>
          <c:invertIfNegative val="0"/>
          <c:dLbls>
            <c:dLbl>
              <c:idx val="0"/>
              <c:layout>
                <c:manualLayout>
                  <c:x val="0.21527777777777768"/>
                  <c:y val="-3.2407407407407406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Célibataires; </a:t>
                    </a:r>
                    <a:fld id="{07A62B8D-616D-4655-9A1C-A71CDF47D40B}" type="VALUE">
                      <a:rPr lang="en-US"/>
                      <a:pPr>
                        <a:defRPr/>
                      </a:pPr>
                      <a:t>[VALEUR]</a:t>
                    </a:fld>
                    <a:endParaRPr lang="en-US"/>
                  </a:p>
                </c:rich>
              </c:tx>
              <c:spPr>
                <a:solidFill>
                  <a:schemeClr val="lt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127450"/>
                        <a:gd name="adj2" fmla="val 114731"/>
                      </a:avLst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949-4DE3-85EB-1A5443130119}"/>
                </c:ext>
              </c:extLst>
            </c:dLbl>
            <c:spPr>
              <a:solidFill>
                <a:schemeClr val="lt1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'ETAT CIVIL'!$B$2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3-E949-4DE3-85EB-1A5443130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18634680"/>
        <c:axId val="418640256"/>
        <c:axId val="0"/>
      </c:bar3DChart>
      <c:catAx>
        <c:axId val="418634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8640256"/>
        <c:crosses val="autoZero"/>
        <c:auto val="1"/>
        <c:lblAlgn val="ctr"/>
        <c:lblOffset val="100"/>
        <c:noMultiLvlLbl val="0"/>
      </c:catAx>
      <c:valAx>
        <c:axId val="41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700"/>
                  <a:t>PART PAR CATEGORIE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863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bg1"/>
                </a:solidFill>
              </a:rPr>
              <a:t>Répartition selon le</a:t>
            </a:r>
            <a:r>
              <a:rPr lang="fr-FR" baseline="0">
                <a:solidFill>
                  <a:schemeClr val="bg1"/>
                </a:solidFill>
              </a:rPr>
              <a:t> Sexe</a:t>
            </a:r>
            <a:endParaRPr lang="fr-F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15176126727175865"/>
          <c:y val="1.68918918918918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50"/>
      <c:rotY val="113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5518311607697082E-2"/>
          <c:y val="1.6751347804497409E-2"/>
          <c:w val="0.98448168839230288"/>
          <c:h val="0.97832118535858692"/>
        </c:manualLayout>
      </c:layout>
      <c:pie3DChart>
        <c:varyColors val="1"/>
        <c:ser>
          <c:idx val="0"/>
          <c:order val="0"/>
          <c:spPr>
            <a:solidFill>
              <a:srgbClr val="FFFF00"/>
            </a:solidFill>
          </c:spPr>
          <c:explosion val="38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2-E643-4B17-856D-FCAD19AF2841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>
              <c:ext xmlns:c16="http://schemas.microsoft.com/office/drawing/2014/chart" uri="{C3380CC4-5D6E-409C-BE32-E72D297353CC}">
                <c16:uniqueId val="{00000001-E643-4B17-856D-FCAD19AF2841}"/>
              </c:ext>
            </c:extLst>
          </c:dPt>
          <c:dLbls>
            <c:dLbl>
              <c:idx val="0"/>
              <c:layout>
                <c:manualLayout>
                  <c:x val="1.5670073363734539E-2"/>
                  <c:y val="-0.33965424568308306"/>
                </c:manualLayout>
              </c:layout>
              <c:spPr>
                <a:xfrm>
                  <a:off x="64121" y="291178"/>
                  <a:ext cx="1322270" cy="537598"/>
                </a:xfrm>
                <a:solidFill>
                  <a:sysClr val="window" lastClr="FFFFFF">
                    <a:alpha val="75000"/>
                  </a:sysClr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39894"/>
                        <a:gd name="adj2" fmla="val 82489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2314012424424599"/>
                      <c:h val="0.281079357112233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643-4B17-856D-FCAD19AF2841}"/>
                </c:ext>
              </c:extLst>
            </c:dLbl>
            <c:dLbl>
              <c:idx val="1"/>
              <c:layout>
                <c:manualLayout>
                  <c:x val="4.4734282516361433E-2"/>
                  <c:y val="0.4104756825715509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43-4B17-856D-FCAD19AF2841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SEXE!$A$1:$A$2</c:f>
              <c:strCache>
                <c:ptCount val="2"/>
                <c:pt idx="0">
                  <c:v>Employés de genre masculin</c:v>
                </c:pt>
                <c:pt idx="1">
                  <c:v>Employés de genre feminn</c:v>
                </c:pt>
              </c:strCache>
            </c:strRef>
          </c:cat>
          <c:val>
            <c:numRef>
              <c:f>SEXE!$B$1:$B$2</c:f>
              <c:numCache>
                <c:formatCode>General</c:formatCode>
                <c:ptCount val="2"/>
                <c:pt idx="0">
                  <c:v>38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3-4B17-856D-FCAD19AF284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selon l'age</a:t>
            </a:r>
            <a:endParaRPr lang="fr-FR"/>
          </a:p>
        </c:rich>
      </c:tx>
      <c:layout>
        <c:manualLayout>
          <c:xMode val="edge"/>
          <c:yMode val="edge"/>
          <c:x val="0.28220167534003304"/>
          <c:y val="1.23228589032655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60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0076240469941254E-2"/>
          <c:y val="0.16859071362008085"/>
          <c:w val="0.90850566756078566"/>
          <c:h val="0.47256077740744512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>
              <a:outerShdw blurRad="114300" dist="114300" dir="5400000" rotWithShape="0">
                <a:srgbClr val="000000">
                  <a:alpha val="70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9800000"/>
              </a:lightRig>
            </a:scene3d>
            <a:sp3d prstMaterial="plastic">
              <a:bevelT w="38100" h="3175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114300" dist="114300" dir="5400000" rotWithShape="0">
                  <a:srgbClr val="000000">
                    <a:alpha val="7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9800000"/>
                </a:lightRig>
              </a:scene3d>
              <a:sp3d prstMaterial="plastic">
                <a:bevelT w="38100" h="31750"/>
              </a:sp3d>
            </c:spPr>
            <c:extLst>
              <c:ext xmlns:c16="http://schemas.microsoft.com/office/drawing/2014/chart" uri="{C3380CC4-5D6E-409C-BE32-E72D297353CC}">
                <c16:uniqueId val="{00000003-F3EB-48DD-AF5D-749F8062E86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114300" dist="114300" dir="5400000" rotWithShape="0">
                  <a:srgbClr val="000000">
                    <a:alpha val="70000"/>
                  </a:srgbClr>
                </a:outerShdw>
              </a:effectLst>
              <a:scene3d>
                <a:camera prst="orthographicFront"/>
                <a:lightRig rig="threePt" dir="t">
                  <a:rot lat="0" lon="0" rev="19800000"/>
                </a:lightRig>
              </a:scene3d>
              <a:sp3d prstMaterial="plastic">
                <a:bevelT w="38100" h="31750" prst="cross"/>
                <a:bevelB w="139700" prst="cross"/>
              </a:sp3d>
            </c:spPr>
            <c:extLst>
              <c:ext xmlns:c16="http://schemas.microsoft.com/office/drawing/2014/chart" uri="{C3380CC4-5D6E-409C-BE32-E72D297353CC}">
                <c16:uniqueId val="{00000004-F3EB-48DD-AF5D-749F8062E86B}"/>
              </c:ext>
            </c:extLst>
          </c:dPt>
          <c:dLbls>
            <c:dLbl>
              <c:idx val="0"/>
              <c:layout>
                <c:manualLayout>
                  <c:x val="-5.0505050505050504E-2"/>
                  <c:y val="-0.1954397394136808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EB-48DD-AF5D-749F8062E86B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AGE!$A$1:$A$3</c:f>
              <c:strCache>
                <c:ptCount val="3"/>
                <c:pt idx="0">
                  <c:v>Jeunes </c:v>
                </c:pt>
                <c:pt idx="1">
                  <c:v>Adultes</c:v>
                </c:pt>
                <c:pt idx="2">
                  <c:v>Vieux</c:v>
                </c:pt>
              </c:strCache>
            </c:strRef>
          </c:cat>
          <c:val>
            <c:numRef>
              <c:f>AGE!$B$1:$B$3</c:f>
              <c:numCache>
                <c:formatCode>General</c:formatCode>
                <c:ptCount val="3"/>
                <c:pt idx="0">
                  <c:v>10</c:v>
                </c:pt>
                <c:pt idx="1">
                  <c:v>38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B-48DD-AF5D-749F8062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"/>
        <c:gapDepth val="21"/>
        <c:shape val="box"/>
        <c:axId val="504911288"/>
        <c:axId val="504911616"/>
        <c:axId val="0"/>
      </c:bar3DChart>
      <c:catAx>
        <c:axId val="504911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4911616"/>
        <c:crosses val="autoZero"/>
        <c:auto val="1"/>
        <c:lblAlgn val="ctr"/>
        <c:lblOffset val="100"/>
        <c:noMultiLvlLbl val="0"/>
      </c:catAx>
      <c:valAx>
        <c:axId val="50491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491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7030A0"/>
    </a:soli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 l'IPRESS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45-4E18-B7B4-9DD31B38188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45-4E18-B7B4-9DD31B3818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IPRESS!$A$1:$A$2</c:f>
              <c:strCache>
                <c:ptCount val="2"/>
                <c:pt idx="0">
                  <c:v>Regime general </c:v>
                </c:pt>
                <c:pt idx="1">
                  <c:v>Regime cadre</c:v>
                </c:pt>
              </c:strCache>
            </c:strRef>
          </c:cat>
          <c:val>
            <c:numRef>
              <c:f>IPRESS!$B$1:$B$2</c:f>
              <c:numCache>
                <c:formatCode>General</c:formatCode>
                <c:ptCount val="2"/>
                <c:pt idx="0">
                  <c:v>88.011795698249202</c:v>
                </c:pt>
                <c:pt idx="1">
                  <c:v>11.988204301750793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2-4125-BFA8-72CCF8C03CF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selon la categorie socio-professionnelle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8915529308836396"/>
          <c:y val="0.1413425925925926"/>
          <c:w val="0.77751137357830269"/>
          <c:h val="0.76606481481481481"/>
        </c:manualLayout>
      </c:layout>
      <c:bar3DChart>
        <c:barDir val="bar"/>
        <c:grouping val="stack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>
              <a:outerShdw blurRad="114300" dist="114300" dir="5400000" rotWithShape="0">
                <a:srgbClr val="000000">
                  <a:alpha val="70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9800000"/>
              </a:lightRig>
            </a:scene3d>
            <a:sp3d prstMaterial="plastic">
              <a:bevelT w="38100" h="3175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114300" dist="114300" dir="5400000" rotWithShape="0">
                  <a:srgbClr val="000000">
                    <a:alpha val="7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9800000"/>
                </a:lightRig>
              </a:scene3d>
              <a:sp3d prstMaterial="plastic">
                <a:bevelT w="38100" h="31750"/>
              </a:sp3d>
            </c:spPr>
            <c:extLst>
              <c:ext xmlns:c16="http://schemas.microsoft.com/office/drawing/2014/chart" uri="{C3380CC4-5D6E-409C-BE32-E72D297353CC}">
                <c16:uniqueId val="{00000002-8219-4512-B8FF-2355518EA48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219-4512-B8FF-2355518EA48E}"/>
              </c:ext>
            </c:extLst>
          </c:dPt>
          <c:dLbls>
            <c:numFmt formatCode="General" sourceLinked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CATEGORIE!$A$1:$A$2</c:f>
              <c:strCache>
                <c:ptCount val="2"/>
                <c:pt idx="0">
                  <c:v>Cadres</c:v>
                </c:pt>
                <c:pt idx="1">
                  <c:v>Non Cadres</c:v>
                </c:pt>
              </c:strCache>
            </c:strRef>
          </c:cat>
          <c:val>
            <c:numRef>
              <c:f>CATEGORIE!$B$1:$B$2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9-4512-B8FF-2355518EA4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18635008"/>
        <c:axId val="418640584"/>
        <c:axId val="0"/>
      </c:bar3DChart>
      <c:catAx>
        <c:axId val="41863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8640584"/>
        <c:crosses val="autoZero"/>
        <c:auto val="1"/>
        <c:lblAlgn val="ctr"/>
        <c:lblOffset val="100"/>
        <c:noMultiLvlLbl val="0"/>
      </c:catAx>
      <c:valAx>
        <c:axId val="418640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1863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7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678180</xdr:colOff>
      <xdr:row>7</xdr:row>
      <xdr:rowOff>106680</xdr:rowOff>
    </xdr:from>
    <xdr:to>
      <xdr:col>16</xdr:col>
      <xdr:colOff>464820</xdr:colOff>
      <xdr:row>25</xdr:row>
      <xdr:rowOff>175260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78180" y="1203960"/>
          <a:ext cx="12763500" cy="3177540"/>
          <a:chOff x="1325880" y="350520"/>
          <a:chExt cx="11879580" cy="2293620"/>
        </a:xfrm>
      </xdr:grpSpPr>
      <xdr:sp macro="" textlink="">
        <xdr:nvSpPr>
          <xdr:cNvPr id="2" name="ZoneText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>
            <a:spLocks noChangeAspect="1"/>
          </xdr:cNvSpPr>
        </xdr:nvSpPr>
        <xdr:spPr>
          <a:xfrm>
            <a:off x="1325880" y="350520"/>
            <a:ext cx="11879580" cy="229362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800" b="1" i="1" u="sng">
                <a:solidFill>
                  <a:srgbClr val="00B05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LOGICIEL DE GESTION DE LA PAIE D'UNE</a:t>
            </a:r>
            <a:r>
              <a:rPr lang="fr-FR" sz="1800" b="1" i="1" u="sng" baseline="0">
                <a:solidFill>
                  <a:srgbClr val="00B05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ENTREPRISE</a:t>
            </a:r>
            <a:endParaRPr lang="fr-FR" sz="1800" b="1" i="1" u="sng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812993" y="926771"/>
                <a:ext cx="1945542" cy="8593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4182875" y="918292"/>
                <a:ext cx="1823915" cy="876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CommandButton3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6327389" y="923792"/>
                <a:ext cx="1963117" cy="876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CommandButton4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602667" y="949174"/>
                <a:ext cx="1829709" cy="876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CommandButton5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790132" y="1932611"/>
                <a:ext cx="1975495" cy="2990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6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147414" y="1957995"/>
                <a:ext cx="1866467" cy="2681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CommandButton7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6326861" y="1944872"/>
                <a:ext cx="1956552" cy="2922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CommandButton8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8623416" y="1955873"/>
                <a:ext cx="1837329" cy="2867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13</xdr:row>
          <xdr:rowOff>38100</xdr:rowOff>
        </xdr:from>
        <xdr:to>
          <xdr:col>15</xdr:col>
          <xdr:colOff>556260</xdr:colOff>
          <xdr:row>19</xdr:row>
          <xdr:rowOff>152400</xdr:rowOff>
        </xdr:to>
        <xdr:sp macro="" textlink="">
          <xdr:nvSpPr>
            <xdr:cNvPr id="1036" name="CommandButton9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20</xdr:row>
          <xdr:rowOff>144780</xdr:rowOff>
        </xdr:from>
        <xdr:to>
          <xdr:col>15</xdr:col>
          <xdr:colOff>563880</xdr:colOff>
          <xdr:row>22</xdr:row>
          <xdr:rowOff>175260</xdr:rowOff>
        </xdr:to>
        <xdr:sp macro="" textlink="">
          <xdr:nvSpPr>
            <xdr:cNvPr id="1037" name="CommandButton1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0</xdr:row>
          <xdr:rowOff>175260</xdr:rowOff>
        </xdr:from>
        <xdr:to>
          <xdr:col>16</xdr:col>
          <xdr:colOff>0</xdr:colOff>
          <xdr:row>3</xdr:row>
          <xdr:rowOff>22860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175260</xdr:rowOff>
        </xdr:from>
        <xdr:to>
          <xdr:col>13</xdr:col>
          <xdr:colOff>15240</xdr:colOff>
          <xdr:row>6</xdr:row>
          <xdr:rowOff>53340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487680</xdr:colOff>
      <xdr:row>7</xdr:row>
      <xdr:rowOff>22860</xdr:rowOff>
    </xdr:from>
    <xdr:to>
      <xdr:col>9</xdr:col>
      <xdr:colOff>563880</xdr:colOff>
      <xdr:row>16</xdr:row>
      <xdr:rowOff>167640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8</xdr:row>
      <xdr:rowOff>7620</xdr:rowOff>
    </xdr:from>
    <xdr:to>
      <xdr:col>10</xdr:col>
      <xdr:colOff>281940</xdr:colOff>
      <xdr:row>18</xdr:row>
      <xdr:rowOff>91440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22860</xdr:colOff>
          <xdr:row>3</xdr:row>
          <xdr:rowOff>15240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45720</xdr:colOff>
      <xdr:row>5</xdr:row>
      <xdr:rowOff>144780</xdr:rowOff>
    </xdr:from>
    <xdr:to>
      <xdr:col>11</xdr:col>
      <xdr:colOff>205740</xdr:colOff>
      <xdr:row>18</xdr:row>
      <xdr:rowOff>106680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0</xdr:row>
          <xdr:rowOff>175260</xdr:rowOff>
        </xdr:from>
        <xdr:to>
          <xdr:col>7</xdr:col>
          <xdr:colOff>22860</xdr:colOff>
          <xdr:row>2</xdr:row>
          <xdr:rowOff>175260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198120</xdr:colOff>
      <xdr:row>7</xdr:row>
      <xdr:rowOff>57150</xdr:rowOff>
    </xdr:from>
    <xdr:to>
      <xdr:col>8</xdr:col>
      <xdr:colOff>15240</xdr:colOff>
      <xdr:row>21</xdr:row>
      <xdr:rowOff>114300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746760</xdr:colOff>
          <xdr:row>1</xdr:row>
          <xdr:rowOff>7620</xdr:rowOff>
        </xdr:from>
        <xdr:to>
          <xdr:col>5</xdr:col>
          <xdr:colOff>777240</xdr:colOff>
          <xdr:row>2</xdr:row>
          <xdr:rowOff>175260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A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45720</xdr:colOff>
      <xdr:row>7</xdr:row>
      <xdr:rowOff>57150</xdr:rowOff>
    </xdr:from>
    <xdr:to>
      <xdr:col>12</xdr:col>
      <xdr:colOff>220980</xdr:colOff>
      <xdr:row>20</xdr:row>
      <xdr:rowOff>68580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05E094-F539-42F6-BE1B-4CDC4B90E179}" name="Tableau1" displayName="Tableau1" ref="N5:X6" totalsRowShown="0">
  <autoFilter ref="N5:X6" xr:uid="{BD16944A-D390-4B0C-81B8-E5312E36B9D6}"/>
  <tableColumns count="11">
    <tableColumn id="1" xr3:uid="{CD6E53C9-3CF9-4485-8931-1A4F93069C69}" name="SBS"/>
    <tableColumn id="2" xr3:uid="{FF3D3407-A97C-46F4-9EDD-9162472553FC}" name="RG"/>
    <tableColumn id="3" xr3:uid="{0519B3DB-3214-4BAB-8CAF-06F44E7E81D0}" name="RC"/>
    <tableColumn id="4" xr3:uid="{4869B200-1488-4DBB-AB7B-84B241C86E58}" name="IPM"/>
    <tableColumn id="5" xr3:uid="{467E380E-32AE-4FF8-AD44-1BBF7E496337}" name="TRIMF"/>
    <tableColumn id="6" xr3:uid="{DBBE4385-F9E1-40F8-848A-5473D13FDF63}" name="IR"/>
    <tableColumn id="7" xr3:uid="{49673E20-C1FE-4F1F-BC8F-7E18BC397449}" name="AV_AC"/>
    <tableColumn id="8" xr3:uid="{4BCF70C5-8B81-40D4-AA86-11CBD7BA6493}" name="OPP"/>
    <tableColumn id="9" xr3:uid="{86BE0DDE-EF97-47B5-AADB-007B3F0157D1}" name="RETENUES"/>
    <tableColumn id="10" xr3:uid="{262FDD71-9534-4DF6-8A8E-C2AFD7E13A30}" name="IND."/>
    <tableColumn id="11" xr3:uid="{CCB06FBC-4A94-42F3-8297-F0F19946D0ED}" name="NAP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mbre extrême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9800000"/>
            </a:lightRig>
          </a:scene3d>
          <a:sp3d prstMaterial="plastic">
            <a:bevelT w="25400" h="1905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image" Target="../media/image1.jpeg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14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image" Target="../media/image1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FF1BE-933A-42CC-A888-4B25A6208880}">
  <sheetPr codeName="Feuil4">
    <tabColor rgb="FF3B159B"/>
  </sheetPr>
  <dimension ref="A1:A13"/>
  <sheetViews>
    <sheetView showGridLines="0" tabSelected="1" topLeftCell="A2" workbookViewId="0">
      <pane xSplit="17" ySplit="26" topLeftCell="R28" activePane="bottomRight" state="frozen"/>
      <selection activeCell="A2" sqref="A2"/>
      <selection pane="topRight" activeCell="R2" sqref="R2"/>
      <selection pane="bottomLeft" activeCell="A28" sqref="A28"/>
      <selection pane="bottomRight" activeCell="I28" sqref="F23:I28"/>
    </sheetView>
  </sheetViews>
  <sheetFormatPr baseColWidth="10" defaultRowHeight="14.4" x14ac:dyDescent="0.3"/>
  <cols>
    <col min="4" max="4" width="15.88671875" customWidth="1"/>
    <col min="10" max="10" width="11.5546875" customWidth="1"/>
  </cols>
  <sheetData>
    <row r="1" hidden="1" x14ac:dyDescent="0.3"/>
    <row r="13" hidden="1" x14ac:dyDescent="0.3"/>
  </sheetData>
  <sheetProtection sheet="1" objects="1" scenarios="1"/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1037" r:id="rId4" name="CommandButton10">
          <controlPr defaultSize="0" autoLine="0" r:id="rId5">
            <anchor moveWithCells="1">
              <from>
                <xdr:col>13</xdr:col>
                <xdr:colOff>175260</xdr:colOff>
                <xdr:row>20</xdr:row>
                <xdr:rowOff>144780</xdr:rowOff>
              </from>
              <to>
                <xdr:col>15</xdr:col>
                <xdr:colOff>563880</xdr:colOff>
                <xdr:row>22</xdr:row>
                <xdr:rowOff>175260</xdr:rowOff>
              </to>
            </anchor>
          </controlPr>
        </control>
      </mc:Choice>
      <mc:Fallback>
        <control shapeId="1037" r:id="rId4" name="CommandButton10"/>
      </mc:Fallback>
    </mc:AlternateContent>
    <mc:AlternateContent xmlns:mc="http://schemas.openxmlformats.org/markup-compatibility/2006">
      <mc:Choice Requires="x14">
        <control shapeId="1036" r:id="rId6" name="CommandButton9">
          <controlPr defaultSize="0" autoLine="0" r:id="rId7">
            <anchor moveWithCells="1">
              <from>
                <xdr:col>13</xdr:col>
                <xdr:colOff>175260</xdr:colOff>
                <xdr:row>13</xdr:row>
                <xdr:rowOff>38100</xdr:rowOff>
              </from>
              <to>
                <xdr:col>15</xdr:col>
                <xdr:colOff>556260</xdr:colOff>
                <xdr:row>19</xdr:row>
                <xdr:rowOff>152400</xdr:rowOff>
              </to>
            </anchor>
          </controlPr>
        </control>
      </mc:Choice>
      <mc:Fallback>
        <control shapeId="1036" r:id="rId6" name="CommandButton9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autoPict="0" r:id="rId9">
            <anchor moveWithCells="1">
              <from>
                <xdr:col>1</xdr:col>
                <xdr:colOff>411480</xdr:colOff>
                <xdr:row>11</xdr:row>
                <xdr:rowOff>175260</xdr:rowOff>
              </from>
              <to>
                <xdr:col>3</xdr:col>
                <xdr:colOff>914400</xdr:colOff>
                <xdr:row>19</xdr:row>
                <xdr:rowOff>83820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7" r:id="rId10" name="CommandButton2">
          <controlPr defaultSize="0" autoLine="0" autoPict="0" r:id="rId11">
            <anchor moveWithCells="1">
              <from>
                <xdr:col>4</xdr:col>
                <xdr:colOff>281940</xdr:colOff>
                <xdr:row>11</xdr:row>
                <xdr:rowOff>160020</xdr:rowOff>
              </from>
              <to>
                <xdr:col>6</xdr:col>
                <xdr:colOff>655320</xdr:colOff>
                <xdr:row>19</xdr:row>
                <xdr:rowOff>99060</xdr:rowOff>
              </to>
            </anchor>
          </controlPr>
        </control>
      </mc:Choice>
      <mc:Fallback>
        <control shapeId="1027" r:id="rId10" name="CommandButton2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autoPict="0" r:id="rId13">
            <anchor moveWithCells="1">
              <from>
                <xdr:col>7</xdr:col>
                <xdr:colOff>205740</xdr:colOff>
                <xdr:row>11</xdr:row>
                <xdr:rowOff>167640</xdr:rowOff>
              </from>
              <to>
                <xdr:col>9</xdr:col>
                <xdr:colOff>731520</xdr:colOff>
                <xdr:row>19</xdr:row>
                <xdr:rowOff>106680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9" r:id="rId14" name="CommandButton4">
          <controlPr defaultSize="0" autoLine="0" autoPict="0" r:id="rId15">
            <anchor moveWithCells="1">
              <from>
                <xdr:col>10</xdr:col>
                <xdr:colOff>274320</xdr:colOff>
                <xdr:row>13</xdr:row>
                <xdr:rowOff>22860</xdr:rowOff>
              </from>
              <to>
                <xdr:col>12</xdr:col>
                <xdr:colOff>655320</xdr:colOff>
                <xdr:row>19</xdr:row>
                <xdr:rowOff>137160</xdr:rowOff>
              </to>
            </anchor>
          </controlPr>
        </control>
      </mc:Choice>
      <mc:Fallback>
        <control shapeId="1029" r:id="rId14" name="CommandButton4"/>
      </mc:Fallback>
    </mc:AlternateContent>
    <mc:AlternateContent xmlns:mc="http://schemas.openxmlformats.org/markup-compatibility/2006">
      <mc:Choice Requires="x14">
        <control shapeId="1030" r:id="rId16" name="CommandButton5">
          <controlPr defaultSize="0" autoLine="0" autoPict="0" r:id="rId17">
            <anchor moveWithCells="1">
              <from>
                <xdr:col>1</xdr:col>
                <xdr:colOff>381000</xdr:colOff>
                <xdr:row>20</xdr:row>
                <xdr:rowOff>106680</xdr:rowOff>
              </from>
              <to>
                <xdr:col>3</xdr:col>
                <xdr:colOff>922020</xdr:colOff>
                <xdr:row>22</xdr:row>
                <xdr:rowOff>152400</xdr:rowOff>
              </to>
            </anchor>
          </controlPr>
        </control>
      </mc:Choice>
      <mc:Fallback>
        <control shapeId="1030" r:id="rId16" name="CommandButton5"/>
      </mc:Fallback>
    </mc:AlternateContent>
    <mc:AlternateContent xmlns:mc="http://schemas.openxmlformats.org/markup-compatibility/2006">
      <mc:Choice Requires="x14">
        <control shapeId="1031" r:id="rId18" name="CommandButton6">
          <controlPr defaultSize="0" autoLine="0" autoPict="0" r:id="rId19">
            <anchor moveWithCells="1">
              <from>
                <xdr:col>4</xdr:col>
                <xdr:colOff>243840</xdr:colOff>
                <xdr:row>20</xdr:row>
                <xdr:rowOff>137160</xdr:rowOff>
              </from>
              <to>
                <xdr:col>6</xdr:col>
                <xdr:colOff>662940</xdr:colOff>
                <xdr:row>22</xdr:row>
                <xdr:rowOff>144780</xdr:rowOff>
              </to>
            </anchor>
          </controlPr>
        </control>
      </mc:Choice>
      <mc:Fallback>
        <control shapeId="1031" r:id="rId18" name="CommandButton6"/>
      </mc:Fallback>
    </mc:AlternateContent>
    <mc:AlternateContent xmlns:mc="http://schemas.openxmlformats.org/markup-compatibility/2006">
      <mc:Choice Requires="x14">
        <control shapeId="1032" r:id="rId20" name="CommandButton7">
          <controlPr defaultSize="0" autoLine="0" autoPict="0" r:id="rId21">
            <anchor moveWithCells="1">
              <from>
                <xdr:col>7</xdr:col>
                <xdr:colOff>205740</xdr:colOff>
                <xdr:row>20</xdr:row>
                <xdr:rowOff>121920</xdr:rowOff>
              </from>
              <to>
                <xdr:col>9</xdr:col>
                <xdr:colOff>723900</xdr:colOff>
                <xdr:row>22</xdr:row>
                <xdr:rowOff>160020</xdr:rowOff>
              </to>
            </anchor>
          </controlPr>
        </control>
      </mc:Choice>
      <mc:Fallback>
        <control shapeId="1032" r:id="rId20" name="CommandButton7"/>
      </mc:Fallback>
    </mc:AlternateContent>
    <mc:AlternateContent xmlns:mc="http://schemas.openxmlformats.org/markup-compatibility/2006">
      <mc:Choice Requires="x14">
        <control shapeId="1033" r:id="rId22" name="CommandButton8">
          <controlPr defaultSize="0" autoLine="0" autoPict="0" r:id="rId23">
            <anchor moveWithCells="1">
              <from>
                <xdr:col>10</xdr:col>
                <xdr:colOff>297180</xdr:colOff>
                <xdr:row>20</xdr:row>
                <xdr:rowOff>137160</xdr:rowOff>
              </from>
              <to>
                <xdr:col>12</xdr:col>
                <xdr:colOff>685800</xdr:colOff>
                <xdr:row>22</xdr:row>
                <xdr:rowOff>167640</xdr:rowOff>
              </to>
            </anchor>
          </controlPr>
        </control>
      </mc:Choice>
      <mc:Fallback>
        <control shapeId="1033" r:id="rId22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F879C-32EB-4D14-AD9F-E01907BE6E69}">
  <sheetPr codeName="Feuil13"/>
  <dimension ref="A1:V51"/>
  <sheetViews>
    <sheetView zoomScale="70" zoomScaleNormal="70" workbookViewId="0">
      <selection activeCell="D39" sqref="D39"/>
    </sheetView>
  </sheetViews>
  <sheetFormatPr baseColWidth="10" defaultRowHeight="14.4" x14ac:dyDescent="0.3"/>
  <cols>
    <col min="2" max="2" width="18.33203125" customWidth="1"/>
    <col min="3" max="3" width="24.44140625" customWidth="1"/>
    <col min="4" max="5" width="14.88671875" customWidth="1"/>
    <col min="6" max="6" width="15.33203125" customWidth="1"/>
  </cols>
  <sheetData>
    <row r="1" spans="1:22" ht="18" x14ac:dyDescent="0.35">
      <c r="A1" s="32" t="s">
        <v>286</v>
      </c>
      <c r="B1" s="32" t="s">
        <v>0</v>
      </c>
      <c r="C1" s="32" t="s">
        <v>1</v>
      </c>
      <c r="D1" s="32" t="s">
        <v>2</v>
      </c>
      <c r="E1" s="32" t="s">
        <v>287</v>
      </c>
      <c r="F1" s="32" t="s">
        <v>23</v>
      </c>
      <c r="G1" s="32" t="s">
        <v>24</v>
      </c>
      <c r="H1" s="32" t="s">
        <v>4</v>
      </c>
      <c r="I1" s="32" t="s">
        <v>25</v>
      </c>
      <c r="J1" s="32" t="s">
        <v>288</v>
      </c>
      <c r="K1" s="32" t="s">
        <v>289</v>
      </c>
      <c r="L1" s="32" t="s">
        <v>21</v>
      </c>
      <c r="M1" s="32" t="s">
        <v>290</v>
      </c>
      <c r="N1" s="32" t="s">
        <v>291</v>
      </c>
      <c r="O1" s="32" t="s">
        <v>292</v>
      </c>
      <c r="P1" s="32" t="s">
        <v>293</v>
      </c>
      <c r="Q1" s="32" t="s">
        <v>294</v>
      </c>
      <c r="R1" s="32" t="s">
        <v>5</v>
      </c>
      <c r="S1" s="32" t="s">
        <v>6</v>
      </c>
      <c r="T1" s="32" t="s">
        <v>7</v>
      </c>
      <c r="U1" s="32" t="s">
        <v>295</v>
      </c>
      <c r="V1" s="32" t="s">
        <v>8</v>
      </c>
    </row>
    <row r="2" spans="1:22" x14ac:dyDescent="0.3">
      <c r="A2">
        <v>1</v>
      </c>
      <c r="B2" t="s">
        <v>48</v>
      </c>
      <c r="C2" t="s">
        <v>49</v>
      </c>
      <c r="D2" t="s">
        <v>50</v>
      </c>
      <c r="E2" s="31">
        <v>30568</v>
      </c>
      <c r="F2" t="s">
        <v>51</v>
      </c>
      <c r="G2" t="s">
        <v>9</v>
      </c>
      <c r="H2" t="s">
        <v>12</v>
      </c>
      <c r="I2" t="s">
        <v>10</v>
      </c>
      <c r="J2">
        <v>1</v>
      </c>
      <c r="K2">
        <v>3</v>
      </c>
      <c r="L2">
        <v>0</v>
      </c>
      <c r="M2">
        <v>0</v>
      </c>
      <c r="N2">
        <v>0</v>
      </c>
      <c r="O2">
        <v>0</v>
      </c>
      <c r="P2">
        <v>4</v>
      </c>
      <c r="Q2">
        <v>0</v>
      </c>
      <c r="R2">
        <v>0</v>
      </c>
      <c r="S2">
        <v>17500</v>
      </c>
      <c r="T2">
        <v>4500</v>
      </c>
      <c r="U2">
        <v>25000</v>
      </c>
      <c r="V2">
        <v>0</v>
      </c>
    </row>
    <row r="3" spans="1:22" x14ac:dyDescent="0.3">
      <c r="A3">
        <v>2</v>
      </c>
      <c r="B3" t="s">
        <v>52</v>
      </c>
      <c r="C3" t="s">
        <v>53</v>
      </c>
      <c r="D3" t="s">
        <v>54</v>
      </c>
      <c r="E3" s="31">
        <v>27693</v>
      </c>
      <c r="F3" t="s">
        <v>55</v>
      </c>
      <c r="G3" t="s">
        <v>9</v>
      </c>
      <c r="H3" t="s">
        <v>12</v>
      </c>
      <c r="I3" t="s">
        <v>46</v>
      </c>
      <c r="J3">
        <v>0</v>
      </c>
      <c r="K3">
        <v>0</v>
      </c>
      <c r="L3">
        <v>0</v>
      </c>
      <c r="M3">
        <v>8</v>
      </c>
      <c r="N3">
        <v>4</v>
      </c>
      <c r="O3">
        <v>0</v>
      </c>
      <c r="P3">
        <v>3</v>
      </c>
      <c r="Q3">
        <v>15000</v>
      </c>
      <c r="R3">
        <v>0</v>
      </c>
      <c r="S3">
        <v>12500</v>
      </c>
      <c r="T3">
        <v>0</v>
      </c>
      <c r="U3">
        <v>0</v>
      </c>
      <c r="V3">
        <v>0</v>
      </c>
    </row>
    <row r="4" spans="1:22" x14ac:dyDescent="0.3">
      <c r="A4">
        <v>3</v>
      </c>
      <c r="B4" t="s">
        <v>118</v>
      </c>
      <c r="C4" t="s">
        <v>119</v>
      </c>
      <c r="D4" t="s">
        <v>120</v>
      </c>
      <c r="E4" s="31">
        <v>30241</v>
      </c>
      <c r="F4" t="s">
        <v>121</v>
      </c>
      <c r="G4" t="s">
        <v>9</v>
      </c>
      <c r="H4" t="s">
        <v>12</v>
      </c>
      <c r="I4" t="s">
        <v>10</v>
      </c>
      <c r="J4">
        <v>2</v>
      </c>
      <c r="K4">
        <v>6</v>
      </c>
      <c r="L4">
        <v>0</v>
      </c>
      <c r="M4">
        <v>0</v>
      </c>
      <c r="N4">
        <v>0</v>
      </c>
      <c r="O4">
        <v>6</v>
      </c>
      <c r="P4">
        <v>2</v>
      </c>
      <c r="Q4">
        <v>0</v>
      </c>
      <c r="R4">
        <v>0</v>
      </c>
      <c r="S4">
        <v>20000</v>
      </c>
      <c r="T4">
        <v>5000</v>
      </c>
      <c r="U4">
        <v>0</v>
      </c>
      <c r="V4">
        <v>0</v>
      </c>
    </row>
    <row r="5" spans="1:22" x14ac:dyDescent="0.3">
      <c r="A5">
        <v>4</v>
      </c>
      <c r="B5" t="s">
        <v>122</v>
      </c>
      <c r="C5" t="s">
        <v>123</v>
      </c>
      <c r="D5" t="s">
        <v>124</v>
      </c>
      <c r="E5" s="31">
        <v>30241</v>
      </c>
      <c r="F5" t="s">
        <v>125</v>
      </c>
      <c r="G5" t="s">
        <v>9</v>
      </c>
      <c r="H5" t="s">
        <v>13</v>
      </c>
      <c r="I5" t="s">
        <v>10</v>
      </c>
      <c r="J5">
        <v>1</v>
      </c>
      <c r="K5">
        <v>1</v>
      </c>
      <c r="L5">
        <v>0</v>
      </c>
      <c r="M5">
        <v>8</v>
      </c>
      <c r="N5">
        <v>4</v>
      </c>
      <c r="O5">
        <v>0</v>
      </c>
      <c r="P5">
        <v>0</v>
      </c>
      <c r="Q5">
        <v>10000</v>
      </c>
      <c r="R5">
        <v>0</v>
      </c>
      <c r="S5">
        <v>0</v>
      </c>
      <c r="T5">
        <v>0</v>
      </c>
      <c r="U5">
        <v>0</v>
      </c>
      <c r="V5">
        <v>0</v>
      </c>
    </row>
    <row r="6" spans="1:22" x14ac:dyDescent="0.3">
      <c r="A6">
        <v>5</v>
      </c>
      <c r="B6" t="s">
        <v>126</v>
      </c>
      <c r="C6" t="s">
        <v>127</v>
      </c>
      <c r="D6" t="s">
        <v>128</v>
      </c>
      <c r="E6" s="31">
        <v>30423</v>
      </c>
      <c r="F6" t="s">
        <v>129</v>
      </c>
      <c r="G6" t="s">
        <v>9</v>
      </c>
      <c r="H6" t="s">
        <v>13</v>
      </c>
      <c r="I6" t="s">
        <v>46</v>
      </c>
      <c r="J6">
        <v>0</v>
      </c>
      <c r="K6">
        <v>1</v>
      </c>
      <c r="L6">
        <v>15000</v>
      </c>
      <c r="M6">
        <v>8</v>
      </c>
      <c r="N6">
        <v>4</v>
      </c>
      <c r="O6">
        <v>4</v>
      </c>
      <c r="P6">
        <v>2</v>
      </c>
      <c r="Q6">
        <v>0</v>
      </c>
      <c r="R6">
        <v>35000</v>
      </c>
      <c r="S6">
        <v>0</v>
      </c>
      <c r="T6">
        <v>3500</v>
      </c>
      <c r="U6">
        <v>30000</v>
      </c>
      <c r="V6">
        <v>20000</v>
      </c>
    </row>
    <row r="7" spans="1:22" x14ac:dyDescent="0.3">
      <c r="A7">
        <v>6</v>
      </c>
      <c r="B7" t="s">
        <v>130</v>
      </c>
      <c r="C7" t="s">
        <v>131</v>
      </c>
      <c r="D7" t="s">
        <v>132</v>
      </c>
      <c r="E7" s="31">
        <v>29138</v>
      </c>
      <c r="F7" t="s">
        <v>133</v>
      </c>
      <c r="G7" t="s">
        <v>9</v>
      </c>
      <c r="H7" t="s">
        <v>13</v>
      </c>
      <c r="I7" t="s">
        <v>46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2500</v>
      </c>
      <c r="U7">
        <v>0</v>
      </c>
      <c r="V7">
        <v>0</v>
      </c>
    </row>
    <row r="8" spans="1:22" x14ac:dyDescent="0.3">
      <c r="A8">
        <v>7</v>
      </c>
      <c r="B8" t="s">
        <v>134</v>
      </c>
      <c r="C8" t="s">
        <v>135</v>
      </c>
      <c r="D8" t="s">
        <v>136</v>
      </c>
      <c r="E8" s="31">
        <v>29982</v>
      </c>
      <c r="F8" t="s">
        <v>137</v>
      </c>
      <c r="G8" t="s">
        <v>47</v>
      </c>
      <c r="H8" t="s">
        <v>11</v>
      </c>
      <c r="I8" t="s">
        <v>10</v>
      </c>
      <c r="J8">
        <v>0</v>
      </c>
      <c r="K8">
        <v>4</v>
      </c>
      <c r="L8">
        <v>0</v>
      </c>
      <c r="M8">
        <v>0</v>
      </c>
      <c r="N8">
        <v>0</v>
      </c>
      <c r="O8">
        <v>0</v>
      </c>
      <c r="P8">
        <v>0</v>
      </c>
      <c r="Q8">
        <v>10000</v>
      </c>
      <c r="R8">
        <v>60000</v>
      </c>
      <c r="S8">
        <v>0</v>
      </c>
      <c r="T8">
        <v>0</v>
      </c>
      <c r="U8">
        <v>0</v>
      </c>
      <c r="V8">
        <v>0</v>
      </c>
    </row>
    <row r="9" spans="1:22" x14ac:dyDescent="0.3">
      <c r="A9">
        <v>8</v>
      </c>
      <c r="B9" t="s">
        <v>138</v>
      </c>
      <c r="C9" t="s">
        <v>139</v>
      </c>
      <c r="D9" t="s">
        <v>140</v>
      </c>
      <c r="E9" s="31">
        <v>27684</v>
      </c>
      <c r="F9" t="s">
        <v>51</v>
      </c>
      <c r="G9" t="s">
        <v>47</v>
      </c>
      <c r="H9" t="s">
        <v>11</v>
      </c>
      <c r="I9" t="s">
        <v>46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3000</v>
      </c>
      <c r="U9">
        <v>0</v>
      </c>
      <c r="V9">
        <v>0</v>
      </c>
    </row>
    <row r="10" spans="1:22" x14ac:dyDescent="0.3">
      <c r="A10">
        <v>9</v>
      </c>
      <c r="B10" t="s">
        <v>141</v>
      </c>
      <c r="C10" t="s">
        <v>142</v>
      </c>
      <c r="D10" t="s">
        <v>140</v>
      </c>
      <c r="E10" s="31">
        <v>29260</v>
      </c>
      <c r="F10" t="s">
        <v>137</v>
      </c>
      <c r="G10" t="s">
        <v>9</v>
      </c>
      <c r="H10" t="s">
        <v>11</v>
      </c>
      <c r="I10" t="s">
        <v>10</v>
      </c>
      <c r="J10">
        <v>3</v>
      </c>
      <c r="K10">
        <v>8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37500</v>
      </c>
      <c r="S10">
        <v>0</v>
      </c>
      <c r="T10">
        <v>3000</v>
      </c>
      <c r="U10">
        <v>55000</v>
      </c>
      <c r="V10">
        <v>0</v>
      </c>
    </row>
    <row r="11" spans="1:22" x14ac:dyDescent="0.3">
      <c r="A11">
        <v>10</v>
      </c>
      <c r="B11" t="s">
        <v>143</v>
      </c>
      <c r="C11" t="s">
        <v>144</v>
      </c>
      <c r="D11" t="s">
        <v>145</v>
      </c>
      <c r="E11" s="31">
        <v>27977</v>
      </c>
      <c r="F11" t="s">
        <v>146</v>
      </c>
      <c r="G11" t="s">
        <v>9</v>
      </c>
      <c r="H11" t="s">
        <v>11</v>
      </c>
      <c r="I11" t="s">
        <v>46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50000</v>
      </c>
      <c r="S11">
        <v>0</v>
      </c>
      <c r="T11">
        <v>0</v>
      </c>
      <c r="U11">
        <v>0</v>
      </c>
      <c r="V11">
        <v>0</v>
      </c>
    </row>
    <row r="12" spans="1:22" x14ac:dyDescent="0.3">
      <c r="A12">
        <v>11</v>
      </c>
      <c r="B12" t="s">
        <v>147</v>
      </c>
      <c r="C12" t="s">
        <v>148</v>
      </c>
      <c r="D12" t="s">
        <v>149</v>
      </c>
      <c r="E12" s="31">
        <v>28363</v>
      </c>
      <c r="F12" t="s">
        <v>150</v>
      </c>
      <c r="G12" t="s">
        <v>47</v>
      </c>
      <c r="H12" t="s">
        <v>12</v>
      </c>
      <c r="I12" t="s">
        <v>46</v>
      </c>
      <c r="J12">
        <v>0</v>
      </c>
      <c r="K12">
        <v>0</v>
      </c>
      <c r="L12">
        <v>0</v>
      </c>
      <c r="M12">
        <v>8</v>
      </c>
      <c r="N12">
        <v>0</v>
      </c>
      <c r="O12">
        <v>3</v>
      </c>
      <c r="P12">
        <v>2</v>
      </c>
      <c r="Q12">
        <v>0</v>
      </c>
      <c r="R12">
        <v>0</v>
      </c>
      <c r="S12">
        <v>25000</v>
      </c>
      <c r="T12">
        <v>3000</v>
      </c>
      <c r="U12">
        <v>0</v>
      </c>
      <c r="V12">
        <v>0</v>
      </c>
    </row>
    <row r="13" spans="1:22" x14ac:dyDescent="0.3">
      <c r="A13">
        <v>12</v>
      </c>
      <c r="B13" t="s">
        <v>151</v>
      </c>
      <c r="C13" t="s">
        <v>152</v>
      </c>
      <c r="D13" t="s">
        <v>153</v>
      </c>
      <c r="E13" s="31">
        <v>29055</v>
      </c>
      <c r="F13" t="s">
        <v>154</v>
      </c>
      <c r="G13" t="s">
        <v>9</v>
      </c>
      <c r="H13" t="s">
        <v>12</v>
      </c>
      <c r="I13" t="s">
        <v>46</v>
      </c>
      <c r="J13">
        <v>0</v>
      </c>
      <c r="K13">
        <v>0</v>
      </c>
      <c r="L13">
        <v>0</v>
      </c>
      <c r="M13">
        <v>0</v>
      </c>
      <c r="N13">
        <v>0</v>
      </c>
      <c r="O13">
        <v>2</v>
      </c>
      <c r="P13">
        <v>0</v>
      </c>
      <c r="Q13">
        <v>0</v>
      </c>
      <c r="R13">
        <v>0</v>
      </c>
      <c r="S13">
        <v>0</v>
      </c>
      <c r="T13">
        <v>0</v>
      </c>
      <c r="U13">
        <v>17500</v>
      </c>
      <c r="V13">
        <v>0</v>
      </c>
    </row>
    <row r="14" spans="1:22" x14ac:dyDescent="0.3">
      <c r="A14">
        <v>13</v>
      </c>
      <c r="B14" t="s">
        <v>155</v>
      </c>
      <c r="C14" t="s">
        <v>156</v>
      </c>
      <c r="D14" t="s">
        <v>157</v>
      </c>
      <c r="E14" s="31">
        <v>30224</v>
      </c>
      <c r="F14" t="s">
        <v>158</v>
      </c>
      <c r="G14" t="s">
        <v>47</v>
      </c>
      <c r="H14" t="s">
        <v>12</v>
      </c>
      <c r="I14" t="s">
        <v>46</v>
      </c>
      <c r="J14">
        <v>0</v>
      </c>
      <c r="K14">
        <v>1</v>
      </c>
      <c r="L14">
        <v>0</v>
      </c>
      <c r="M14">
        <v>8</v>
      </c>
      <c r="N14">
        <v>5</v>
      </c>
      <c r="O14">
        <v>3</v>
      </c>
      <c r="P14">
        <v>3</v>
      </c>
      <c r="Q14">
        <v>0</v>
      </c>
      <c r="R14">
        <v>0</v>
      </c>
      <c r="S14">
        <v>17000</v>
      </c>
      <c r="T14">
        <v>3000</v>
      </c>
      <c r="U14">
        <v>0</v>
      </c>
      <c r="V14">
        <v>15000</v>
      </c>
    </row>
    <row r="15" spans="1:22" x14ac:dyDescent="0.3">
      <c r="A15">
        <v>14</v>
      </c>
      <c r="B15" t="s">
        <v>159</v>
      </c>
      <c r="C15" t="s">
        <v>160</v>
      </c>
      <c r="D15" t="s">
        <v>161</v>
      </c>
      <c r="E15" s="31">
        <v>31307</v>
      </c>
      <c r="F15" t="s">
        <v>162</v>
      </c>
      <c r="G15" t="s">
        <v>9</v>
      </c>
      <c r="H15" t="s">
        <v>13</v>
      </c>
      <c r="I15" t="s">
        <v>46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T15">
        <v>2500</v>
      </c>
      <c r="U15">
        <v>0</v>
      </c>
      <c r="V15">
        <v>0</v>
      </c>
    </row>
    <row r="16" spans="1:22" x14ac:dyDescent="0.3">
      <c r="A16">
        <v>15</v>
      </c>
      <c r="B16" t="s">
        <v>163</v>
      </c>
      <c r="C16" t="s">
        <v>164</v>
      </c>
      <c r="D16" t="s">
        <v>161</v>
      </c>
      <c r="E16" s="31">
        <v>30760</v>
      </c>
      <c r="F16" t="s">
        <v>162</v>
      </c>
      <c r="G16" t="s">
        <v>9</v>
      </c>
      <c r="H16" t="s">
        <v>13</v>
      </c>
      <c r="I16" t="s">
        <v>46</v>
      </c>
      <c r="J16">
        <v>0</v>
      </c>
      <c r="K16">
        <v>0</v>
      </c>
      <c r="L16">
        <v>0</v>
      </c>
      <c r="M16">
        <v>0</v>
      </c>
      <c r="N16">
        <v>5</v>
      </c>
      <c r="O16">
        <v>5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2" x14ac:dyDescent="0.3">
      <c r="A17">
        <v>16</v>
      </c>
      <c r="B17" t="s">
        <v>168</v>
      </c>
      <c r="C17" t="s">
        <v>165</v>
      </c>
      <c r="D17" t="s">
        <v>166</v>
      </c>
      <c r="E17" s="31">
        <v>28594</v>
      </c>
      <c r="F17" t="s">
        <v>167</v>
      </c>
      <c r="G17" t="s">
        <v>9</v>
      </c>
      <c r="H17" t="s">
        <v>13</v>
      </c>
      <c r="I17" t="s">
        <v>10</v>
      </c>
      <c r="J17">
        <v>1</v>
      </c>
      <c r="K17">
        <v>4</v>
      </c>
      <c r="L17">
        <v>0</v>
      </c>
      <c r="M17">
        <v>8</v>
      </c>
      <c r="N17">
        <v>0</v>
      </c>
      <c r="O17">
        <v>0</v>
      </c>
      <c r="P17">
        <v>10000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 x14ac:dyDescent="0.3">
      <c r="A18">
        <v>17</v>
      </c>
      <c r="B18" t="s">
        <v>169</v>
      </c>
      <c r="C18" t="s">
        <v>170</v>
      </c>
      <c r="D18" t="s">
        <v>166</v>
      </c>
      <c r="E18" s="31">
        <v>28146</v>
      </c>
      <c r="F18" t="s">
        <v>171</v>
      </c>
      <c r="G18" t="s">
        <v>9</v>
      </c>
      <c r="H18" t="s">
        <v>13</v>
      </c>
      <c r="I18" t="s">
        <v>10</v>
      </c>
      <c r="J18">
        <v>1</v>
      </c>
      <c r="K18">
        <v>3</v>
      </c>
      <c r="L18">
        <v>0</v>
      </c>
      <c r="M18">
        <v>0</v>
      </c>
      <c r="N18">
        <v>2</v>
      </c>
      <c r="O18">
        <v>5</v>
      </c>
      <c r="P18">
        <v>0</v>
      </c>
      <c r="Q18">
        <v>0</v>
      </c>
      <c r="R18">
        <v>0</v>
      </c>
      <c r="S18">
        <v>0</v>
      </c>
      <c r="T18">
        <v>0</v>
      </c>
      <c r="U18">
        <v>20000</v>
      </c>
      <c r="V18">
        <v>0</v>
      </c>
    </row>
    <row r="19" spans="1:22" x14ac:dyDescent="0.3">
      <c r="A19">
        <v>18</v>
      </c>
      <c r="B19" t="s">
        <v>172</v>
      </c>
      <c r="C19" t="s">
        <v>173</v>
      </c>
      <c r="D19" t="s">
        <v>174</v>
      </c>
      <c r="E19" s="31">
        <v>30087</v>
      </c>
      <c r="F19" t="s">
        <v>175</v>
      </c>
      <c r="G19" t="s">
        <v>9</v>
      </c>
      <c r="H19" t="s">
        <v>11</v>
      </c>
      <c r="I19" t="s">
        <v>10</v>
      </c>
      <c r="J19">
        <v>2</v>
      </c>
      <c r="K19">
        <v>7</v>
      </c>
      <c r="L19">
        <v>0</v>
      </c>
      <c r="M19">
        <v>0</v>
      </c>
      <c r="N19">
        <v>0</v>
      </c>
      <c r="O19">
        <v>0</v>
      </c>
      <c r="P19">
        <v>0</v>
      </c>
      <c r="Q19">
        <v>10000</v>
      </c>
      <c r="R19">
        <v>65000</v>
      </c>
      <c r="S19">
        <v>0</v>
      </c>
      <c r="T19">
        <v>15000</v>
      </c>
      <c r="U19">
        <v>0</v>
      </c>
      <c r="V19">
        <v>0</v>
      </c>
    </row>
    <row r="20" spans="1:22" x14ac:dyDescent="0.3">
      <c r="A20">
        <v>19</v>
      </c>
      <c r="B20" t="s">
        <v>176</v>
      </c>
      <c r="C20" t="s">
        <v>177</v>
      </c>
      <c r="D20" t="s">
        <v>178</v>
      </c>
      <c r="E20" s="31">
        <v>30986</v>
      </c>
      <c r="F20" t="s">
        <v>179</v>
      </c>
      <c r="G20" t="s">
        <v>9</v>
      </c>
      <c r="H20" t="s">
        <v>13</v>
      </c>
      <c r="I20" t="s">
        <v>10</v>
      </c>
      <c r="J20">
        <v>1</v>
      </c>
      <c r="K20">
        <v>1</v>
      </c>
      <c r="L20">
        <v>0</v>
      </c>
      <c r="M20">
        <v>0</v>
      </c>
      <c r="N20">
        <v>0</v>
      </c>
      <c r="O20">
        <v>0</v>
      </c>
      <c r="P20">
        <v>8</v>
      </c>
      <c r="Q20">
        <v>0</v>
      </c>
      <c r="R20">
        <v>0</v>
      </c>
      <c r="S20">
        <v>0</v>
      </c>
      <c r="T20">
        <v>3000</v>
      </c>
      <c r="U20">
        <v>0</v>
      </c>
      <c r="V20">
        <v>0</v>
      </c>
    </row>
    <row r="21" spans="1:22" x14ac:dyDescent="0.3">
      <c r="A21">
        <v>20</v>
      </c>
      <c r="B21" t="s">
        <v>180</v>
      </c>
      <c r="C21" t="s">
        <v>181</v>
      </c>
      <c r="D21" t="s">
        <v>178</v>
      </c>
      <c r="E21" s="31">
        <v>28457</v>
      </c>
      <c r="F21" t="s">
        <v>182</v>
      </c>
      <c r="G21" t="s">
        <v>9</v>
      </c>
      <c r="H21" t="s">
        <v>12</v>
      </c>
      <c r="I21" t="s">
        <v>10</v>
      </c>
      <c r="J21">
        <v>1</v>
      </c>
      <c r="K21">
        <v>3</v>
      </c>
      <c r="L21">
        <v>13500</v>
      </c>
      <c r="M21">
        <v>8</v>
      </c>
      <c r="N21">
        <v>3</v>
      </c>
      <c r="O21">
        <v>0</v>
      </c>
      <c r="P21">
        <v>0</v>
      </c>
      <c r="Q21">
        <v>0</v>
      </c>
      <c r="R21">
        <v>0</v>
      </c>
      <c r="S21">
        <v>0</v>
      </c>
      <c r="T21">
        <v>2500</v>
      </c>
      <c r="U21">
        <v>0</v>
      </c>
      <c r="V21">
        <v>0</v>
      </c>
    </row>
    <row r="22" spans="1:22" x14ac:dyDescent="0.3">
      <c r="A22">
        <v>21</v>
      </c>
      <c r="B22" t="s">
        <v>183</v>
      </c>
      <c r="C22" t="s">
        <v>184</v>
      </c>
      <c r="D22" t="s">
        <v>185</v>
      </c>
      <c r="E22" s="31">
        <v>29131</v>
      </c>
      <c r="F22" t="s">
        <v>186</v>
      </c>
      <c r="G22" t="s">
        <v>9</v>
      </c>
      <c r="H22" t="s">
        <v>12</v>
      </c>
      <c r="I22" t="s">
        <v>10</v>
      </c>
      <c r="J22">
        <v>2</v>
      </c>
      <c r="K22">
        <v>4</v>
      </c>
      <c r="L22">
        <v>0</v>
      </c>
      <c r="M22">
        <v>8</v>
      </c>
      <c r="N22">
        <v>4</v>
      </c>
      <c r="O22">
        <v>4</v>
      </c>
      <c r="P22">
        <v>6</v>
      </c>
      <c r="Q22">
        <v>0</v>
      </c>
      <c r="R22">
        <v>0</v>
      </c>
      <c r="S22">
        <v>20000</v>
      </c>
      <c r="T22">
        <v>0</v>
      </c>
      <c r="U22">
        <v>0</v>
      </c>
    </row>
    <row r="23" spans="1:22" x14ac:dyDescent="0.3">
      <c r="A23">
        <v>22</v>
      </c>
      <c r="B23" t="s">
        <v>189</v>
      </c>
      <c r="C23" t="s">
        <v>187</v>
      </c>
      <c r="D23" t="s">
        <v>185</v>
      </c>
      <c r="E23" s="31">
        <v>30174</v>
      </c>
      <c r="F23" t="s">
        <v>188</v>
      </c>
      <c r="G23" t="s">
        <v>47</v>
      </c>
      <c r="H23" t="s">
        <v>12</v>
      </c>
      <c r="I23" t="s">
        <v>10</v>
      </c>
      <c r="J23">
        <v>0</v>
      </c>
      <c r="K23">
        <v>3</v>
      </c>
      <c r="L23">
        <v>0</v>
      </c>
      <c r="M23">
        <v>0</v>
      </c>
      <c r="N23">
        <v>0</v>
      </c>
      <c r="O23">
        <v>0</v>
      </c>
      <c r="P23">
        <v>0</v>
      </c>
      <c r="Q23">
        <v>10000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2" x14ac:dyDescent="0.3">
      <c r="A24">
        <v>23</v>
      </c>
      <c r="B24" t="s">
        <v>190</v>
      </c>
      <c r="C24" t="s">
        <v>191</v>
      </c>
      <c r="D24" t="s">
        <v>192</v>
      </c>
      <c r="E24" s="31">
        <v>27518</v>
      </c>
      <c r="F24" t="s">
        <v>193</v>
      </c>
      <c r="G24" t="s">
        <v>9</v>
      </c>
      <c r="H24" t="s">
        <v>13</v>
      </c>
      <c r="I24" t="s">
        <v>10</v>
      </c>
      <c r="J24">
        <v>2</v>
      </c>
      <c r="K24">
        <v>5</v>
      </c>
      <c r="L24">
        <v>0</v>
      </c>
      <c r="M24">
        <v>0</v>
      </c>
      <c r="N24">
        <v>0</v>
      </c>
      <c r="O24">
        <v>3</v>
      </c>
      <c r="P24">
        <v>6</v>
      </c>
      <c r="Q24">
        <v>0</v>
      </c>
      <c r="R24">
        <v>50000</v>
      </c>
      <c r="S24">
        <v>0</v>
      </c>
      <c r="T24">
        <v>0</v>
      </c>
      <c r="U24">
        <v>0</v>
      </c>
      <c r="V24">
        <v>0</v>
      </c>
    </row>
    <row r="25" spans="1:22" x14ac:dyDescent="0.3">
      <c r="A25">
        <v>24</v>
      </c>
      <c r="B25" t="s">
        <v>194</v>
      </c>
      <c r="C25" t="s">
        <v>195</v>
      </c>
      <c r="D25" t="s">
        <v>196</v>
      </c>
      <c r="E25" s="31">
        <v>29155</v>
      </c>
      <c r="F25" t="s">
        <v>197</v>
      </c>
      <c r="G25" t="s">
        <v>9</v>
      </c>
      <c r="H25" t="s">
        <v>13</v>
      </c>
      <c r="I25" t="s">
        <v>10</v>
      </c>
      <c r="J25">
        <v>1</v>
      </c>
      <c r="K25">
        <v>0</v>
      </c>
      <c r="L25">
        <v>0</v>
      </c>
      <c r="M25">
        <v>8</v>
      </c>
      <c r="N25">
        <v>5</v>
      </c>
      <c r="O25">
        <v>2</v>
      </c>
      <c r="P25">
        <v>0</v>
      </c>
      <c r="Q25">
        <v>10000</v>
      </c>
      <c r="R25">
        <v>0</v>
      </c>
      <c r="S25">
        <v>0</v>
      </c>
      <c r="T25">
        <v>2500</v>
      </c>
      <c r="U25">
        <v>0</v>
      </c>
      <c r="V25">
        <v>0</v>
      </c>
    </row>
    <row r="26" spans="1:22" x14ac:dyDescent="0.3">
      <c r="A26">
        <v>25</v>
      </c>
      <c r="B26" t="s">
        <v>198</v>
      </c>
      <c r="C26" t="s">
        <v>199</v>
      </c>
      <c r="D26" t="s">
        <v>196</v>
      </c>
      <c r="E26" s="31">
        <v>28582</v>
      </c>
      <c r="F26" t="s">
        <v>200</v>
      </c>
      <c r="G26" t="s">
        <v>47</v>
      </c>
      <c r="H26" t="s">
        <v>13</v>
      </c>
      <c r="I26" t="s">
        <v>46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5</v>
      </c>
      <c r="Q26">
        <v>0</v>
      </c>
      <c r="R26">
        <v>0</v>
      </c>
      <c r="S26">
        <v>0</v>
      </c>
      <c r="T26">
        <v>3000</v>
      </c>
      <c r="U26">
        <v>30000</v>
      </c>
      <c r="V26">
        <v>0</v>
      </c>
    </row>
    <row r="27" spans="1:22" x14ac:dyDescent="0.3">
      <c r="A27">
        <v>26</v>
      </c>
      <c r="B27" t="s">
        <v>201</v>
      </c>
      <c r="C27" t="s">
        <v>202</v>
      </c>
      <c r="D27" t="s">
        <v>203</v>
      </c>
      <c r="E27" s="31">
        <v>31255</v>
      </c>
      <c r="F27" t="s">
        <v>204</v>
      </c>
      <c r="G27" t="s">
        <v>9</v>
      </c>
      <c r="H27" t="s">
        <v>13</v>
      </c>
      <c r="I27" t="s">
        <v>46</v>
      </c>
      <c r="J27">
        <v>0</v>
      </c>
      <c r="K27">
        <v>0</v>
      </c>
      <c r="L27">
        <v>12000</v>
      </c>
      <c r="M27">
        <v>8</v>
      </c>
      <c r="N27">
        <v>4</v>
      </c>
      <c r="O27">
        <v>5</v>
      </c>
      <c r="P27">
        <v>7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</row>
    <row r="28" spans="1:22" x14ac:dyDescent="0.3">
      <c r="A28">
        <v>27</v>
      </c>
      <c r="B28" t="s">
        <v>205</v>
      </c>
      <c r="C28" t="s">
        <v>165</v>
      </c>
      <c r="D28" t="s">
        <v>206</v>
      </c>
      <c r="E28" s="31">
        <v>31369</v>
      </c>
      <c r="F28" t="s">
        <v>207</v>
      </c>
      <c r="G28" t="s">
        <v>9</v>
      </c>
      <c r="H28" t="s">
        <v>11</v>
      </c>
      <c r="I28" t="s">
        <v>46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15000</v>
      </c>
      <c r="S28">
        <v>0</v>
      </c>
      <c r="T28">
        <v>3000</v>
      </c>
      <c r="U28">
        <v>0</v>
      </c>
      <c r="V28">
        <v>0</v>
      </c>
    </row>
    <row r="29" spans="1:22" x14ac:dyDescent="0.3">
      <c r="A29">
        <v>28</v>
      </c>
      <c r="B29" t="s">
        <v>208</v>
      </c>
      <c r="C29" t="s">
        <v>209</v>
      </c>
      <c r="D29" t="s">
        <v>210</v>
      </c>
      <c r="E29" s="31">
        <v>29901</v>
      </c>
      <c r="F29" t="s">
        <v>211</v>
      </c>
      <c r="G29" t="s">
        <v>9</v>
      </c>
      <c r="H29" t="s">
        <v>12</v>
      </c>
      <c r="I29" t="s">
        <v>46</v>
      </c>
      <c r="J29">
        <v>0</v>
      </c>
      <c r="K29">
        <v>0</v>
      </c>
      <c r="L29">
        <v>0</v>
      </c>
      <c r="M29">
        <v>8</v>
      </c>
      <c r="N29">
        <v>2</v>
      </c>
      <c r="O29">
        <v>0</v>
      </c>
      <c r="P29">
        <v>5</v>
      </c>
      <c r="Q29">
        <v>0</v>
      </c>
      <c r="R29">
        <v>0</v>
      </c>
      <c r="S29">
        <v>0</v>
      </c>
      <c r="T29">
        <v>2500</v>
      </c>
      <c r="U29">
        <v>0</v>
      </c>
      <c r="V29">
        <v>0</v>
      </c>
    </row>
    <row r="30" spans="1:22" x14ac:dyDescent="0.3">
      <c r="A30">
        <v>29</v>
      </c>
      <c r="B30" t="s">
        <v>212</v>
      </c>
      <c r="C30" t="s">
        <v>213</v>
      </c>
      <c r="D30" t="s">
        <v>214</v>
      </c>
      <c r="E30" s="31">
        <v>31169</v>
      </c>
      <c r="F30" t="s">
        <v>215</v>
      </c>
      <c r="G30" t="s">
        <v>47</v>
      </c>
      <c r="H30" t="s">
        <v>11</v>
      </c>
      <c r="I30" t="s">
        <v>10</v>
      </c>
      <c r="J30">
        <v>0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10000</v>
      </c>
      <c r="R30">
        <v>17500</v>
      </c>
      <c r="S30">
        <v>0</v>
      </c>
      <c r="T30">
        <v>0</v>
      </c>
      <c r="U30">
        <v>0</v>
      </c>
      <c r="V30">
        <v>0</v>
      </c>
    </row>
    <row r="31" spans="1:22" x14ac:dyDescent="0.3">
      <c r="A31">
        <v>30</v>
      </c>
      <c r="B31" t="s">
        <v>216</v>
      </c>
      <c r="C31" t="s">
        <v>217</v>
      </c>
      <c r="D31" t="s">
        <v>218</v>
      </c>
      <c r="E31" s="31">
        <v>28845</v>
      </c>
      <c r="F31" t="s">
        <v>219</v>
      </c>
      <c r="G31" t="s">
        <v>9</v>
      </c>
      <c r="H31" t="s">
        <v>11</v>
      </c>
      <c r="I31" t="s">
        <v>10</v>
      </c>
      <c r="J31">
        <v>3</v>
      </c>
      <c r="K31">
        <v>7</v>
      </c>
      <c r="L31">
        <v>0</v>
      </c>
      <c r="M31">
        <v>0</v>
      </c>
      <c r="N31">
        <v>0</v>
      </c>
      <c r="O31">
        <v>0</v>
      </c>
      <c r="P31">
        <v>0</v>
      </c>
      <c r="Q31">
        <v>8000</v>
      </c>
      <c r="R31">
        <v>0</v>
      </c>
      <c r="S31">
        <v>0</v>
      </c>
      <c r="T31">
        <v>3000</v>
      </c>
      <c r="U31">
        <v>12500</v>
      </c>
      <c r="V31">
        <v>0</v>
      </c>
    </row>
    <row r="32" spans="1:22" x14ac:dyDescent="0.3">
      <c r="A32">
        <v>31</v>
      </c>
      <c r="B32" t="s">
        <v>220</v>
      </c>
      <c r="C32" t="s">
        <v>221</v>
      </c>
      <c r="D32" t="s">
        <v>222</v>
      </c>
      <c r="E32" s="31">
        <v>28457</v>
      </c>
      <c r="F32" t="s">
        <v>223</v>
      </c>
      <c r="G32" t="s">
        <v>9</v>
      </c>
      <c r="H32" t="s">
        <v>11</v>
      </c>
      <c r="I32" t="s">
        <v>10</v>
      </c>
      <c r="J32">
        <v>1</v>
      </c>
      <c r="K32">
        <v>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10000</v>
      </c>
      <c r="S32">
        <v>20000</v>
      </c>
      <c r="T32">
        <v>0</v>
      </c>
      <c r="U32">
        <v>0</v>
      </c>
      <c r="V32">
        <v>0</v>
      </c>
    </row>
    <row r="33" spans="1:22" x14ac:dyDescent="0.3">
      <c r="A33">
        <v>32</v>
      </c>
      <c r="B33" t="s">
        <v>224</v>
      </c>
      <c r="C33" t="s">
        <v>225</v>
      </c>
      <c r="D33" t="s">
        <v>226</v>
      </c>
      <c r="E33" s="31">
        <v>31140</v>
      </c>
      <c r="F33" t="s">
        <v>227</v>
      </c>
      <c r="G33" t="s">
        <v>9</v>
      </c>
      <c r="H33" t="s">
        <v>12</v>
      </c>
      <c r="I33" t="s">
        <v>10</v>
      </c>
      <c r="J33">
        <v>1</v>
      </c>
      <c r="K33">
        <v>3</v>
      </c>
      <c r="L33" t="s">
        <v>228</v>
      </c>
      <c r="M33">
        <v>8</v>
      </c>
      <c r="N33">
        <v>0</v>
      </c>
      <c r="O33">
        <v>0</v>
      </c>
      <c r="P33">
        <v>3</v>
      </c>
      <c r="Q33">
        <v>0</v>
      </c>
      <c r="R33">
        <v>0</v>
      </c>
      <c r="S33">
        <v>0</v>
      </c>
      <c r="T33">
        <v>3000</v>
      </c>
      <c r="U33">
        <v>0</v>
      </c>
      <c r="V33">
        <v>0</v>
      </c>
    </row>
    <row r="34" spans="1:22" x14ac:dyDescent="0.3">
      <c r="A34">
        <v>33</v>
      </c>
      <c r="B34" t="s">
        <v>229</v>
      </c>
      <c r="C34" t="s">
        <v>144</v>
      </c>
      <c r="D34" t="s">
        <v>230</v>
      </c>
      <c r="E34" s="31">
        <v>28377</v>
      </c>
      <c r="F34" t="s">
        <v>231</v>
      </c>
      <c r="G34" t="s">
        <v>9</v>
      </c>
      <c r="H34" t="s">
        <v>12</v>
      </c>
      <c r="I34" t="s">
        <v>10</v>
      </c>
      <c r="J34">
        <v>1</v>
      </c>
      <c r="K34">
        <v>4</v>
      </c>
      <c r="L34">
        <v>0</v>
      </c>
      <c r="M34">
        <v>0</v>
      </c>
      <c r="N34">
        <v>0</v>
      </c>
      <c r="O34">
        <v>0</v>
      </c>
      <c r="P34">
        <v>6</v>
      </c>
      <c r="Q34">
        <v>0</v>
      </c>
      <c r="R34">
        <v>0</v>
      </c>
      <c r="S34">
        <v>0</v>
      </c>
      <c r="T34">
        <v>3000</v>
      </c>
      <c r="U34">
        <v>0</v>
      </c>
      <c r="V34">
        <v>0</v>
      </c>
    </row>
    <row r="35" spans="1:22" x14ac:dyDescent="0.3">
      <c r="A35">
        <v>34</v>
      </c>
      <c r="B35" t="s">
        <v>232</v>
      </c>
      <c r="C35" t="s">
        <v>233</v>
      </c>
      <c r="D35" t="s">
        <v>234</v>
      </c>
      <c r="E35" s="31">
        <v>31300</v>
      </c>
      <c r="F35" t="s">
        <v>235</v>
      </c>
      <c r="G35" t="s">
        <v>47</v>
      </c>
      <c r="H35" t="s">
        <v>12</v>
      </c>
      <c r="I35" t="s">
        <v>10</v>
      </c>
      <c r="J35">
        <v>0</v>
      </c>
      <c r="K35">
        <v>2</v>
      </c>
      <c r="L35">
        <v>0</v>
      </c>
      <c r="M35">
        <v>8</v>
      </c>
      <c r="N35">
        <v>0</v>
      </c>
      <c r="O35">
        <v>0</v>
      </c>
      <c r="P35">
        <v>0</v>
      </c>
      <c r="Q35">
        <v>0</v>
      </c>
      <c r="R35">
        <v>14500</v>
      </c>
      <c r="S35">
        <v>25000</v>
      </c>
      <c r="T35">
        <v>0</v>
      </c>
      <c r="U35">
        <v>10000</v>
      </c>
      <c r="V35">
        <v>0</v>
      </c>
    </row>
    <row r="36" spans="1:22" x14ac:dyDescent="0.3">
      <c r="A36">
        <v>35</v>
      </c>
      <c r="B36" t="s">
        <v>239</v>
      </c>
      <c r="C36" t="s">
        <v>236</v>
      </c>
      <c r="D36" t="s">
        <v>237</v>
      </c>
      <c r="E36" s="31">
        <v>30179</v>
      </c>
      <c r="F36" t="s">
        <v>238</v>
      </c>
      <c r="G36" t="s">
        <v>9</v>
      </c>
      <c r="H36" t="s">
        <v>12</v>
      </c>
      <c r="I36" t="s">
        <v>10</v>
      </c>
      <c r="J36">
        <v>2</v>
      </c>
      <c r="K36">
        <v>4</v>
      </c>
      <c r="L36">
        <v>0</v>
      </c>
      <c r="M36">
        <v>0</v>
      </c>
      <c r="N36">
        <v>0</v>
      </c>
      <c r="O36">
        <v>0</v>
      </c>
      <c r="P36">
        <v>2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</row>
    <row r="37" spans="1:22" x14ac:dyDescent="0.3">
      <c r="A37">
        <v>36</v>
      </c>
      <c r="B37" t="s">
        <v>240</v>
      </c>
      <c r="C37" t="s">
        <v>241</v>
      </c>
      <c r="D37" t="s">
        <v>242</v>
      </c>
      <c r="E37" s="31">
        <v>28296</v>
      </c>
      <c r="F37" t="s">
        <v>243</v>
      </c>
      <c r="G37" t="s">
        <v>9</v>
      </c>
      <c r="H37" t="s">
        <v>12</v>
      </c>
      <c r="I37" t="s">
        <v>10</v>
      </c>
      <c r="J37">
        <v>1</v>
      </c>
      <c r="K37">
        <v>6</v>
      </c>
      <c r="L37">
        <v>0</v>
      </c>
      <c r="M37">
        <v>0</v>
      </c>
      <c r="N37">
        <v>0</v>
      </c>
      <c r="O37">
        <v>0</v>
      </c>
      <c r="P37">
        <v>4</v>
      </c>
      <c r="Q37">
        <v>0</v>
      </c>
      <c r="R37">
        <v>0</v>
      </c>
      <c r="S37">
        <v>0</v>
      </c>
      <c r="T37">
        <v>13000</v>
      </c>
      <c r="U37">
        <v>0</v>
      </c>
      <c r="V37">
        <v>0</v>
      </c>
    </row>
    <row r="38" spans="1:22" x14ac:dyDescent="0.3">
      <c r="A38">
        <v>37</v>
      </c>
      <c r="B38" t="s">
        <v>244</v>
      </c>
      <c r="C38" t="s">
        <v>245</v>
      </c>
      <c r="D38" t="s">
        <v>246</v>
      </c>
      <c r="E38" s="31">
        <v>25143</v>
      </c>
      <c r="F38" t="s">
        <v>150</v>
      </c>
      <c r="G38" t="s">
        <v>9</v>
      </c>
      <c r="H38" t="s">
        <v>13</v>
      </c>
      <c r="I38" t="s">
        <v>46</v>
      </c>
      <c r="J38">
        <v>0</v>
      </c>
      <c r="K38">
        <v>0</v>
      </c>
      <c r="L38">
        <v>10000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3000</v>
      </c>
      <c r="U38">
        <v>0</v>
      </c>
      <c r="V38">
        <v>0</v>
      </c>
    </row>
    <row r="39" spans="1:22" x14ac:dyDescent="0.3">
      <c r="A39">
        <v>38</v>
      </c>
      <c r="B39" t="s">
        <v>247</v>
      </c>
      <c r="C39" t="s">
        <v>248</v>
      </c>
      <c r="D39" t="s">
        <v>246</v>
      </c>
      <c r="E39" s="31">
        <v>27843</v>
      </c>
      <c r="F39" t="s">
        <v>154</v>
      </c>
      <c r="G39" t="s">
        <v>9</v>
      </c>
      <c r="H39" t="s">
        <v>11</v>
      </c>
      <c r="I39" t="s">
        <v>46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10000</v>
      </c>
      <c r="R39">
        <v>15000</v>
      </c>
      <c r="S39">
        <v>0</v>
      </c>
      <c r="T39">
        <v>0</v>
      </c>
      <c r="U39">
        <v>10000</v>
      </c>
      <c r="V39">
        <v>0</v>
      </c>
    </row>
    <row r="40" spans="1:22" x14ac:dyDescent="0.3">
      <c r="A40">
        <v>39</v>
      </c>
      <c r="B40" t="s">
        <v>249</v>
      </c>
      <c r="C40" t="s">
        <v>250</v>
      </c>
      <c r="D40" t="s">
        <v>251</v>
      </c>
      <c r="E40" s="31">
        <v>28052</v>
      </c>
      <c r="F40" t="s">
        <v>133</v>
      </c>
      <c r="G40" t="s">
        <v>47</v>
      </c>
      <c r="H40" t="s">
        <v>13</v>
      </c>
      <c r="I40" t="s">
        <v>46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</row>
    <row r="41" spans="1:22" x14ac:dyDescent="0.3">
      <c r="A41">
        <v>40</v>
      </c>
      <c r="B41" t="s">
        <v>252</v>
      </c>
      <c r="C41" t="s">
        <v>253</v>
      </c>
      <c r="D41" t="s">
        <v>251</v>
      </c>
      <c r="E41" s="31">
        <v>29722</v>
      </c>
      <c r="F41" t="s">
        <v>125</v>
      </c>
      <c r="G41" t="s">
        <v>47</v>
      </c>
      <c r="H41" t="s">
        <v>13</v>
      </c>
      <c r="I41" t="s">
        <v>46</v>
      </c>
      <c r="J41">
        <v>0</v>
      </c>
      <c r="K41">
        <v>0</v>
      </c>
      <c r="L41">
        <v>0</v>
      </c>
      <c r="M41">
        <v>8</v>
      </c>
      <c r="N41">
        <v>5</v>
      </c>
      <c r="O41">
        <v>0</v>
      </c>
      <c r="P41">
        <v>0</v>
      </c>
      <c r="Q41">
        <v>0</v>
      </c>
      <c r="R41">
        <v>0</v>
      </c>
      <c r="S41">
        <v>0</v>
      </c>
      <c r="T41">
        <v>5000</v>
      </c>
      <c r="U41">
        <v>0</v>
      </c>
      <c r="V41">
        <v>0</v>
      </c>
    </row>
    <row r="42" spans="1:22" x14ac:dyDescent="0.3">
      <c r="A42">
        <v>41</v>
      </c>
      <c r="B42" t="s">
        <v>254</v>
      </c>
      <c r="C42" t="s">
        <v>255</v>
      </c>
      <c r="D42" t="s">
        <v>256</v>
      </c>
      <c r="E42" s="31">
        <v>24713</v>
      </c>
      <c r="F42" t="s">
        <v>51</v>
      </c>
      <c r="G42" t="s">
        <v>9</v>
      </c>
      <c r="H42" t="s">
        <v>11</v>
      </c>
      <c r="I42" t="s">
        <v>46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55000</v>
      </c>
      <c r="S42">
        <v>0</v>
      </c>
      <c r="T42">
        <v>2500</v>
      </c>
      <c r="U42">
        <v>0</v>
      </c>
      <c r="V42">
        <v>30000</v>
      </c>
    </row>
    <row r="43" spans="1:22" x14ac:dyDescent="0.3">
      <c r="A43">
        <v>42</v>
      </c>
      <c r="B43" t="s">
        <v>257</v>
      </c>
      <c r="C43" t="s">
        <v>258</v>
      </c>
      <c r="D43" t="s">
        <v>259</v>
      </c>
      <c r="E43" s="31">
        <v>28234</v>
      </c>
      <c r="F43" t="s">
        <v>260</v>
      </c>
      <c r="G43" t="s">
        <v>9</v>
      </c>
      <c r="H43" t="s">
        <v>13</v>
      </c>
      <c r="I43" t="s">
        <v>10</v>
      </c>
      <c r="J43">
        <v>2</v>
      </c>
      <c r="K43">
        <v>5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10000</v>
      </c>
      <c r="V43">
        <v>0</v>
      </c>
    </row>
    <row r="44" spans="1:22" x14ac:dyDescent="0.3">
      <c r="A44">
        <v>43</v>
      </c>
      <c r="B44" t="s">
        <v>261</v>
      </c>
      <c r="C44" t="s">
        <v>262</v>
      </c>
      <c r="D44" t="s">
        <v>263</v>
      </c>
      <c r="E44" s="31">
        <v>29024</v>
      </c>
      <c r="F44" t="s">
        <v>264</v>
      </c>
      <c r="G44" t="s">
        <v>9</v>
      </c>
      <c r="H44" t="s">
        <v>13</v>
      </c>
      <c r="I44" t="s">
        <v>10</v>
      </c>
      <c r="J44">
        <v>1</v>
      </c>
      <c r="K44">
        <v>1</v>
      </c>
      <c r="L44">
        <v>0</v>
      </c>
      <c r="M44">
        <v>8</v>
      </c>
      <c r="N44">
        <v>5</v>
      </c>
      <c r="O44">
        <v>0</v>
      </c>
      <c r="P44">
        <v>3</v>
      </c>
      <c r="Q44">
        <v>0</v>
      </c>
      <c r="R44">
        <v>0</v>
      </c>
      <c r="S44">
        <v>20000</v>
      </c>
      <c r="T44">
        <v>0</v>
      </c>
      <c r="U44">
        <v>0</v>
      </c>
      <c r="V44">
        <v>0</v>
      </c>
    </row>
    <row r="45" spans="1:22" x14ac:dyDescent="0.3">
      <c r="A45">
        <v>44</v>
      </c>
      <c r="B45" t="s">
        <v>265</v>
      </c>
      <c r="C45" t="s">
        <v>266</v>
      </c>
      <c r="D45" t="s">
        <v>267</v>
      </c>
      <c r="E45" s="31">
        <v>27798</v>
      </c>
      <c r="F45" t="s">
        <v>227</v>
      </c>
      <c r="G45" t="s">
        <v>9</v>
      </c>
      <c r="H45" t="s">
        <v>12</v>
      </c>
      <c r="I45" t="s">
        <v>10</v>
      </c>
      <c r="J45">
        <v>1</v>
      </c>
      <c r="K45">
        <v>1</v>
      </c>
      <c r="L45">
        <v>0</v>
      </c>
      <c r="M45">
        <v>0</v>
      </c>
      <c r="N45">
        <v>0</v>
      </c>
      <c r="O45">
        <v>0</v>
      </c>
      <c r="P45">
        <v>2</v>
      </c>
      <c r="Q45">
        <v>8500</v>
      </c>
      <c r="R45">
        <v>0</v>
      </c>
      <c r="S45">
        <v>0</v>
      </c>
      <c r="T45">
        <v>2500</v>
      </c>
      <c r="U45">
        <v>0</v>
      </c>
      <c r="V45">
        <v>0</v>
      </c>
    </row>
    <row r="46" spans="1:22" x14ac:dyDescent="0.3">
      <c r="A46">
        <v>45</v>
      </c>
      <c r="B46" t="s">
        <v>268</v>
      </c>
      <c r="C46" t="s">
        <v>269</v>
      </c>
      <c r="D46" t="s">
        <v>270</v>
      </c>
      <c r="E46" s="31">
        <v>30764</v>
      </c>
      <c r="F46" t="s">
        <v>271</v>
      </c>
      <c r="G46" t="s">
        <v>47</v>
      </c>
      <c r="H46" t="s">
        <v>12</v>
      </c>
      <c r="I46" t="s">
        <v>10</v>
      </c>
      <c r="J46">
        <v>0</v>
      </c>
      <c r="K46">
        <v>2</v>
      </c>
      <c r="L46">
        <v>15000</v>
      </c>
      <c r="M46">
        <v>0</v>
      </c>
      <c r="N46">
        <v>0</v>
      </c>
      <c r="O46">
        <v>0</v>
      </c>
      <c r="P46">
        <v>0</v>
      </c>
      <c r="Q46">
        <v>0</v>
      </c>
      <c r="R46">
        <v>31500</v>
      </c>
      <c r="S46">
        <v>0</v>
      </c>
      <c r="T46">
        <v>0</v>
      </c>
      <c r="U46">
        <v>0</v>
      </c>
      <c r="V46">
        <v>0</v>
      </c>
    </row>
    <row r="47" spans="1:22" x14ac:dyDescent="0.3">
      <c r="A47">
        <v>46</v>
      </c>
      <c r="B47" t="s">
        <v>272</v>
      </c>
      <c r="C47" t="s">
        <v>273</v>
      </c>
      <c r="D47" t="s">
        <v>274</v>
      </c>
      <c r="E47" s="31">
        <v>31015</v>
      </c>
      <c r="F47" t="s">
        <v>167</v>
      </c>
      <c r="G47" t="s">
        <v>9</v>
      </c>
      <c r="H47" t="s">
        <v>12</v>
      </c>
      <c r="I47" t="s">
        <v>10</v>
      </c>
      <c r="J47">
        <v>1</v>
      </c>
      <c r="K47">
        <v>1</v>
      </c>
      <c r="L47">
        <v>0</v>
      </c>
      <c r="M47">
        <v>8</v>
      </c>
      <c r="N47">
        <v>5</v>
      </c>
      <c r="O47">
        <v>0</v>
      </c>
      <c r="P47">
        <v>4</v>
      </c>
      <c r="Q47">
        <v>0</v>
      </c>
      <c r="R47">
        <v>0</v>
      </c>
      <c r="S47">
        <v>0</v>
      </c>
      <c r="T47">
        <v>0</v>
      </c>
      <c r="U47">
        <v>15000</v>
      </c>
      <c r="V47">
        <v>0</v>
      </c>
    </row>
    <row r="48" spans="1:22" x14ac:dyDescent="0.3">
      <c r="A48">
        <v>47</v>
      </c>
      <c r="B48" t="s">
        <v>275</v>
      </c>
      <c r="C48" t="s">
        <v>277</v>
      </c>
      <c r="D48" t="s">
        <v>276</v>
      </c>
      <c r="E48" s="31">
        <v>27960</v>
      </c>
      <c r="F48" t="s">
        <v>188</v>
      </c>
      <c r="G48" t="s">
        <v>9</v>
      </c>
      <c r="H48" t="s">
        <v>12</v>
      </c>
      <c r="I48" t="s">
        <v>10</v>
      </c>
      <c r="J48">
        <v>2</v>
      </c>
      <c r="K48">
        <v>5</v>
      </c>
      <c r="L48">
        <v>0</v>
      </c>
      <c r="M48">
        <v>8</v>
      </c>
      <c r="N48">
        <v>0</v>
      </c>
      <c r="O48">
        <v>3</v>
      </c>
      <c r="P48">
        <v>0</v>
      </c>
      <c r="Q48">
        <v>0</v>
      </c>
      <c r="R48">
        <v>25000</v>
      </c>
      <c r="S48">
        <v>0</v>
      </c>
      <c r="T48">
        <v>0</v>
      </c>
      <c r="U48">
        <v>0</v>
      </c>
      <c r="V48">
        <v>0</v>
      </c>
    </row>
    <row r="49" spans="1:22" x14ac:dyDescent="0.3">
      <c r="A49">
        <v>48</v>
      </c>
      <c r="B49" t="s">
        <v>278</v>
      </c>
      <c r="C49" t="s">
        <v>279</v>
      </c>
      <c r="D49" t="s">
        <v>276</v>
      </c>
      <c r="E49" s="31">
        <v>31196</v>
      </c>
      <c r="F49" t="s">
        <v>207</v>
      </c>
      <c r="G49" t="s">
        <v>47</v>
      </c>
      <c r="H49" t="s">
        <v>12</v>
      </c>
      <c r="I49" t="s">
        <v>10</v>
      </c>
      <c r="J49">
        <v>0</v>
      </c>
      <c r="K49">
        <v>2</v>
      </c>
      <c r="L49">
        <v>9500</v>
      </c>
      <c r="M49">
        <v>0</v>
      </c>
      <c r="N49">
        <v>0</v>
      </c>
      <c r="O49">
        <v>0</v>
      </c>
      <c r="P49">
        <v>0</v>
      </c>
      <c r="Q49">
        <v>5000</v>
      </c>
      <c r="R49">
        <v>0</v>
      </c>
      <c r="S49">
        <v>25000</v>
      </c>
      <c r="T49">
        <v>3000</v>
      </c>
      <c r="U49">
        <v>14500</v>
      </c>
      <c r="V49">
        <v>0</v>
      </c>
    </row>
    <row r="50" spans="1:22" x14ac:dyDescent="0.3">
      <c r="A50">
        <v>49</v>
      </c>
      <c r="B50" t="s">
        <v>280</v>
      </c>
      <c r="C50" t="s">
        <v>281</v>
      </c>
      <c r="D50" t="s">
        <v>282</v>
      </c>
      <c r="E50" s="31">
        <v>31160</v>
      </c>
      <c r="F50" t="s">
        <v>51</v>
      </c>
      <c r="G50" t="s">
        <v>9</v>
      </c>
      <c r="H50" t="s">
        <v>12</v>
      </c>
      <c r="I50" t="s">
        <v>10</v>
      </c>
      <c r="J50">
        <v>2</v>
      </c>
      <c r="K50">
        <v>5</v>
      </c>
      <c r="L50">
        <v>0</v>
      </c>
      <c r="M50">
        <v>8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  <row r="51" spans="1:22" x14ac:dyDescent="0.3">
      <c r="A51">
        <v>50</v>
      </c>
      <c r="B51" t="s">
        <v>283</v>
      </c>
      <c r="C51" t="s">
        <v>284</v>
      </c>
      <c r="D51" t="s">
        <v>285</v>
      </c>
      <c r="E51" s="31">
        <v>29941</v>
      </c>
      <c r="F51" t="s">
        <v>186</v>
      </c>
      <c r="G51" t="s">
        <v>9</v>
      </c>
      <c r="H51" t="s">
        <v>12</v>
      </c>
      <c r="I51" t="s">
        <v>46</v>
      </c>
      <c r="J51">
        <v>0</v>
      </c>
      <c r="K51">
        <v>0</v>
      </c>
      <c r="L51">
        <v>0</v>
      </c>
      <c r="M51">
        <v>8</v>
      </c>
      <c r="N51">
        <v>2</v>
      </c>
      <c r="O51">
        <v>3</v>
      </c>
      <c r="P51">
        <v>0</v>
      </c>
      <c r="Q51">
        <v>7000</v>
      </c>
      <c r="R51">
        <v>0</v>
      </c>
      <c r="S51">
        <v>0</v>
      </c>
      <c r="T51">
        <v>3000</v>
      </c>
      <c r="U51">
        <v>13500</v>
      </c>
      <c r="V51"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A71D5-EBB1-4916-8CA8-F17BDF0D9B8F}">
  <sheetPr codeName="Feuil2"/>
  <dimension ref="A1:AG51"/>
  <sheetViews>
    <sheetView workbookViewId="0">
      <selection activeCell="AE5" sqref="AE5"/>
    </sheetView>
  </sheetViews>
  <sheetFormatPr baseColWidth="10" defaultRowHeight="13.2" x14ac:dyDescent="0.25"/>
  <cols>
    <col min="1" max="1" width="19.44140625" style="33" customWidth="1"/>
    <col min="2" max="2" width="20.44140625" style="33" customWidth="1"/>
    <col min="3" max="3" width="10.33203125" style="33" customWidth="1"/>
    <col min="4" max="4" width="12.6640625" style="33" customWidth="1"/>
    <col min="5" max="5" width="12.77734375" style="33" customWidth="1"/>
    <col min="6" max="6" width="8" style="33" customWidth="1"/>
    <col min="7" max="7" width="6.21875" style="33" customWidth="1"/>
    <col min="8" max="8" width="9.6640625" style="33" customWidth="1"/>
    <col min="9" max="9" width="5.5546875" style="33" customWidth="1"/>
    <col min="10" max="10" width="8.6640625" style="33" customWidth="1"/>
    <col min="11" max="11" width="7.77734375" style="33" customWidth="1"/>
    <col min="12" max="13" width="11.5546875" style="33"/>
    <col min="14" max="14" width="8.109375" style="33" customWidth="1"/>
    <col min="15" max="15" width="9.5546875" style="33" customWidth="1"/>
    <col min="16" max="16" width="8.33203125" style="33" customWidth="1"/>
    <col min="17" max="17" width="9" style="33" customWidth="1"/>
    <col min="18" max="18" width="13.5546875" style="33" customWidth="1"/>
    <col min="19" max="19" width="12" style="33" customWidth="1"/>
    <col min="20" max="20" width="11.5546875" style="33"/>
    <col min="21" max="21" width="15.6640625" style="33" customWidth="1"/>
    <col min="22" max="22" width="11.5546875" style="33"/>
    <col min="23" max="23" width="14.6640625" style="33" customWidth="1"/>
    <col min="24" max="28" width="11.5546875" style="33"/>
    <col min="29" max="29" width="16.5546875" style="33" customWidth="1"/>
    <col min="30" max="16384" width="11.5546875" style="33"/>
  </cols>
  <sheetData>
    <row r="1" spans="1:33" x14ac:dyDescent="0.25">
      <c r="A1" s="34" t="s">
        <v>0</v>
      </c>
      <c r="B1" s="34" t="s">
        <v>1</v>
      </c>
      <c r="C1" s="34" t="s">
        <v>2</v>
      </c>
      <c r="D1" s="34" t="s">
        <v>287</v>
      </c>
      <c r="E1" s="34" t="s">
        <v>23</v>
      </c>
      <c r="F1" s="34" t="s">
        <v>24</v>
      </c>
      <c r="G1" s="34" t="s">
        <v>4</v>
      </c>
      <c r="H1" s="34" t="s">
        <v>25</v>
      </c>
      <c r="I1" s="34" t="s">
        <v>298</v>
      </c>
      <c r="J1" s="34" t="s">
        <v>299</v>
      </c>
      <c r="K1" s="34" t="s">
        <v>289</v>
      </c>
      <c r="L1" s="34" t="s">
        <v>296</v>
      </c>
      <c r="M1" s="34" t="s">
        <v>297</v>
      </c>
      <c r="N1" s="34" t="s">
        <v>21</v>
      </c>
      <c r="O1" s="34" t="s">
        <v>56</v>
      </c>
      <c r="P1" s="34" t="s">
        <v>57</v>
      </c>
      <c r="Q1" s="34" t="s">
        <v>58</v>
      </c>
      <c r="R1" s="34" t="s">
        <v>59</v>
      </c>
      <c r="S1" s="34" t="s">
        <v>77</v>
      </c>
      <c r="T1" s="34" t="s">
        <v>60</v>
      </c>
      <c r="U1" s="34" t="s">
        <v>5</v>
      </c>
      <c r="V1" s="34" t="s">
        <v>61</v>
      </c>
      <c r="W1" s="34" t="s">
        <v>300</v>
      </c>
      <c r="X1" s="34" t="s">
        <v>301</v>
      </c>
      <c r="Y1" s="34" t="s">
        <v>7</v>
      </c>
      <c r="Z1" s="34" t="s">
        <v>17</v>
      </c>
      <c r="AA1" s="34" t="s">
        <v>302</v>
      </c>
      <c r="AB1" s="34" t="s">
        <v>303</v>
      </c>
      <c r="AC1" s="34" t="s">
        <v>8</v>
      </c>
      <c r="AD1" s="34" t="s">
        <v>304</v>
      </c>
      <c r="AE1" s="34" t="s">
        <v>62</v>
      </c>
      <c r="AF1" s="34" t="s">
        <v>6</v>
      </c>
      <c r="AG1" s="34" t="s">
        <v>305</v>
      </c>
    </row>
    <row r="2" spans="1:33" x14ac:dyDescent="0.25">
      <c r="A2" s="33" t="s">
        <v>48</v>
      </c>
      <c r="B2" s="33" t="s">
        <v>49</v>
      </c>
      <c r="C2" s="33" t="s">
        <v>50</v>
      </c>
      <c r="D2" s="35">
        <v>30568</v>
      </c>
      <c r="E2" s="33" t="s">
        <v>51</v>
      </c>
      <c r="F2" s="33" t="s">
        <v>9</v>
      </c>
      <c r="G2" s="33" t="s">
        <v>12</v>
      </c>
      <c r="H2" s="33" t="s">
        <v>10</v>
      </c>
      <c r="I2" s="33">
        <f t="shared" ref="I2:I33" ca="1" si="0">DATEDIF(D2,TODAY(),"y")</f>
        <v>36</v>
      </c>
      <c r="J2" s="33">
        <v>1</v>
      </c>
      <c r="K2" s="33">
        <v>3</v>
      </c>
      <c r="L2" s="33" t="str">
        <f>_xlfn.IFS(G2="A","Cadre",G2&lt;&gt;"A","General")</f>
        <v>General</v>
      </c>
      <c r="M2" s="33">
        <f t="shared" ref="M2:M33" si="1">Salaire_Base(G2)</f>
        <v>350126.60000000003</v>
      </c>
      <c r="N2" s="33">
        <v>0</v>
      </c>
      <c r="O2" s="33">
        <f>Heures_Supp_15(BASE_DONNEES_GP!M2,BASE_SALARIALE!G2)</f>
        <v>0</v>
      </c>
      <c r="P2" s="33">
        <f>Heures_Supp_40(BASE_DONNEES_GP!N2,BASE_SALARIALE!G2)</f>
        <v>0</v>
      </c>
      <c r="Q2" s="33">
        <f>Heures_Supp_60(BASE_DONNEES_GP!O2,BASE_SALARIALE!G2)</f>
        <v>0</v>
      </c>
      <c r="R2" s="33">
        <f>Heures_Supp_100(BASE_DONNEES_GP!P2,BASE_SALARIALE!G2)</f>
        <v>16160</v>
      </c>
      <c r="S2" s="33">
        <v>0</v>
      </c>
      <c r="T2" s="33">
        <f t="shared" ref="T2:T33" si="2">Salaire_Brut_Social(M2,N2,O2,P2,Q2,R2,S2)</f>
        <v>366286.60000000003</v>
      </c>
      <c r="U2" s="33">
        <v>0</v>
      </c>
      <c r="V2" s="33">
        <f t="shared" ref="V2:V33" si="3">Salaire_Brut_Fiscal(T2,U2)</f>
        <v>366286.60000000003</v>
      </c>
      <c r="W2" s="33">
        <f t="shared" ref="W2:W33" si="4">Regime_General(T2)</f>
        <v>20160</v>
      </c>
      <c r="X2" s="33">
        <f t="shared" ref="X2:X33" si="5">Regime_Cadre(T2,G2)</f>
        <v>0</v>
      </c>
      <c r="Y2" s="33">
        <v>4500</v>
      </c>
      <c r="Z2" s="33">
        <f t="shared" ref="Z2:Z33" si="6">Trimf(J2,V2)</f>
        <v>1800</v>
      </c>
      <c r="AA2" s="33">
        <f t="shared" ref="AA2:AA33" si="7">Impot_Revenu(V2,H2,J2,K2)</f>
        <v>29166.666666666668</v>
      </c>
      <c r="AB2" s="33">
        <v>25000</v>
      </c>
      <c r="AC2" s="33">
        <v>0</v>
      </c>
      <c r="AD2" s="33">
        <f t="shared" ref="AD2:AD33" si="8">Retenus(W2,X2,Y2,Z2,AA2,AB2,AC2)</f>
        <v>80626.666666666672</v>
      </c>
      <c r="AE2" s="33">
        <f>Salaire_Net(V2,AD2)</f>
        <v>285659.93333333335</v>
      </c>
      <c r="AF2" s="33">
        <v>17500</v>
      </c>
      <c r="AG2" s="33">
        <f t="shared" ref="AG2:AG33" si="9">Net_a_payer(AE2,AF2)</f>
        <v>303160</v>
      </c>
    </row>
    <row r="3" spans="1:33" x14ac:dyDescent="0.25">
      <c r="A3" s="33" t="s">
        <v>52</v>
      </c>
      <c r="B3" s="33" t="s">
        <v>53</v>
      </c>
      <c r="C3" s="33" t="s">
        <v>54</v>
      </c>
      <c r="D3" s="35">
        <v>27693</v>
      </c>
      <c r="E3" s="33" t="s">
        <v>55</v>
      </c>
      <c r="F3" s="33" t="s">
        <v>9</v>
      </c>
      <c r="G3" s="33" t="s">
        <v>12</v>
      </c>
      <c r="H3" s="33" t="s">
        <v>46</v>
      </c>
      <c r="I3" s="33">
        <f t="shared" ca="1" si="0"/>
        <v>44</v>
      </c>
      <c r="J3" s="33">
        <v>0</v>
      </c>
      <c r="K3" s="33">
        <v>0</v>
      </c>
      <c r="L3" s="33" t="str">
        <f>_xlfn.IFS(G3="A","Cadre",G3&lt;&gt;"A","General")</f>
        <v>General</v>
      </c>
      <c r="M3" s="33">
        <f t="shared" si="1"/>
        <v>350126.60000000003</v>
      </c>
      <c r="N3" s="33">
        <v>0</v>
      </c>
      <c r="O3" s="33">
        <f>Heures_Supp_15(BASE_DONNEES_GP!M3,BASE_SALARIALE!G3)</f>
        <v>18584</v>
      </c>
      <c r="P3" s="33">
        <f>Heures_Supp_40(BASE_DONNEES_GP!N3,BASE_SALARIALE!G3)</f>
        <v>11312</v>
      </c>
      <c r="Q3" s="33">
        <f>Heures_Supp_60(BASE_DONNEES_GP!O3,BASE_SALARIALE!G3)</f>
        <v>0</v>
      </c>
      <c r="R3" s="33">
        <f>Heures_Supp_100(BASE_DONNEES_GP!P3,BASE_SALARIALE!G3)</f>
        <v>12120</v>
      </c>
      <c r="S3" s="33">
        <v>15000</v>
      </c>
      <c r="T3" s="33">
        <f t="shared" si="2"/>
        <v>407142.60000000003</v>
      </c>
      <c r="U3" s="33">
        <v>0</v>
      </c>
      <c r="V3" s="33">
        <f t="shared" si="3"/>
        <v>407142.60000000003</v>
      </c>
      <c r="W3" s="33">
        <f t="shared" si="4"/>
        <v>20160</v>
      </c>
      <c r="X3" s="33">
        <f t="shared" si="5"/>
        <v>0</v>
      </c>
      <c r="Y3" s="33">
        <v>0</v>
      </c>
      <c r="Z3" s="33">
        <f t="shared" si="6"/>
        <v>900</v>
      </c>
      <c r="AA3" s="33">
        <f t="shared" si="7"/>
        <v>62500</v>
      </c>
      <c r="AB3" s="33">
        <v>0</v>
      </c>
      <c r="AC3" s="33">
        <v>0</v>
      </c>
      <c r="AD3" s="33">
        <f t="shared" si="8"/>
        <v>83560</v>
      </c>
      <c r="AE3" s="33">
        <f>Salaire_Net(V3,AD3)</f>
        <v>323582.60000000003</v>
      </c>
      <c r="AF3" s="33">
        <v>12500</v>
      </c>
      <c r="AG3" s="33">
        <f t="shared" si="9"/>
        <v>336083</v>
      </c>
    </row>
    <row r="4" spans="1:33" x14ac:dyDescent="0.25">
      <c r="A4" s="33" t="s">
        <v>118</v>
      </c>
      <c r="B4" s="33" t="s">
        <v>119</v>
      </c>
      <c r="C4" s="33" t="s">
        <v>120</v>
      </c>
      <c r="D4" s="35">
        <v>30241</v>
      </c>
      <c r="E4" s="33" t="s">
        <v>121</v>
      </c>
      <c r="F4" s="33" t="s">
        <v>9</v>
      </c>
      <c r="G4" s="33" t="s">
        <v>12</v>
      </c>
      <c r="H4" s="33" t="s">
        <v>10</v>
      </c>
      <c r="I4" s="33">
        <f t="shared" ca="1" si="0"/>
        <v>37</v>
      </c>
      <c r="J4" s="33">
        <v>2</v>
      </c>
      <c r="K4" s="33">
        <v>6</v>
      </c>
      <c r="L4" s="33" t="str">
        <f>_xlfn.IFS(G4="A","Cadre",G4&lt;&gt;"A","General")</f>
        <v>General</v>
      </c>
      <c r="M4" s="33">
        <f t="shared" si="1"/>
        <v>350126.60000000003</v>
      </c>
      <c r="N4" s="33">
        <v>0</v>
      </c>
      <c r="O4" s="33">
        <f>Heures_Supp_15(BASE_DONNEES_GP!M4,BASE_SALARIALE!G4)</f>
        <v>0</v>
      </c>
      <c r="P4" s="33">
        <f>Heures_Supp_40(BASE_DONNEES_GP!N4,BASE_SALARIALE!G4)</f>
        <v>0</v>
      </c>
      <c r="Q4" s="33">
        <f>Heures_Supp_60(BASE_DONNEES_GP!O4,BASE_SALARIALE!G4)</f>
        <v>19392</v>
      </c>
      <c r="R4" s="33">
        <f>Heures_Supp_100(BASE_DONNEES_GP!P4,BASE_SALARIALE!G4)</f>
        <v>8080</v>
      </c>
      <c r="S4" s="33">
        <v>0</v>
      </c>
      <c r="T4" s="33">
        <f t="shared" si="2"/>
        <v>377598.60000000003</v>
      </c>
      <c r="U4" s="33">
        <v>0</v>
      </c>
      <c r="V4" s="33">
        <f t="shared" si="3"/>
        <v>377598.60000000003</v>
      </c>
      <c r="W4" s="33">
        <f t="shared" si="4"/>
        <v>20160</v>
      </c>
      <c r="X4" s="33">
        <f t="shared" si="5"/>
        <v>0</v>
      </c>
      <c r="Y4" s="33">
        <v>5000</v>
      </c>
      <c r="Z4" s="33">
        <f t="shared" si="6"/>
        <v>2700</v>
      </c>
      <c r="AA4" s="33">
        <f t="shared" si="7"/>
        <v>4166.666666666667</v>
      </c>
      <c r="AB4" s="33">
        <v>0</v>
      </c>
      <c r="AC4" s="33">
        <v>0</v>
      </c>
      <c r="AD4" s="33">
        <f t="shared" si="8"/>
        <v>32026.666666666668</v>
      </c>
      <c r="AE4" s="33">
        <f>Salaire_Net(V4,AD4)</f>
        <v>345571.93333333335</v>
      </c>
      <c r="AF4" s="33">
        <v>20000</v>
      </c>
      <c r="AG4" s="33">
        <f t="shared" si="9"/>
        <v>365572</v>
      </c>
    </row>
    <row r="5" spans="1:33" x14ac:dyDescent="0.25">
      <c r="A5" s="33" t="s">
        <v>122</v>
      </c>
      <c r="B5" s="33" t="s">
        <v>123</v>
      </c>
      <c r="C5" s="33" t="s">
        <v>124</v>
      </c>
      <c r="D5" s="35">
        <v>30241</v>
      </c>
      <c r="E5" s="33" t="s">
        <v>125</v>
      </c>
      <c r="F5" s="33" t="s">
        <v>9</v>
      </c>
      <c r="G5" s="33" t="s">
        <v>13</v>
      </c>
      <c r="H5" s="33" t="s">
        <v>10</v>
      </c>
      <c r="I5" s="33">
        <f t="shared" ca="1" si="0"/>
        <v>37</v>
      </c>
      <c r="J5" s="33">
        <v>1</v>
      </c>
      <c r="K5" s="33">
        <v>1</v>
      </c>
      <c r="L5" s="33" t="str">
        <f>_xlfn.IFS(G5="A","Cadre",G5&lt;&gt;"A","General")</f>
        <v>General</v>
      </c>
      <c r="M5" s="33">
        <f t="shared" si="1"/>
        <v>240062.05000000002</v>
      </c>
      <c r="N5" s="33">
        <v>0</v>
      </c>
      <c r="O5" s="33">
        <f>Heures_Supp_15(BASE_DONNEES_GP!M5,BASE_SALARIALE!G5)</f>
        <v>12741.999999999998</v>
      </c>
      <c r="P5" s="33">
        <f>Heures_Supp_40(BASE_DONNEES_GP!N5,BASE_SALARIALE!G5)</f>
        <v>7755.9999999999991</v>
      </c>
      <c r="Q5" s="33">
        <f>Heures_Supp_60(BASE_DONNEES_GP!O5,BASE_SALARIALE!G5)</f>
        <v>0</v>
      </c>
      <c r="R5" s="33">
        <f>Heures_Supp_100(BASE_DONNEES_GP!P5,BASE_SALARIALE!G5)</f>
        <v>0</v>
      </c>
      <c r="S5" s="33">
        <v>10000</v>
      </c>
      <c r="T5" s="33">
        <f t="shared" si="2"/>
        <v>270560.05</v>
      </c>
      <c r="U5" s="33">
        <v>0</v>
      </c>
      <c r="V5" s="33">
        <f t="shared" si="3"/>
        <v>270560.05</v>
      </c>
      <c r="W5" s="33">
        <f t="shared" si="4"/>
        <v>15151.362799999999</v>
      </c>
      <c r="X5" s="33">
        <f t="shared" si="5"/>
        <v>0</v>
      </c>
      <c r="Y5" s="33">
        <v>0</v>
      </c>
      <c r="Z5" s="33">
        <f t="shared" si="6"/>
        <v>1800</v>
      </c>
      <c r="AA5" s="33">
        <f t="shared" si="7"/>
        <v>45833.333333333336</v>
      </c>
      <c r="AB5" s="33">
        <v>0</v>
      </c>
      <c r="AC5" s="33">
        <v>0</v>
      </c>
      <c r="AD5" s="33">
        <f t="shared" si="8"/>
        <v>62784.696133333331</v>
      </c>
      <c r="AE5" s="33">
        <f t="shared" ref="AE5:AE33" si="10">Salaire_Net(V5,AD5)</f>
        <v>207775.35386666667</v>
      </c>
      <c r="AF5" s="33">
        <v>0</v>
      </c>
      <c r="AG5" s="33">
        <f t="shared" si="9"/>
        <v>207775</v>
      </c>
    </row>
    <row r="6" spans="1:33" x14ac:dyDescent="0.25">
      <c r="A6" s="33" t="s">
        <v>126</v>
      </c>
      <c r="B6" s="33" t="s">
        <v>127</v>
      </c>
      <c r="C6" s="33" t="s">
        <v>128</v>
      </c>
      <c r="D6" s="35">
        <v>30423</v>
      </c>
      <c r="E6" s="33" t="s">
        <v>129</v>
      </c>
      <c r="F6" s="33" t="s">
        <v>9</v>
      </c>
      <c r="G6" s="33" t="s">
        <v>13</v>
      </c>
      <c r="H6" s="33" t="s">
        <v>46</v>
      </c>
      <c r="I6" s="33">
        <f t="shared" ca="1" si="0"/>
        <v>37</v>
      </c>
      <c r="J6" s="33">
        <v>0</v>
      </c>
      <c r="K6" s="33">
        <v>1</v>
      </c>
      <c r="L6" s="33" t="str">
        <f t="shared" ref="L6:L11" si="11">_xlfn.IFS(G6="A","Cadre",G6&lt;&gt;"A","General")</f>
        <v>General</v>
      </c>
      <c r="M6" s="33">
        <f t="shared" si="1"/>
        <v>240062.05000000002</v>
      </c>
      <c r="N6" s="33">
        <v>15000</v>
      </c>
      <c r="O6" s="33">
        <f>Heures_Supp_15(BASE_DONNEES_GP!M6,BASE_SALARIALE!G6)</f>
        <v>12741.999999999998</v>
      </c>
      <c r="P6" s="33">
        <f>Heures_Supp_40(BASE_DONNEES_GP!N6,BASE_SALARIALE!G6)</f>
        <v>7755.9999999999991</v>
      </c>
      <c r="Q6" s="33">
        <f>Heures_Supp_60(BASE_DONNEES_GP!O6,BASE_SALARIALE!G6)</f>
        <v>8864</v>
      </c>
      <c r="R6" s="33">
        <f>Heures_Supp_100(BASE_DONNEES_GP!P6,BASE_SALARIALE!G6)</f>
        <v>5540</v>
      </c>
      <c r="S6" s="33">
        <v>0</v>
      </c>
      <c r="T6" s="33">
        <f t="shared" si="2"/>
        <v>289964.05</v>
      </c>
      <c r="U6" s="33">
        <v>35000</v>
      </c>
      <c r="V6" s="33">
        <f t="shared" si="3"/>
        <v>324964.05</v>
      </c>
      <c r="W6" s="33">
        <f t="shared" si="4"/>
        <v>16237.986800000001</v>
      </c>
      <c r="X6" s="33">
        <f t="shared" si="5"/>
        <v>0</v>
      </c>
      <c r="Y6" s="33">
        <v>3500</v>
      </c>
      <c r="Z6" s="33">
        <f t="shared" si="6"/>
        <v>900</v>
      </c>
      <c r="AA6" s="33">
        <f t="shared" si="7"/>
        <v>54166.666666666664</v>
      </c>
      <c r="AB6" s="33">
        <v>30000</v>
      </c>
      <c r="AC6" s="33">
        <v>20000</v>
      </c>
      <c r="AD6" s="33">
        <f t="shared" si="8"/>
        <v>124804.65346666667</v>
      </c>
      <c r="AE6" s="33">
        <f t="shared" si="10"/>
        <v>200159.39653333332</v>
      </c>
      <c r="AF6" s="33">
        <v>0</v>
      </c>
      <c r="AG6" s="33">
        <f t="shared" si="9"/>
        <v>200159</v>
      </c>
    </row>
    <row r="7" spans="1:33" x14ac:dyDescent="0.25">
      <c r="A7" s="33" t="s">
        <v>130</v>
      </c>
      <c r="B7" s="33" t="s">
        <v>131</v>
      </c>
      <c r="C7" s="33" t="s">
        <v>132</v>
      </c>
      <c r="D7" s="35">
        <v>29138</v>
      </c>
      <c r="E7" s="33" t="s">
        <v>133</v>
      </c>
      <c r="F7" s="33" t="s">
        <v>9</v>
      </c>
      <c r="G7" s="33" t="s">
        <v>13</v>
      </c>
      <c r="H7" s="33" t="s">
        <v>46</v>
      </c>
      <c r="I7" s="33">
        <f t="shared" ca="1" si="0"/>
        <v>40</v>
      </c>
      <c r="J7" s="33">
        <v>0</v>
      </c>
      <c r="K7" s="33">
        <v>0</v>
      </c>
      <c r="L7" s="33" t="str">
        <f t="shared" si="11"/>
        <v>General</v>
      </c>
      <c r="M7" s="33">
        <f t="shared" si="1"/>
        <v>240062.05000000002</v>
      </c>
      <c r="N7" s="33">
        <v>0</v>
      </c>
      <c r="O7" s="33">
        <f>Heures_Supp_15(BASE_DONNEES_GP!M7,BASE_SALARIALE!G7)</f>
        <v>0</v>
      </c>
      <c r="P7" s="33">
        <f>Heures_Supp_40(BASE_DONNEES_GP!N7,BASE_SALARIALE!G7)</f>
        <v>0</v>
      </c>
      <c r="Q7" s="33">
        <f>Heures_Supp_60(BASE_DONNEES_GP!O7,BASE_SALARIALE!G7)</f>
        <v>0</v>
      </c>
      <c r="R7" s="33">
        <f>Heures_Supp_100(BASE_DONNEES_GP!P7,BASE_SALARIALE!G7)</f>
        <v>0</v>
      </c>
      <c r="S7" s="33">
        <v>0</v>
      </c>
      <c r="T7" s="33">
        <f t="shared" si="2"/>
        <v>240062.05000000002</v>
      </c>
      <c r="U7" s="33">
        <v>0</v>
      </c>
      <c r="V7" s="33">
        <f t="shared" si="3"/>
        <v>240062.05000000002</v>
      </c>
      <c r="W7" s="33">
        <f t="shared" si="4"/>
        <v>13443.474800000002</v>
      </c>
      <c r="X7" s="33">
        <f t="shared" si="5"/>
        <v>0</v>
      </c>
      <c r="Y7" s="33">
        <v>2500</v>
      </c>
      <c r="Z7" s="33">
        <f t="shared" si="6"/>
        <v>900</v>
      </c>
      <c r="AA7" s="33">
        <f t="shared" si="7"/>
        <v>62500</v>
      </c>
      <c r="AB7" s="33">
        <v>0</v>
      </c>
      <c r="AC7" s="33">
        <v>0</v>
      </c>
      <c r="AD7" s="33">
        <f t="shared" si="8"/>
        <v>79343.474799999996</v>
      </c>
      <c r="AE7" s="33">
        <f t="shared" si="10"/>
        <v>160718.57520000002</v>
      </c>
      <c r="AF7" s="33">
        <v>0</v>
      </c>
      <c r="AG7" s="33">
        <f t="shared" si="9"/>
        <v>160719</v>
      </c>
    </row>
    <row r="8" spans="1:33" x14ac:dyDescent="0.25">
      <c r="A8" s="33" t="s">
        <v>134</v>
      </c>
      <c r="B8" s="33" t="s">
        <v>135</v>
      </c>
      <c r="C8" s="33" t="s">
        <v>136</v>
      </c>
      <c r="D8" s="35">
        <v>29982</v>
      </c>
      <c r="E8" s="33" t="s">
        <v>137</v>
      </c>
      <c r="F8" s="33" t="s">
        <v>47</v>
      </c>
      <c r="G8" s="33" t="s">
        <v>11</v>
      </c>
      <c r="H8" s="33" t="s">
        <v>10</v>
      </c>
      <c r="I8" s="33">
        <f t="shared" ca="1" si="0"/>
        <v>38</v>
      </c>
      <c r="J8" s="33">
        <v>0</v>
      </c>
      <c r="K8" s="33">
        <v>4</v>
      </c>
      <c r="L8" s="33" t="str">
        <f>_xlfn.IFS(G8="A","Cadre",G8&lt;&gt;"A","General")</f>
        <v>Cadre</v>
      </c>
      <c r="M8" s="33">
        <f t="shared" si="1"/>
        <v>469897.63000000006</v>
      </c>
      <c r="N8" s="33">
        <v>0</v>
      </c>
      <c r="O8" s="33">
        <f>Heures_Supp_15(BASE_DONNEES_GP!M8,BASE_SALARIALE!G8)</f>
        <v>0</v>
      </c>
      <c r="P8" s="33">
        <f>Heures_Supp_40(BASE_DONNEES_GP!N8,BASE_SALARIALE!G8)</f>
        <v>0</v>
      </c>
      <c r="Q8" s="33">
        <f>Heures_Supp_60(BASE_DONNEES_GP!O8,BASE_SALARIALE!G8)</f>
        <v>0</v>
      </c>
      <c r="R8" s="33">
        <f>Heures_Supp_100(BASE_DONNEES_GP!P8,BASE_SALARIALE!G8)</f>
        <v>0</v>
      </c>
      <c r="S8" s="33">
        <v>10000</v>
      </c>
      <c r="T8" s="33">
        <f t="shared" si="2"/>
        <v>479897.63000000006</v>
      </c>
      <c r="U8" s="33">
        <v>60000</v>
      </c>
      <c r="V8" s="33">
        <f t="shared" si="3"/>
        <v>539897.63000000012</v>
      </c>
      <c r="W8" s="33">
        <f t="shared" si="4"/>
        <v>20160</v>
      </c>
      <c r="X8" s="33">
        <f t="shared" si="5"/>
        <v>11517.543120000002</v>
      </c>
      <c r="Y8" s="33">
        <v>0</v>
      </c>
      <c r="Z8" s="33">
        <f t="shared" si="6"/>
        <v>900</v>
      </c>
      <c r="AA8" s="33">
        <f t="shared" si="7"/>
        <v>75000</v>
      </c>
      <c r="AB8" s="33">
        <v>0</v>
      </c>
      <c r="AC8" s="33">
        <v>0</v>
      </c>
      <c r="AD8" s="33">
        <f t="shared" si="8"/>
        <v>107577.54312</v>
      </c>
      <c r="AE8" s="33">
        <f t="shared" si="10"/>
        <v>432320.08688000013</v>
      </c>
      <c r="AF8" s="33">
        <v>0</v>
      </c>
      <c r="AG8" s="33">
        <f t="shared" si="9"/>
        <v>432320</v>
      </c>
    </row>
    <row r="9" spans="1:33" x14ac:dyDescent="0.25">
      <c r="A9" s="33" t="s">
        <v>138</v>
      </c>
      <c r="B9" s="33" t="s">
        <v>139</v>
      </c>
      <c r="C9" s="33" t="s">
        <v>140</v>
      </c>
      <c r="D9" s="35">
        <v>27684</v>
      </c>
      <c r="E9" s="33" t="s">
        <v>51</v>
      </c>
      <c r="F9" s="33" t="s">
        <v>47</v>
      </c>
      <c r="G9" s="33" t="s">
        <v>11</v>
      </c>
      <c r="H9" s="33" t="s">
        <v>46</v>
      </c>
      <c r="I9" s="33">
        <f t="shared" ca="1" si="0"/>
        <v>44</v>
      </c>
      <c r="J9" s="33">
        <v>0</v>
      </c>
      <c r="K9" s="33">
        <v>0</v>
      </c>
      <c r="L9" s="33" t="str">
        <f>_xlfn.IFS(G9="A","Cadre",G9&lt;&gt;"A","General")</f>
        <v>Cadre</v>
      </c>
      <c r="M9" s="33">
        <f t="shared" si="1"/>
        <v>469897.63000000006</v>
      </c>
      <c r="N9" s="33">
        <v>0</v>
      </c>
      <c r="O9" s="33">
        <f>Heures_Supp_15(BASE_DONNEES_GP!M9,BASE_SALARIALE!G9)</f>
        <v>0</v>
      </c>
      <c r="P9" s="33">
        <f>Heures_Supp_40(BASE_DONNEES_GP!N9,BASE_SALARIALE!G9)</f>
        <v>0</v>
      </c>
      <c r="Q9" s="33">
        <f>Heures_Supp_60(BASE_DONNEES_GP!O9,BASE_SALARIALE!G9)</f>
        <v>0</v>
      </c>
      <c r="R9" s="33">
        <f>Heures_Supp_100(BASE_DONNEES_GP!P9,BASE_SALARIALE!G9)</f>
        <v>0</v>
      </c>
      <c r="S9" s="33">
        <v>0</v>
      </c>
      <c r="T9" s="33">
        <f t="shared" si="2"/>
        <v>469897.63000000006</v>
      </c>
      <c r="U9" s="33">
        <v>0</v>
      </c>
      <c r="V9" s="33">
        <f t="shared" si="3"/>
        <v>469897.63000000006</v>
      </c>
      <c r="W9" s="33">
        <f t="shared" si="4"/>
        <v>20160</v>
      </c>
      <c r="X9" s="33">
        <f t="shared" si="5"/>
        <v>11277.543120000002</v>
      </c>
      <c r="Y9" s="33">
        <v>3000</v>
      </c>
      <c r="Z9" s="33">
        <f t="shared" si="6"/>
        <v>900</v>
      </c>
      <c r="AA9" s="33">
        <f t="shared" si="7"/>
        <v>116666.66666666667</v>
      </c>
      <c r="AB9" s="33">
        <v>0</v>
      </c>
      <c r="AC9" s="33">
        <v>0</v>
      </c>
      <c r="AD9" s="33">
        <f t="shared" si="8"/>
        <v>152004.20978666667</v>
      </c>
      <c r="AE9" s="33">
        <f t="shared" si="10"/>
        <v>317893.42021333339</v>
      </c>
      <c r="AF9" s="33">
        <v>0</v>
      </c>
      <c r="AG9" s="33">
        <f t="shared" si="9"/>
        <v>317893</v>
      </c>
    </row>
    <row r="10" spans="1:33" x14ac:dyDescent="0.25">
      <c r="A10" s="33" t="s">
        <v>141</v>
      </c>
      <c r="B10" s="33" t="s">
        <v>142</v>
      </c>
      <c r="C10" s="33" t="s">
        <v>140</v>
      </c>
      <c r="D10" s="35">
        <v>29260</v>
      </c>
      <c r="E10" s="33" t="s">
        <v>137</v>
      </c>
      <c r="F10" s="33" t="s">
        <v>9</v>
      </c>
      <c r="G10" s="33" t="s">
        <v>11</v>
      </c>
      <c r="H10" s="33" t="s">
        <v>10</v>
      </c>
      <c r="I10" s="33">
        <f t="shared" ca="1" si="0"/>
        <v>40</v>
      </c>
      <c r="J10" s="33">
        <v>3</v>
      </c>
      <c r="K10" s="33">
        <v>8</v>
      </c>
      <c r="L10" s="33" t="str">
        <f>_xlfn.IFS(G10="A","Cadre",G10&lt;&gt;"A","General")</f>
        <v>Cadre</v>
      </c>
      <c r="M10" s="33">
        <f t="shared" si="1"/>
        <v>469897.63000000006</v>
      </c>
      <c r="N10" s="33">
        <v>0</v>
      </c>
      <c r="O10" s="33">
        <f>Heures_Supp_15(BASE_DONNEES_GP!M10,BASE_SALARIALE!G10)</f>
        <v>0</v>
      </c>
      <c r="P10" s="33">
        <f>Heures_Supp_40(BASE_DONNEES_GP!N10,BASE_SALARIALE!G10)</f>
        <v>0</v>
      </c>
      <c r="Q10" s="33">
        <f>Heures_Supp_60(BASE_DONNEES_GP!O10,BASE_SALARIALE!G10)</f>
        <v>0</v>
      </c>
      <c r="R10" s="33">
        <f>Heures_Supp_100(BASE_DONNEES_GP!P10,BASE_SALARIALE!G10)</f>
        <v>0</v>
      </c>
      <c r="S10" s="33">
        <v>0</v>
      </c>
      <c r="T10" s="33">
        <f t="shared" si="2"/>
        <v>469897.63000000006</v>
      </c>
      <c r="U10" s="33">
        <v>37500</v>
      </c>
      <c r="V10" s="33">
        <f t="shared" si="3"/>
        <v>507397.63000000006</v>
      </c>
      <c r="W10" s="33">
        <f t="shared" si="4"/>
        <v>20160</v>
      </c>
      <c r="X10" s="33">
        <f t="shared" si="5"/>
        <v>11277.543120000002</v>
      </c>
      <c r="Y10" s="33">
        <v>3000</v>
      </c>
      <c r="Z10" s="33">
        <f t="shared" si="6"/>
        <v>3600</v>
      </c>
      <c r="AA10" s="33">
        <f t="shared" si="7"/>
        <v>50000</v>
      </c>
      <c r="AB10" s="33">
        <v>55000</v>
      </c>
      <c r="AC10" s="33">
        <v>0</v>
      </c>
      <c r="AD10" s="33">
        <f t="shared" si="8"/>
        <v>143037.54311999999</v>
      </c>
      <c r="AE10" s="33">
        <f t="shared" si="10"/>
        <v>364360.08688000008</v>
      </c>
      <c r="AF10" s="33">
        <v>0</v>
      </c>
      <c r="AG10" s="33">
        <f t="shared" si="9"/>
        <v>364360</v>
      </c>
    </row>
    <row r="11" spans="1:33" x14ac:dyDescent="0.25">
      <c r="A11" s="33" t="s">
        <v>143</v>
      </c>
      <c r="B11" s="33" t="s">
        <v>144</v>
      </c>
      <c r="C11" s="33" t="s">
        <v>145</v>
      </c>
      <c r="D11" s="35">
        <v>27977</v>
      </c>
      <c r="E11" s="33" t="s">
        <v>146</v>
      </c>
      <c r="F11" s="33" t="s">
        <v>9</v>
      </c>
      <c r="G11" s="33" t="s">
        <v>11</v>
      </c>
      <c r="H11" s="33" t="s">
        <v>46</v>
      </c>
      <c r="I11" s="33">
        <f t="shared" ca="1" si="0"/>
        <v>43</v>
      </c>
      <c r="J11" s="33">
        <v>0</v>
      </c>
      <c r="K11" s="33">
        <v>0</v>
      </c>
      <c r="L11" s="33" t="str">
        <f t="shared" si="11"/>
        <v>Cadre</v>
      </c>
      <c r="M11" s="33">
        <f t="shared" si="1"/>
        <v>469897.63000000006</v>
      </c>
      <c r="N11" s="33">
        <v>0</v>
      </c>
      <c r="O11" s="33">
        <f>Heures_Supp_15(BASE_DONNEES_GP!M11,BASE_SALARIALE!G11)</f>
        <v>0</v>
      </c>
      <c r="P11" s="33">
        <f>Heures_Supp_40(BASE_DONNEES_GP!N11,BASE_SALARIALE!G11)</f>
        <v>0</v>
      </c>
      <c r="Q11" s="33">
        <f>Heures_Supp_60(BASE_DONNEES_GP!O11,BASE_SALARIALE!G11)</f>
        <v>0</v>
      </c>
      <c r="R11" s="33">
        <f>Heures_Supp_100(BASE_DONNEES_GP!P11,BASE_SALARIALE!G11)</f>
        <v>0</v>
      </c>
      <c r="S11" s="33">
        <v>0</v>
      </c>
      <c r="T11" s="33">
        <f t="shared" si="2"/>
        <v>469897.63000000006</v>
      </c>
      <c r="U11" s="33">
        <v>50000</v>
      </c>
      <c r="V11" s="33">
        <f t="shared" si="3"/>
        <v>519897.63000000006</v>
      </c>
      <c r="W11" s="33">
        <f t="shared" si="4"/>
        <v>20160</v>
      </c>
      <c r="X11" s="33">
        <f t="shared" si="5"/>
        <v>11277.543120000002</v>
      </c>
      <c r="Y11" s="33">
        <v>0</v>
      </c>
      <c r="Z11" s="33">
        <f t="shared" si="6"/>
        <v>900</v>
      </c>
      <c r="AA11" s="33">
        <f t="shared" si="7"/>
        <v>116666.66666666667</v>
      </c>
      <c r="AB11" s="33">
        <v>0</v>
      </c>
      <c r="AC11" s="33">
        <v>0</v>
      </c>
      <c r="AD11" s="33">
        <f t="shared" si="8"/>
        <v>149004.20978666667</v>
      </c>
      <c r="AE11" s="33">
        <f t="shared" si="10"/>
        <v>370893.42021333339</v>
      </c>
      <c r="AF11" s="33">
        <v>0</v>
      </c>
      <c r="AG11" s="33">
        <f t="shared" si="9"/>
        <v>370893</v>
      </c>
    </row>
    <row r="12" spans="1:33" x14ac:dyDescent="0.25">
      <c r="A12" s="33" t="s">
        <v>147</v>
      </c>
      <c r="B12" s="33" t="s">
        <v>148</v>
      </c>
      <c r="C12" s="33" t="s">
        <v>149</v>
      </c>
      <c r="D12" s="35">
        <v>28363</v>
      </c>
      <c r="E12" s="33" t="s">
        <v>150</v>
      </c>
      <c r="F12" s="33" t="s">
        <v>47</v>
      </c>
      <c r="G12" s="33" t="s">
        <v>12</v>
      </c>
      <c r="H12" s="33" t="s">
        <v>46</v>
      </c>
      <c r="I12" s="33">
        <f t="shared" ca="1" si="0"/>
        <v>42</v>
      </c>
      <c r="J12" s="33">
        <v>0</v>
      </c>
      <c r="K12" s="33">
        <v>0</v>
      </c>
      <c r="L12" s="33" t="str">
        <f t="shared" ref="L12:L51" si="12">_xlfn.IFS(G12="A","Cadre",G12&lt;&gt;"A","General")</f>
        <v>General</v>
      </c>
      <c r="M12" s="33">
        <f t="shared" si="1"/>
        <v>350126.60000000003</v>
      </c>
      <c r="N12" s="33">
        <v>0</v>
      </c>
      <c r="O12" s="33">
        <f>Heures_Supp_15(BASE_DONNEES_GP!M12,BASE_SALARIALE!G12)</f>
        <v>18584</v>
      </c>
      <c r="P12" s="33">
        <f>Heures_Supp_40(BASE_DONNEES_GP!N12,BASE_SALARIALE!G12)</f>
        <v>0</v>
      </c>
      <c r="Q12" s="33">
        <f>Heures_Supp_60(BASE_DONNEES_GP!O12,BASE_SALARIALE!G12)</f>
        <v>9696</v>
      </c>
      <c r="R12" s="33">
        <f>Heures_Supp_100(BASE_DONNEES_GP!P12,BASE_SALARIALE!G12)</f>
        <v>8080</v>
      </c>
      <c r="S12" s="33">
        <v>0</v>
      </c>
      <c r="T12" s="33">
        <f t="shared" si="2"/>
        <v>386486.60000000003</v>
      </c>
      <c r="U12" s="33">
        <v>0</v>
      </c>
      <c r="V12" s="33">
        <f t="shared" si="3"/>
        <v>386486.60000000003</v>
      </c>
      <c r="W12" s="33">
        <f t="shared" si="4"/>
        <v>20160</v>
      </c>
      <c r="X12" s="33">
        <f t="shared" si="5"/>
        <v>0</v>
      </c>
      <c r="Y12" s="33">
        <v>3000</v>
      </c>
      <c r="Z12" s="33">
        <f t="shared" si="6"/>
        <v>900</v>
      </c>
      <c r="AA12" s="33">
        <f t="shared" si="7"/>
        <v>62500</v>
      </c>
      <c r="AB12" s="33">
        <v>0</v>
      </c>
      <c r="AC12" s="33">
        <v>0</v>
      </c>
      <c r="AD12" s="33">
        <f t="shared" si="8"/>
        <v>86560</v>
      </c>
      <c r="AE12" s="33">
        <f t="shared" si="10"/>
        <v>299926.60000000003</v>
      </c>
      <c r="AF12" s="33">
        <v>25000</v>
      </c>
      <c r="AG12" s="33">
        <f t="shared" si="9"/>
        <v>324927</v>
      </c>
    </row>
    <row r="13" spans="1:33" x14ac:dyDescent="0.25">
      <c r="A13" s="33" t="s">
        <v>151</v>
      </c>
      <c r="B13" s="33" t="s">
        <v>152</v>
      </c>
      <c r="C13" s="33" t="s">
        <v>153</v>
      </c>
      <c r="D13" s="35">
        <v>29055</v>
      </c>
      <c r="E13" s="33" t="s">
        <v>154</v>
      </c>
      <c r="F13" s="33" t="s">
        <v>9</v>
      </c>
      <c r="G13" s="33" t="s">
        <v>12</v>
      </c>
      <c r="H13" s="33" t="s">
        <v>46</v>
      </c>
      <c r="I13" s="33">
        <f t="shared" ca="1" si="0"/>
        <v>40</v>
      </c>
      <c r="J13" s="33">
        <v>0</v>
      </c>
      <c r="K13" s="33">
        <v>0</v>
      </c>
      <c r="L13" s="33" t="str">
        <f t="shared" si="12"/>
        <v>General</v>
      </c>
      <c r="M13" s="33">
        <f t="shared" si="1"/>
        <v>350126.60000000003</v>
      </c>
      <c r="N13" s="33">
        <v>0</v>
      </c>
      <c r="O13" s="33">
        <f>Heures_Supp_15(BASE_DONNEES_GP!M13,BASE_SALARIALE!G13)</f>
        <v>0</v>
      </c>
      <c r="P13" s="33">
        <f>Heures_Supp_40(BASE_DONNEES_GP!N13,BASE_SALARIALE!G13)</f>
        <v>0</v>
      </c>
      <c r="Q13" s="33">
        <f>Heures_Supp_60(BASE_DONNEES_GP!O13,BASE_SALARIALE!G13)</f>
        <v>6464</v>
      </c>
      <c r="R13" s="33">
        <f>Heures_Supp_100(BASE_DONNEES_GP!P13,BASE_SALARIALE!G13)</f>
        <v>0</v>
      </c>
      <c r="S13" s="33">
        <v>0</v>
      </c>
      <c r="T13" s="33">
        <f t="shared" si="2"/>
        <v>356590.60000000003</v>
      </c>
      <c r="U13" s="33">
        <v>0</v>
      </c>
      <c r="V13" s="33">
        <f t="shared" si="3"/>
        <v>356590.60000000003</v>
      </c>
      <c r="W13" s="33">
        <f t="shared" si="4"/>
        <v>19969.073600000003</v>
      </c>
      <c r="X13" s="33">
        <f t="shared" si="5"/>
        <v>0</v>
      </c>
      <c r="Y13" s="33">
        <v>0</v>
      </c>
      <c r="Z13" s="33">
        <f t="shared" si="6"/>
        <v>900</v>
      </c>
      <c r="AA13" s="33">
        <f t="shared" si="7"/>
        <v>62500</v>
      </c>
      <c r="AB13" s="33">
        <v>17500</v>
      </c>
      <c r="AC13" s="33">
        <v>0</v>
      </c>
      <c r="AD13" s="33">
        <f t="shared" si="8"/>
        <v>100869.0736</v>
      </c>
      <c r="AE13" s="33">
        <f t="shared" si="10"/>
        <v>255721.52640000003</v>
      </c>
      <c r="AF13" s="33">
        <v>0</v>
      </c>
      <c r="AG13" s="33">
        <f t="shared" si="9"/>
        <v>255722</v>
      </c>
    </row>
    <row r="14" spans="1:33" x14ac:dyDescent="0.25">
      <c r="A14" s="33" t="s">
        <v>155</v>
      </c>
      <c r="B14" s="33" t="s">
        <v>156</v>
      </c>
      <c r="C14" s="33" t="s">
        <v>157</v>
      </c>
      <c r="D14" s="35">
        <v>30224</v>
      </c>
      <c r="E14" s="33" t="s">
        <v>158</v>
      </c>
      <c r="F14" s="33" t="s">
        <v>47</v>
      </c>
      <c r="G14" s="33" t="s">
        <v>12</v>
      </c>
      <c r="H14" s="33" t="s">
        <v>46</v>
      </c>
      <c r="I14" s="33">
        <f t="shared" ca="1" si="0"/>
        <v>37</v>
      </c>
      <c r="J14" s="33">
        <v>0</v>
      </c>
      <c r="K14" s="33">
        <v>1</v>
      </c>
      <c r="L14" s="33" t="str">
        <f t="shared" si="12"/>
        <v>General</v>
      </c>
      <c r="M14" s="33">
        <f t="shared" si="1"/>
        <v>350126.60000000003</v>
      </c>
      <c r="N14" s="33">
        <v>0</v>
      </c>
      <c r="O14" s="33">
        <f>Heures_Supp_15(BASE_DONNEES_GP!M14,BASE_SALARIALE!G14)</f>
        <v>18584</v>
      </c>
      <c r="P14" s="33">
        <f>Heures_Supp_40(BASE_DONNEES_GP!N14,BASE_SALARIALE!G14)</f>
        <v>14140</v>
      </c>
      <c r="Q14" s="33">
        <f>Heures_Supp_60(BASE_DONNEES_GP!O14,BASE_SALARIALE!G14)</f>
        <v>9696</v>
      </c>
      <c r="R14" s="33">
        <f>Heures_Supp_100(BASE_DONNEES_GP!P14,BASE_SALARIALE!G14)</f>
        <v>12120</v>
      </c>
      <c r="S14" s="33">
        <v>0</v>
      </c>
      <c r="T14" s="33">
        <f t="shared" si="2"/>
        <v>404666.60000000003</v>
      </c>
      <c r="U14" s="33">
        <v>0</v>
      </c>
      <c r="V14" s="33">
        <f t="shared" si="3"/>
        <v>404666.60000000003</v>
      </c>
      <c r="W14" s="33">
        <f t="shared" si="4"/>
        <v>20160</v>
      </c>
      <c r="X14" s="33">
        <f t="shared" si="5"/>
        <v>0</v>
      </c>
      <c r="Y14" s="33">
        <v>3000</v>
      </c>
      <c r="Z14" s="33">
        <f t="shared" si="6"/>
        <v>900</v>
      </c>
      <c r="AA14" s="33">
        <f t="shared" si="7"/>
        <v>54166.666666666664</v>
      </c>
      <c r="AB14" s="33">
        <v>0</v>
      </c>
      <c r="AC14" s="33">
        <v>15000</v>
      </c>
      <c r="AD14" s="33">
        <f t="shared" si="8"/>
        <v>93226.666666666657</v>
      </c>
      <c r="AE14" s="33">
        <f t="shared" si="10"/>
        <v>311439.93333333335</v>
      </c>
      <c r="AF14" s="33">
        <v>17000</v>
      </c>
      <c r="AG14" s="33">
        <f t="shared" si="9"/>
        <v>328440</v>
      </c>
    </row>
    <row r="15" spans="1:33" x14ac:dyDescent="0.25">
      <c r="A15" s="33" t="s">
        <v>159</v>
      </c>
      <c r="B15" s="33" t="s">
        <v>160</v>
      </c>
      <c r="C15" s="33" t="s">
        <v>161</v>
      </c>
      <c r="D15" s="35">
        <v>31307</v>
      </c>
      <c r="E15" s="33" t="s">
        <v>162</v>
      </c>
      <c r="F15" s="33" t="s">
        <v>9</v>
      </c>
      <c r="G15" s="33" t="s">
        <v>13</v>
      </c>
      <c r="H15" s="33" t="s">
        <v>46</v>
      </c>
      <c r="I15" s="33">
        <f t="shared" ca="1" si="0"/>
        <v>34</v>
      </c>
      <c r="J15" s="33">
        <v>0</v>
      </c>
      <c r="K15" s="33">
        <v>0</v>
      </c>
      <c r="L15" s="33" t="str">
        <f t="shared" si="12"/>
        <v>General</v>
      </c>
      <c r="M15" s="33">
        <f t="shared" si="1"/>
        <v>240062.05000000002</v>
      </c>
      <c r="N15" s="33">
        <v>0</v>
      </c>
      <c r="O15" s="33">
        <f>Heures_Supp_15(BASE_DONNEES_GP!M15,BASE_SALARIALE!G15)</f>
        <v>0</v>
      </c>
      <c r="P15" s="33">
        <f>Heures_Supp_40(BASE_DONNEES_GP!N15,BASE_SALARIALE!G15)</f>
        <v>0</v>
      </c>
      <c r="Q15" s="33">
        <f>Heures_Supp_60(BASE_DONNEES_GP!O15,BASE_SALARIALE!G15)</f>
        <v>0</v>
      </c>
      <c r="R15" s="33">
        <f>Heures_Supp_100(BASE_DONNEES_GP!P15,BASE_SALARIALE!G15)</f>
        <v>0</v>
      </c>
      <c r="S15" s="33">
        <v>0</v>
      </c>
      <c r="T15" s="33">
        <f t="shared" si="2"/>
        <v>240062.05000000002</v>
      </c>
      <c r="U15" s="33">
        <v>0</v>
      </c>
      <c r="V15" s="33">
        <f t="shared" si="3"/>
        <v>240062.05000000002</v>
      </c>
      <c r="W15" s="33">
        <f t="shared" si="4"/>
        <v>13443.474800000002</v>
      </c>
      <c r="X15" s="33">
        <f t="shared" si="5"/>
        <v>0</v>
      </c>
      <c r="Y15" s="33">
        <v>2500</v>
      </c>
      <c r="Z15" s="33">
        <f t="shared" si="6"/>
        <v>900</v>
      </c>
      <c r="AA15" s="33">
        <f t="shared" si="7"/>
        <v>62500</v>
      </c>
      <c r="AB15" s="33">
        <v>0</v>
      </c>
      <c r="AC15" s="33">
        <v>0</v>
      </c>
      <c r="AD15" s="33">
        <f t="shared" si="8"/>
        <v>79343.474799999996</v>
      </c>
      <c r="AE15" s="33">
        <f t="shared" si="10"/>
        <v>160718.57520000002</v>
      </c>
      <c r="AG15" s="33">
        <f t="shared" si="9"/>
        <v>160719</v>
      </c>
    </row>
    <row r="16" spans="1:33" x14ac:dyDescent="0.25">
      <c r="A16" s="33" t="s">
        <v>163</v>
      </c>
      <c r="B16" s="33" t="s">
        <v>164</v>
      </c>
      <c r="C16" s="33" t="s">
        <v>161</v>
      </c>
      <c r="D16" s="35">
        <v>30760</v>
      </c>
      <c r="E16" s="33" t="s">
        <v>162</v>
      </c>
      <c r="F16" s="33" t="s">
        <v>9</v>
      </c>
      <c r="G16" s="33" t="s">
        <v>13</v>
      </c>
      <c r="H16" s="33" t="s">
        <v>46</v>
      </c>
      <c r="I16" s="33">
        <f t="shared" ca="1" si="0"/>
        <v>36</v>
      </c>
      <c r="J16" s="33">
        <v>0</v>
      </c>
      <c r="K16" s="33">
        <v>0</v>
      </c>
      <c r="L16" s="33" t="str">
        <f t="shared" si="12"/>
        <v>General</v>
      </c>
      <c r="M16" s="33">
        <f t="shared" si="1"/>
        <v>240062.05000000002</v>
      </c>
      <c r="N16" s="33">
        <v>0</v>
      </c>
      <c r="O16" s="33">
        <f>Heures_Supp_15(BASE_DONNEES_GP!M16,BASE_SALARIALE!G16)</f>
        <v>0</v>
      </c>
      <c r="P16" s="33">
        <f>Heures_Supp_40(BASE_DONNEES_GP!N16,BASE_SALARIALE!G16)</f>
        <v>9694.9999999999982</v>
      </c>
      <c r="Q16" s="33">
        <f>Heures_Supp_60(BASE_DONNEES_GP!O16,BASE_SALARIALE!G16)</f>
        <v>11080</v>
      </c>
      <c r="R16" s="33">
        <f>Heures_Supp_100(BASE_DONNEES_GP!P16,BASE_SALARIALE!G16)</f>
        <v>0</v>
      </c>
      <c r="S16" s="33">
        <v>0</v>
      </c>
      <c r="T16" s="33">
        <f t="shared" si="2"/>
        <v>260837.05000000002</v>
      </c>
      <c r="U16" s="33">
        <v>0</v>
      </c>
      <c r="V16" s="33">
        <f t="shared" si="3"/>
        <v>260837.05000000002</v>
      </c>
      <c r="W16" s="33">
        <f t="shared" si="4"/>
        <v>14606.874800000001</v>
      </c>
      <c r="X16" s="33">
        <f t="shared" si="5"/>
        <v>0</v>
      </c>
      <c r="Y16" s="33">
        <v>0</v>
      </c>
      <c r="Z16" s="33">
        <f t="shared" si="6"/>
        <v>900</v>
      </c>
      <c r="AA16" s="33">
        <f t="shared" si="7"/>
        <v>62500</v>
      </c>
      <c r="AB16" s="33">
        <v>0</v>
      </c>
      <c r="AC16" s="33">
        <v>0</v>
      </c>
      <c r="AD16" s="33">
        <f t="shared" si="8"/>
        <v>78006.874800000005</v>
      </c>
      <c r="AE16" s="33">
        <f t="shared" si="10"/>
        <v>182830.1752</v>
      </c>
      <c r="AF16" s="33">
        <v>0</v>
      </c>
      <c r="AG16" s="33">
        <f t="shared" si="9"/>
        <v>182830</v>
      </c>
    </row>
    <row r="17" spans="1:33" x14ac:dyDescent="0.25">
      <c r="A17" s="33" t="s">
        <v>168</v>
      </c>
      <c r="B17" s="33" t="s">
        <v>165</v>
      </c>
      <c r="C17" s="33" t="s">
        <v>166</v>
      </c>
      <c r="D17" s="35">
        <v>28594</v>
      </c>
      <c r="E17" s="33" t="s">
        <v>167</v>
      </c>
      <c r="F17" s="33" t="s">
        <v>9</v>
      </c>
      <c r="G17" s="33" t="s">
        <v>13</v>
      </c>
      <c r="H17" s="33" t="s">
        <v>10</v>
      </c>
      <c r="I17" s="33">
        <f t="shared" ca="1" si="0"/>
        <v>42</v>
      </c>
      <c r="J17" s="33">
        <v>1</v>
      </c>
      <c r="K17" s="33">
        <v>4</v>
      </c>
      <c r="L17" s="33" t="str">
        <f t="shared" si="12"/>
        <v>General</v>
      </c>
      <c r="M17" s="33">
        <f t="shared" si="1"/>
        <v>240062.05000000002</v>
      </c>
      <c r="N17" s="33">
        <v>0</v>
      </c>
      <c r="O17" s="33">
        <f>Heures_Supp_15(BASE_DONNEES_GP!M17,BASE_SALARIALE!G17)</f>
        <v>12741.999999999998</v>
      </c>
      <c r="P17" s="33">
        <f>Heures_Supp_40(BASE_DONNEES_GP!N17,BASE_SALARIALE!G17)</f>
        <v>0</v>
      </c>
      <c r="Q17" s="33">
        <f>Heures_Supp_60(BASE_DONNEES_GP!O17,BASE_SALARIALE!G17)</f>
        <v>0</v>
      </c>
      <c r="R17" s="33">
        <f>Heures_Supp_100(BASE_DONNEES_GP!P17,BASE_SALARIALE!G17)</f>
        <v>27700000</v>
      </c>
      <c r="S17" s="33">
        <v>0</v>
      </c>
      <c r="T17" s="33">
        <f t="shared" si="2"/>
        <v>27952804.050000001</v>
      </c>
      <c r="U17" s="33">
        <v>0</v>
      </c>
      <c r="V17" s="33">
        <f t="shared" si="3"/>
        <v>27952804.050000001</v>
      </c>
      <c r="W17" s="33">
        <f t="shared" si="4"/>
        <v>20160</v>
      </c>
      <c r="X17" s="33">
        <f t="shared" si="5"/>
        <v>0</v>
      </c>
      <c r="Y17" s="33">
        <v>0</v>
      </c>
      <c r="Z17" s="33">
        <f t="shared" si="6"/>
        <v>0</v>
      </c>
      <c r="AA17" s="33">
        <f t="shared" si="7"/>
        <v>10531954.933333334</v>
      </c>
      <c r="AB17" s="33">
        <v>0</v>
      </c>
      <c r="AC17" s="33">
        <v>0</v>
      </c>
      <c r="AD17" s="33">
        <f t="shared" si="8"/>
        <v>10552114.933333334</v>
      </c>
      <c r="AE17" s="33">
        <f t="shared" si="10"/>
        <v>17400689.116666667</v>
      </c>
      <c r="AF17" s="33">
        <v>0</v>
      </c>
      <c r="AG17" s="33">
        <f t="shared" si="9"/>
        <v>17400689</v>
      </c>
    </row>
    <row r="18" spans="1:33" x14ac:dyDescent="0.25">
      <c r="A18" s="33" t="s">
        <v>169</v>
      </c>
      <c r="B18" s="33" t="s">
        <v>170</v>
      </c>
      <c r="C18" s="33" t="s">
        <v>166</v>
      </c>
      <c r="D18" s="35">
        <v>28146</v>
      </c>
      <c r="E18" s="33" t="s">
        <v>171</v>
      </c>
      <c r="F18" s="33" t="s">
        <v>9</v>
      </c>
      <c r="G18" s="33" t="s">
        <v>13</v>
      </c>
      <c r="H18" s="33" t="s">
        <v>10</v>
      </c>
      <c r="I18" s="33">
        <f t="shared" ca="1" si="0"/>
        <v>43</v>
      </c>
      <c r="J18" s="33">
        <v>1</v>
      </c>
      <c r="K18" s="33">
        <v>3</v>
      </c>
      <c r="L18" s="33" t="str">
        <f t="shared" si="12"/>
        <v>General</v>
      </c>
      <c r="M18" s="33">
        <f t="shared" si="1"/>
        <v>240062.05000000002</v>
      </c>
      <c r="N18" s="33">
        <v>0</v>
      </c>
      <c r="O18" s="33">
        <f>Heures_Supp_15(BASE_DONNEES_GP!M18,BASE_SALARIALE!G18)</f>
        <v>0</v>
      </c>
      <c r="P18" s="33">
        <f>Heures_Supp_40(BASE_DONNEES_GP!N18,BASE_SALARIALE!G18)</f>
        <v>3877.9999999999995</v>
      </c>
      <c r="Q18" s="33">
        <f>Heures_Supp_60(BASE_DONNEES_GP!O18,BASE_SALARIALE!G18)</f>
        <v>11080</v>
      </c>
      <c r="R18" s="33">
        <f>Heures_Supp_100(BASE_DONNEES_GP!P18,BASE_SALARIALE!G18)</f>
        <v>0</v>
      </c>
      <c r="S18" s="33">
        <v>0</v>
      </c>
      <c r="T18" s="33">
        <f t="shared" si="2"/>
        <v>255020.05000000002</v>
      </c>
      <c r="U18" s="33">
        <v>0</v>
      </c>
      <c r="V18" s="33">
        <f t="shared" si="3"/>
        <v>255020.05000000002</v>
      </c>
      <c r="W18" s="33">
        <f t="shared" si="4"/>
        <v>14281.122800000001</v>
      </c>
      <c r="X18" s="33">
        <f t="shared" si="5"/>
        <v>0</v>
      </c>
      <c r="Y18" s="33">
        <v>0</v>
      </c>
      <c r="Z18" s="33">
        <f t="shared" si="6"/>
        <v>1800</v>
      </c>
      <c r="AA18" s="33">
        <f t="shared" si="7"/>
        <v>29166.666666666668</v>
      </c>
      <c r="AB18" s="33">
        <v>20000</v>
      </c>
      <c r="AC18" s="33">
        <v>0</v>
      </c>
      <c r="AD18" s="33">
        <f t="shared" si="8"/>
        <v>65247.789466666669</v>
      </c>
      <c r="AE18" s="33">
        <f t="shared" si="10"/>
        <v>189772.26053333335</v>
      </c>
      <c r="AF18" s="33">
        <v>0</v>
      </c>
      <c r="AG18" s="33">
        <f t="shared" si="9"/>
        <v>189772</v>
      </c>
    </row>
    <row r="19" spans="1:33" x14ac:dyDescent="0.25">
      <c r="A19" s="33" t="s">
        <v>172</v>
      </c>
      <c r="B19" s="33" t="s">
        <v>173</v>
      </c>
      <c r="C19" s="33" t="s">
        <v>174</v>
      </c>
      <c r="D19" s="35">
        <v>30087</v>
      </c>
      <c r="E19" s="33" t="s">
        <v>175</v>
      </c>
      <c r="F19" s="33" t="s">
        <v>9</v>
      </c>
      <c r="G19" s="33" t="s">
        <v>11</v>
      </c>
      <c r="H19" s="33" t="s">
        <v>10</v>
      </c>
      <c r="I19" s="33">
        <f t="shared" ca="1" si="0"/>
        <v>38</v>
      </c>
      <c r="J19" s="33">
        <v>2</v>
      </c>
      <c r="K19" s="33">
        <v>7</v>
      </c>
      <c r="L19" s="33" t="str">
        <f t="shared" si="12"/>
        <v>Cadre</v>
      </c>
      <c r="M19" s="33">
        <f t="shared" si="1"/>
        <v>469897.63000000006</v>
      </c>
      <c r="N19" s="33">
        <v>0</v>
      </c>
      <c r="O19" s="33">
        <f>Heures_Supp_15(BASE_DONNEES_GP!M19,BASE_SALARIALE!G19)</f>
        <v>0</v>
      </c>
      <c r="P19" s="33">
        <f>Heures_Supp_40(BASE_DONNEES_GP!N19,BASE_SALARIALE!G19)</f>
        <v>0</v>
      </c>
      <c r="Q19" s="33">
        <f>Heures_Supp_60(BASE_DONNEES_GP!O19,BASE_SALARIALE!G19)</f>
        <v>0</v>
      </c>
      <c r="R19" s="33">
        <f>Heures_Supp_100(BASE_DONNEES_GP!P19,BASE_SALARIALE!G19)</f>
        <v>0</v>
      </c>
      <c r="S19" s="33">
        <v>10000</v>
      </c>
      <c r="T19" s="33">
        <f t="shared" si="2"/>
        <v>479897.63000000006</v>
      </c>
      <c r="U19" s="33">
        <v>65000</v>
      </c>
      <c r="V19" s="33">
        <f t="shared" si="3"/>
        <v>544897.63000000012</v>
      </c>
      <c r="W19" s="33">
        <f t="shared" si="4"/>
        <v>20160</v>
      </c>
      <c r="X19" s="33">
        <f t="shared" si="5"/>
        <v>11517.543120000002</v>
      </c>
      <c r="Y19" s="33">
        <v>15000</v>
      </c>
      <c r="Z19" s="33">
        <f t="shared" si="6"/>
        <v>2700</v>
      </c>
      <c r="AA19" s="33">
        <f t="shared" si="7"/>
        <v>50000</v>
      </c>
      <c r="AB19" s="33">
        <v>0</v>
      </c>
      <c r="AC19" s="33">
        <v>0</v>
      </c>
      <c r="AD19" s="33">
        <f t="shared" si="8"/>
        <v>99377.543120000002</v>
      </c>
      <c r="AE19" s="33">
        <f t="shared" si="10"/>
        <v>445520.08688000013</v>
      </c>
      <c r="AF19" s="33">
        <v>0</v>
      </c>
      <c r="AG19" s="33">
        <f t="shared" si="9"/>
        <v>445520</v>
      </c>
    </row>
    <row r="20" spans="1:33" x14ac:dyDescent="0.25">
      <c r="A20" s="33" t="s">
        <v>176</v>
      </c>
      <c r="B20" s="33" t="s">
        <v>177</v>
      </c>
      <c r="C20" s="33" t="s">
        <v>178</v>
      </c>
      <c r="D20" s="35">
        <v>30986</v>
      </c>
      <c r="E20" s="33" t="s">
        <v>179</v>
      </c>
      <c r="F20" s="33" t="s">
        <v>9</v>
      </c>
      <c r="G20" s="33" t="s">
        <v>13</v>
      </c>
      <c r="H20" s="33" t="s">
        <v>10</v>
      </c>
      <c r="I20" s="33">
        <f t="shared" ca="1" si="0"/>
        <v>35</v>
      </c>
      <c r="J20" s="33">
        <v>1</v>
      </c>
      <c r="K20" s="33">
        <v>1</v>
      </c>
      <c r="L20" s="33" t="str">
        <f t="shared" si="12"/>
        <v>General</v>
      </c>
      <c r="M20" s="33">
        <f t="shared" si="1"/>
        <v>240062.05000000002</v>
      </c>
      <c r="N20" s="33">
        <v>0</v>
      </c>
      <c r="O20" s="33">
        <f>Heures_Supp_15(BASE_DONNEES_GP!M20,BASE_SALARIALE!G20)</f>
        <v>0</v>
      </c>
      <c r="P20" s="33">
        <f>Heures_Supp_40(BASE_DONNEES_GP!N20,BASE_SALARIALE!G20)</f>
        <v>0</v>
      </c>
      <c r="Q20" s="33">
        <f>Heures_Supp_60(BASE_DONNEES_GP!O20,BASE_SALARIALE!G20)</f>
        <v>0</v>
      </c>
      <c r="R20" s="33">
        <f>Heures_Supp_100(BASE_DONNEES_GP!P20,BASE_SALARIALE!G20)</f>
        <v>22160</v>
      </c>
      <c r="S20" s="33">
        <v>0</v>
      </c>
      <c r="T20" s="33">
        <f t="shared" si="2"/>
        <v>262222.05000000005</v>
      </c>
      <c r="U20" s="33">
        <v>0</v>
      </c>
      <c r="V20" s="33">
        <f t="shared" si="3"/>
        <v>262222.05000000005</v>
      </c>
      <c r="W20" s="33">
        <f t="shared" si="4"/>
        <v>14684.434800000003</v>
      </c>
      <c r="X20" s="33">
        <f t="shared" si="5"/>
        <v>0</v>
      </c>
      <c r="Y20" s="33">
        <v>3000</v>
      </c>
      <c r="Z20" s="33">
        <f t="shared" si="6"/>
        <v>1800</v>
      </c>
      <c r="AA20" s="33">
        <f t="shared" si="7"/>
        <v>45833.333333333336</v>
      </c>
      <c r="AB20" s="33">
        <v>0</v>
      </c>
      <c r="AC20" s="33">
        <v>0</v>
      </c>
      <c r="AD20" s="33">
        <f t="shared" si="8"/>
        <v>65317.768133333338</v>
      </c>
      <c r="AE20" s="33">
        <f t="shared" si="10"/>
        <v>196904.28186666672</v>
      </c>
      <c r="AF20" s="33">
        <v>0</v>
      </c>
      <c r="AG20" s="33">
        <f t="shared" si="9"/>
        <v>196904</v>
      </c>
    </row>
    <row r="21" spans="1:33" x14ac:dyDescent="0.25">
      <c r="A21" s="33" t="s">
        <v>180</v>
      </c>
      <c r="B21" s="33" t="s">
        <v>181</v>
      </c>
      <c r="C21" s="33" t="s">
        <v>178</v>
      </c>
      <c r="D21" s="35">
        <v>28457</v>
      </c>
      <c r="E21" s="33" t="s">
        <v>182</v>
      </c>
      <c r="F21" s="33" t="s">
        <v>9</v>
      </c>
      <c r="G21" s="33" t="s">
        <v>12</v>
      </c>
      <c r="H21" s="33" t="s">
        <v>10</v>
      </c>
      <c r="I21" s="33">
        <f t="shared" ca="1" si="0"/>
        <v>42</v>
      </c>
      <c r="J21" s="33">
        <v>1</v>
      </c>
      <c r="K21" s="33">
        <v>3</v>
      </c>
      <c r="L21" s="33" t="str">
        <f t="shared" si="12"/>
        <v>General</v>
      </c>
      <c r="M21" s="33">
        <f t="shared" si="1"/>
        <v>350126.60000000003</v>
      </c>
      <c r="N21" s="33">
        <v>13500</v>
      </c>
      <c r="O21" s="33">
        <f>Heures_Supp_15(BASE_DONNEES_GP!M21,BASE_SALARIALE!G21)</f>
        <v>18584</v>
      </c>
      <c r="P21" s="33">
        <f>Heures_Supp_40(BASE_DONNEES_GP!N21,BASE_SALARIALE!G21)</f>
        <v>8484</v>
      </c>
      <c r="Q21" s="33">
        <f>Heures_Supp_60(BASE_DONNEES_GP!O21,BASE_SALARIALE!G21)</f>
        <v>0</v>
      </c>
      <c r="R21" s="33">
        <f>Heures_Supp_100(BASE_DONNEES_GP!P21,BASE_SALARIALE!G21)</f>
        <v>0</v>
      </c>
      <c r="S21" s="33">
        <v>0</v>
      </c>
      <c r="T21" s="33">
        <f t="shared" si="2"/>
        <v>390694.60000000003</v>
      </c>
      <c r="U21" s="33">
        <v>0</v>
      </c>
      <c r="V21" s="33">
        <f t="shared" si="3"/>
        <v>390694.60000000003</v>
      </c>
      <c r="W21" s="33">
        <f t="shared" si="4"/>
        <v>20160</v>
      </c>
      <c r="X21" s="33">
        <f t="shared" si="5"/>
        <v>0</v>
      </c>
      <c r="Y21" s="33">
        <v>2500</v>
      </c>
      <c r="Z21" s="33">
        <f t="shared" si="6"/>
        <v>1800</v>
      </c>
      <c r="AA21" s="33">
        <f t="shared" si="7"/>
        <v>29166.666666666668</v>
      </c>
      <c r="AB21" s="33">
        <v>0</v>
      </c>
      <c r="AC21" s="33">
        <v>0</v>
      </c>
      <c r="AD21" s="33">
        <f t="shared" si="8"/>
        <v>53626.666666666672</v>
      </c>
      <c r="AE21" s="33">
        <f t="shared" si="10"/>
        <v>337067.93333333335</v>
      </c>
      <c r="AF21" s="33">
        <v>0</v>
      </c>
      <c r="AG21" s="33">
        <f t="shared" si="9"/>
        <v>337068</v>
      </c>
    </row>
    <row r="22" spans="1:33" x14ac:dyDescent="0.25">
      <c r="A22" s="33" t="s">
        <v>183</v>
      </c>
      <c r="B22" s="33" t="s">
        <v>184</v>
      </c>
      <c r="C22" s="33" t="s">
        <v>185</v>
      </c>
      <c r="D22" s="35">
        <v>29131</v>
      </c>
      <c r="E22" s="33" t="s">
        <v>186</v>
      </c>
      <c r="F22" s="33" t="s">
        <v>9</v>
      </c>
      <c r="G22" s="33" t="s">
        <v>12</v>
      </c>
      <c r="H22" s="33" t="s">
        <v>10</v>
      </c>
      <c r="I22" s="33">
        <f t="shared" ca="1" si="0"/>
        <v>40</v>
      </c>
      <c r="J22" s="33">
        <v>2</v>
      </c>
      <c r="K22" s="33">
        <v>4</v>
      </c>
      <c r="L22" s="33" t="str">
        <f t="shared" si="12"/>
        <v>General</v>
      </c>
      <c r="M22" s="33">
        <f t="shared" si="1"/>
        <v>350126.60000000003</v>
      </c>
      <c r="N22" s="33">
        <v>0</v>
      </c>
      <c r="O22" s="33">
        <f>Heures_Supp_15(BASE_DONNEES_GP!M22,BASE_SALARIALE!G22)</f>
        <v>18584</v>
      </c>
      <c r="P22" s="33">
        <f>Heures_Supp_40(BASE_DONNEES_GP!N22,BASE_SALARIALE!G22)</f>
        <v>11312</v>
      </c>
      <c r="Q22" s="33">
        <f>Heures_Supp_60(BASE_DONNEES_GP!O22,BASE_SALARIALE!G22)</f>
        <v>12928</v>
      </c>
      <c r="R22" s="33">
        <f>Heures_Supp_100(BASE_DONNEES_GP!P22,BASE_SALARIALE!G22)</f>
        <v>24240</v>
      </c>
      <c r="S22" s="33">
        <v>0</v>
      </c>
      <c r="T22" s="33">
        <f t="shared" si="2"/>
        <v>417190.60000000003</v>
      </c>
      <c r="U22" s="33">
        <v>0</v>
      </c>
      <c r="V22" s="33">
        <f t="shared" si="3"/>
        <v>417190.60000000003</v>
      </c>
      <c r="W22" s="33">
        <f t="shared" si="4"/>
        <v>20160</v>
      </c>
      <c r="X22" s="33">
        <f t="shared" si="5"/>
        <v>0</v>
      </c>
      <c r="Y22" s="33">
        <v>0</v>
      </c>
      <c r="Z22" s="33">
        <f t="shared" si="6"/>
        <v>2700</v>
      </c>
      <c r="AA22" s="33">
        <f t="shared" si="7"/>
        <v>75000</v>
      </c>
      <c r="AB22" s="33">
        <v>0</v>
      </c>
      <c r="AD22" s="33">
        <f t="shared" si="8"/>
        <v>97860</v>
      </c>
      <c r="AE22" s="33">
        <f t="shared" si="10"/>
        <v>319330.60000000003</v>
      </c>
      <c r="AF22" s="33">
        <v>20000</v>
      </c>
      <c r="AG22" s="33">
        <f t="shared" si="9"/>
        <v>339331</v>
      </c>
    </row>
    <row r="23" spans="1:33" x14ac:dyDescent="0.25">
      <c r="A23" s="33" t="s">
        <v>189</v>
      </c>
      <c r="B23" s="33" t="s">
        <v>187</v>
      </c>
      <c r="C23" s="33" t="s">
        <v>185</v>
      </c>
      <c r="D23" s="35">
        <v>30174</v>
      </c>
      <c r="E23" s="33" t="s">
        <v>188</v>
      </c>
      <c r="F23" s="33" t="s">
        <v>47</v>
      </c>
      <c r="G23" s="33" t="s">
        <v>12</v>
      </c>
      <c r="H23" s="33" t="s">
        <v>10</v>
      </c>
      <c r="I23" s="33">
        <f t="shared" ca="1" si="0"/>
        <v>37</v>
      </c>
      <c r="J23" s="33">
        <v>0</v>
      </c>
      <c r="K23" s="33">
        <v>3</v>
      </c>
      <c r="L23" s="33" t="str">
        <f t="shared" si="12"/>
        <v>General</v>
      </c>
      <c r="M23" s="33">
        <f t="shared" si="1"/>
        <v>350126.60000000003</v>
      </c>
      <c r="N23" s="33">
        <v>0</v>
      </c>
      <c r="O23" s="33">
        <f>Heures_Supp_15(BASE_DONNEES_GP!M23,BASE_SALARIALE!G23)</f>
        <v>0</v>
      </c>
      <c r="P23" s="33">
        <f>Heures_Supp_40(BASE_DONNEES_GP!N23,BASE_SALARIALE!G23)</f>
        <v>0</v>
      </c>
      <c r="Q23" s="33">
        <f>Heures_Supp_60(BASE_DONNEES_GP!O23,BASE_SALARIALE!G23)</f>
        <v>0</v>
      </c>
      <c r="R23" s="33">
        <f>Heures_Supp_100(BASE_DONNEES_GP!P23,BASE_SALARIALE!G23)</f>
        <v>0</v>
      </c>
      <c r="S23" s="33">
        <v>10000</v>
      </c>
      <c r="T23" s="33">
        <f t="shared" si="2"/>
        <v>360126.60000000003</v>
      </c>
      <c r="U23" s="33">
        <v>0</v>
      </c>
      <c r="V23" s="33">
        <f t="shared" si="3"/>
        <v>360126.60000000003</v>
      </c>
      <c r="W23" s="33">
        <f t="shared" si="4"/>
        <v>20160</v>
      </c>
      <c r="X23" s="33">
        <f t="shared" si="5"/>
        <v>0</v>
      </c>
      <c r="Y23" s="33">
        <v>0</v>
      </c>
      <c r="Z23" s="33">
        <f t="shared" si="6"/>
        <v>900</v>
      </c>
      <c r="AA23" s="33">
        <f t="shared" si="7"/>
        <v>29166.666666666668</v>
      </c>
      <c r="AB23" s="33">
        <v>0</v>
      </c>
      <c r="AC23" s="33">
        <v>0</v>
      </c>
      <c r="AD23" s="33">
        <f t="shared" si="8"/>
        <v>50226.666666666672</v>
      </c>
      <c r="AE23" s="33">
        <f t="shared" si="10"/>
        <v>309899.93333333335</v>
      </c>
      <c r="AF23" s="33">
        <v>0</v>
      </c>
      <c r="AG23" s="33">
        <f t="shared" si="9"/>
        <v>309900</v>
      </c>
    </row>
    <row r="24" spans="1:33" x14ac:dyDescent="0.25">
      <c r="A24" s="33" t="s">
        <v>190</v>
      </c>
      <c r="B24" s="33" t="s">
        <v>191</v>
      </c>
      <c r="C24" s="33" t="s">
        <v>192</v>
      </c>
      <c r="D24" s="35">
        <v>27518</v>
      </c>
      <c r="E24" s="33" t="s">
        <v>193</v>
      </c>
      <c r="F24" s="33" t="s">
        <v>9</v>
      </c>
      <c r="G24" s="33" t="s">
        <v>13</v>
      </c>
      <c r="H24" s="33" t="s">
        <v>10</v>
      </c>
      <c r="I24" s="33">
        <f t="shared" ca="1" si="0"/>
        <v>45</v>
      </c>
      <c r="J24" s="33">
        <v>2</v>
      </c>
      <c r="K24" s="33">
        <v>5</v>
      </c>
      <c r="L24" s="33" t="str">
        <f t="shared" si="12"/>
        <v>General</v>
      </c>
      <c r="M24" s="33">
        <f t="shared" si="1"/>
        <v>240062.05000000002</v>
      </c>
      <c r="N24" s="33">
        <v>0</v>
      </c>
      <c r="O24" s="33">
        <f>Heures_Supp_15(BASE_DONNEES_GP!M24,BASE_SALARIALE!G24)</f>
        <v>0</v>
      </c>
      <c r="P24" s="33">
        <f>Heures_Supp_40(BASE_DONNEES_GP!N24,BASE_SALARIALE!G24)</f>
        <v>0</v>
      </c>
      <c r="Q24" s="33">
        <f>Heures_Supp_60(BASE_DONNEES_GP!O24,BASE_SALARIALE!G24)</f>
        <v>6648</v>
      </c>
      <c r="R24" s="33">
        <f>Heures_Supp_100(BASE_DONNEES_GP!P24,BASE_SALARIALE!G24)</f>
        <v>16620</v>
      </c>
      <c r="S24" s="33">
        <v>0</v>
      </c>
      <c r="T24" s="33">
        <f t="shared" si="2"/>
        <v>263330.05000000005</v>
      </c>
      <c r="U24" s="33">
        <v>50000</v>
      </c>
      <c r="V24" s="33">
        <f t="shared" si="3"/>
        <v>313330.05000000005</v>
      </c>
      <c r="W24" s="33">
        <f t="shared" si="4"/>
        <v>14746.482800000003</v>
      </c>
      <c r="X24" s="33">
        <f t="shared" si="5"/>
        <v>0</v>
      </c>
      <c r="Y24" s="33">
        <v>0</v>
      </c>
      <c r="Z24" s="33">
        <f t="shared" si="6"/>
        <v>2700</v>
      </c>
      <c r="AA24" s="33">
        <f t="shared" si="7"/>
        <v>12500</v>
      </c>
      <c r="AB24" s="33">
        <v>0</v>
      </c>
      <c r="AC24" s="33">
        <v>0</v>
      </c>
      <c r="AD24" s="33">
        <f t="shared" si="8"/>
        <v>29946.482800000005</v>
      </c>
      <c r="AE24" s="33">
        <f t="shared" si="10"/>
        <v>283383.56720000005</v>
      </c>
      <c r="AF24" s="33">
        <v>0</v>
      </c>
      <c r="AG24" s="33">
        <f t="shared" si="9"/>
        <v>283384</v>
      </c>
    </row>
    <row r="25" spans="1:33" x14ac:dyDescent="0.25">
      <c r="A25" s="33" t="s">
        <v>194</v>
      </c>
      <c r="B25" s="33" t="s">
        <v>195</v>
      </c>
      <c r="C25" s="33" t="s">
        <v>196</v>
      </c>
      <c r="D25" s="35">
        <v>29155</v>
      </c>
      <c r="E25" s="33" t="s">
        <v>197</v>
      </c>
      <c r="F25" s="33" t="s">
        <v>9</v>
      </c>
      <c r="G25" s="33" t="s">
        <v>13</v>
      </c>
      <c r="H25" s="33" t="s">
        <v>10</v>
      </c>
      <c r="I25" s="33">
        <f t="shared" ca="1" si="0"/>
        <v>40</v>
      </c>
      <c r="J25" s="33">
        <v>1</v>
      </c>
      <c r="K25" s="33">
        <v>0</v>
      </c>
      <c r="L25" s="33" t="str">
        <f t="shared" si="12"/>
        <v>General</v>
      </c>
      <c r="M25" s="33">
        <f t="shared" si="1"/>
        <v>240062.05000000002</v>
      </c>
      <c r="N25" s="33">
        <v>0</v>
      </c>
      <c r="O25" s="33">
        <f>Heures_Supp_15(BASE_DONNEES_GP!M25,BASE_SALARIALE!G25)</f>
        <v>12741.999999999998</v>
      </c>
      <c r="P25" s="33">
        <f>Heures_Supp_40(BASE_DONNEES_GP!N25,BASE_SALARIALE!G25)</f>
        <v>9694.9999999999982</v>
      </c>
      <c r="Q25" s="33">
        <f>Heures_Supp_60(BASE_DONNEES_GP!O25,BASE_SALARIALE!G25)</f>
        <v>4432</v>
      </c>
      <c r="R25" s="33">
        <f>Heures_Supp_100(BASE_DONNEES_GP!P25,BASE_SALARIALE!G25)</f>
        <v>0</v>
      </c>
      <c r="S25" s="33">
        <v>10000</v>
      </c>
      <c r="T25" s="33">
        <f t="shared" si="2"/>
        <v>276931.05</v>
      </c>
      <c r="U25" s="33">
        <v>0</v>
      </c>
      <c r="V25" s="33">
        <f t="shared" si="3"/>
        <v>276931.05</v>
      </c>
      <c r="W25" s="33">
        <f t="shared" si="4"/>
        <v>15508.138799999999</v>
      </c>
      <c r="X25" s="33">
        <f t="shared" si="5"/>
        <v>0</v>
      </c>
      <c r="Y25" s="33">
        <v>2500</v>
      </c>
      <c r="Z25" s="33">
        <f t="shared" si="6"/>
        <v>1800</v>
      </c>
      <c r="AA25" s="33">
        <f t="shared" si="7"/>
        <v>54166.666666666664</v>
      </c>
      <c r="AB25" s="33">
        <v>0</v>
      </c>
      <c r="AC25" s="33">
        <v>0</v>
      </c>
      <c r="AD25" s="33">
        <f t="shared" si="8"/>
        <v>73974.805466666658</v>
      </c>
      <c r="AE25" s="33">
        <f t="shared" si="10"/>
        <v>202956.24453333335</v>
      </c>
      <c r="AF25" s="33">
        <v>0</v>
      </c>
      <c r="AG25" s="33">
        <f t="shared" si="9"/>
        <v>202956</v>
      </c>
    </row>
    <row r="26" spans="1:33" x14ac:dyDescent="0.25">
      <c r="A26" s="33" t="s">
        <v>198</v>
      </c>
      <c r="B26" s="33" t="s">
        <v>199</v>
      </c>
      <c r="C26" s="33" t="s">
        <v>196</v>
      </c>
      <c r="D26" s="35">
        <v>28582</v>
      </c>
      <c r="E26" s="33" t="s">
        <v>200</v>
      </c>
      <c r="F26" s="33" t="s">
        <v>47</v>
      </c>
      <c r="G26" s="33" t="s">
        <v>13</v>
      </c>
      <c r="H26" s="33" t="s">
        <v>46</v>
      </c>
      <c r="I26" s="33">
        <f t="shared" ca="1" si="0"/>
        <v>42</v>
      </c>
      <c r="J26" s="33">
        <v>0</v>
      </c>
      <c r="K26" s="33">
        <v>0</v>
      </c>
      <c r="L26" s="33" t="str">
        <f t="shared" si="12"/>
        <v>General</v>
      </c>
      <c r="M26" s="33">
        <f t="shared" si="1"/>
        <v>240062.05000000002</v>
      </c>
      <c r="N26" s="33">
        <v>0</v>
      </c>
      <c r="O26" s="33">
        <f>Heures_Supp_15(BASE_DONNEES_GP!M26,BASE_SALARIALE!G26)</f>
        <v>0</v>
      </c>
      <c r="P26" s="33">
        <f>Heures_Supp_40(BASE_DONNEES_GP!N26,BASE_SALARIALE!G26)</f>
        <v>0</v>
      </c>
      <c r="Q26" s="33">
        <f>Heures_Supp_60(BASE_DONNEES_GP!O26,BASE_SALARIALE!G26)</f>
        <v>0</v>
      </c>
      <c r="R26" s="33">
        <f>Heures_Supp_100(BASE_DONNEES_GP!P26,BASE_SALARIALE!G26)</f>
        <v>13850</v>
      </c>
      <c r="S26" s="33">
        <v>0</v>
      </c>
      <c r="T26" s="33">
        <f t="shared" si="2"/>
        <v>253912.05000000002</v>
      </c>
      <c r="U26" s="33">
        <v>0</v>
      </c>
      <c r="V26" s="33">
        <f t="shared" si="3"/>
        <v>253912.05000000002</v>
      </c>
      <c r="W26" s="33">
        <f t="shared" si="4"/>
        <v>14219.074800000002</v>
      </c>
      <c r="X26" s="33">
        <f t="shared" si="5"/>
        <v>0</v>
      </c>
      <c r="Y26" s="33">
        <v>3000</v>
      </c>
      <c r="Z26" s="33">
        <f t="shared" si="6"/>
        <v>900</v>
      </c>
      <c r="AA26" s="33">
        <f t="shared" si="7"/>
        <v>62500</v>
      </c>
      <c r="AB26" s="33">
        <v>30000</v>
      </c>
      <c r="AC26" s="33">
        <v>0</v>
      </c>
      <c r="AD26" s="33">
        <f t="shared" si="8"/>
        <v>110619.0748</v>
      </c>
      <c r="AE26" s="33">
        <f t="shared" si="10"/>
        <v>143292.97520000002</v>
      </c>
      <c r="AF26" s="33">
        <v>0</v>
      </c>
      <c r="AG26" s="33">
        <f t="shared" si="9"/>
        <v>143293</v>
      </c>
    </row>
    <row r="27" spans="1:33" x14ac:dyDescent="0.25">
      <c r="A27" s="33" t="s">
        <v>201</v>
      </c>
      <c r="B27" s="33" t="s">
        <v>202</v>
      </c>
      <c r="C27" s="33" t="s">
        <v>203</v>
      </c>
      <c r="D27" s="35">
        <v>31255</v>
      </c>
      <c r="E27" s="33" t="s">
        <v>204</v>
      </c>
      <c r="F27" s="33" t="s">
        <v>9</v>
      </c>
      <c r="G27" s="33" t="s">
        <v>13</v>
      </c>
      <c r="H27" s="33" t="s">
        <v>46</v>
      </c>
      <c r="I27" s="33">
        <f t="shared" ca="1" si="0"/>
        <v>34</v>
      </c>
      <c r="J27" s="33">
        <v>0</v>
      </c>
      <c r="K27" s="33">
        <v>0</v>
      </c>
      <c r="L27" s="33" t="str">
        <f t="shared" si="12"/>
        <v>General</v>
      </c>
      <c r="M27" s="33">
        <f t="shared" si="1"/>
        <v>240062.05000000002</v>
      </c>
      <c r="N27" s="33">
        <v>12000</v>
      </c>
      <c r="O27" s="33">
        <f>Heures_Supp_15(BASE_DONNEES_GP!M27,BASE_SALARIALE!G27)</f>
        <v>12741.999999999998</v>
      </c>
      <c r="P27" s="33">
        <f>Heures_Supp_40(BASE_DONNEES_GP!N27,BASE_SALARIALE!G27)</f>
        <v>7755.9999999999991</v>
      </c>
      <c r="Q27" s="33">
        <f>Heures_Supp_60(BASE_DONNEES_GP!O27,BASE_SALARIALE!G27)</f>
        <v>11080</v>
      </c>
      <c r="R27" s="33">
        <f>Heures_Supp_100(BASE_DONNEES_GP!P27,BASE_SALARIALE!G27)</f>
        <v>19390</v>
      </c>
      <c r="S27" s="33">
        <v>0</v>
      </c>
      <c r="T27" s="33">
        <f t="shared" si="2"/>
        <v>303030.05</v>
      </c>
      <c r="U27" s="33">
        <v>0</v>
      </c>
      <c r="V27" s="33">
        <f t="shared" si="3"/>
        <v>303030.05</v>
      </c>
      <c r="W27" s="33">
        <f t="shared" si="4"/>
        <v>16969.682799999999</v>
      </c>
      <c r="X27" s="33">
        <f t="shared" si="5"/>
        <v>0</v>
      </c>
      <c r="Y27" s="33">
        <v>0</v>
      </c>
      <c r="Z27" s="33">
        <f t="shared" si="6"/>
        <v>900</v>
      </c>
      <c r="AA27" s="33">
        <f t="shared" si="7"/>
        <v>62500</v>
      </c>
      <c r="AB27" s="33">
        <v>0</v>
      </c>
      <c r="AC27" s="33">
        <v>0</v>
      </c>
      <c r="AD27" s="33">
        <f t="shared" si="8"/>
        <v>80369.682799999995</v>
      </c>
      <c r="AE27" s="33">
        <f t="shared" si="10"/>
        <v>222660.36719999998</v>
      </c>
      <c r="AF27" s="33">
        <v>0</v>
      </c>
      <c r="AG27" s="33">
        <f t="shared" si="9"/>
        <v>222660</v>
      </c>
    </row>
    <row r="28" spans="1:33" x14ac:dyDescent="0.25">
      <c r="A28" s="33" t="s">
        <v>205</v>
      </c>
      <c r="B28" s="33" t="s">
        <v>165</v>
      </c>
      <c r="C28" s="33" t="s">
        <v>206</v>
      </c>
      <c r="D28" s="35">
        <v>31369</v>
      </c>
      <c r="E28" s="33" t="s">
        <v>207</v>
      </c>
      <c r="F28" s="33" t="s">
        <v>9</v>
      </c>
      <c r="G28" s="33" t="s">
        <v>11</v>
      </c>
      <c r="H28" s="33" t="s">
        <v>46</v>
      </c>
      <c r="I28" s="33">
        <f t="shared" ca="1" si="0"/>
        <v>34</v>
      </c>
      <c r="J28" s="33">
        <v>0</v>
      </c>
      <c r="K28" s="33">
        <v>0</v>
      </c>
      <c r="L28" s="33" t="str">
        <f t="shared" si="12"/>
        <v>Cadre</v>
      </c>
      <c r="M28" s="33">
        <f t="shared" si="1"/>
        <v>469897.63000000006</v>
      </c>
      <c r="N28" s="33">
        <v>0</v>
      </c>
      <c r="O28" s="33">
        <f>Heures_Supp_15(BASE_DONNEES_GP!M28,BASE_SALARIALE!G28)</f>
        <v>0</v>
      </c>
      <c r="P28" s="33">
        <f>Heures_Supp_40(BASE_DONNEES_GP!N28,BASE_SALARIALE!G28)</f>
        <v>0</v>
      </c>
      <c r="Q28" s="33">
        <f>Heures_Supp_60(BASE_DONNEES_GP!O28,BASE_SALARIALE!G28)</f>
        <v>0</v>
      </c>
      <c r="R28" s="33">
        <f>Heures_Supp_100(BASE_DONNEES_GP!P28,BASE_SALARIALE!G28)</f>
        <v>0</v>
      </c>
      <c r="S28" s="33">
        <v>0</v>
      </c>
      <c r="T28" s="33">
        <f t="shared" si="2"/>
        <v>469897.63000000006</v>
      </c>
      <c r="U28" s="33">
        <v>15000</v>
      </c>
      <c r="V28" s="33">
        <f t="shared" si="3"/>
        <v>484897.63000000006</v>
      </c>
      <c r="W28" s="33">
        <f t="shared" si="4"/>
        <v>20160</v>
      </c>
      <c r="X28" s="33">
        <f t="shared" si="5"/>
        <v>11277.543120000002</v>
      </c>
      <c r="Y28" s="33">
        <v>3000</v>
      </c>
      <c r="Z28" s="33">
        <f t="shared" si="6"/>
        <v>900</v>
      </c>
      <c r="AA28" s="33">
        <f t="shared" si="7"/>
        <v>116666.66666666667</v>
      </c>
      <c r="AB28" s="33">
        <v>0</v>
      </c>
      <c r="AC28" s="33">
        <v>0</v>
      </c>
      <c r="AD28" s="33">
        <f t="shared" si="8"/>
        <v>152004.20978666667</v>
      </c>
      <c r="AE28" s="33">
        <f t="shared" si="10"/>
        <v>332893.42021333339</v>
      </c>
      <c r="AF28" s="33">
        <v>0</v>
      </c>
      <c r="AG28" s="33">
        <f t="shared" si="9"/>
        <v>332893</v>
      </c>
    </row>
    <row r="29" spans="1:33" x14ac:dyDescent="0.25">
      <c r="A29" s="33" t="s">
        <v>208</v>
      </c>
      <c r="B29" s="33" t="s">
        <v>209</v>
      </c>
      <c r="C29" s="33" t="s">
        <v>210</v>
      </c>
      <c r="D29" s="35">
        <v>29901</v>
      </c>
      <c r="E29" s="33" t="s">
        <v>211</v>
      </c>
      <c r="F29" s="33" t="s">
        <v>9</v>
      </c>
      <c r="G29" s="33" t="s">
        <v>12</v>
      </c>
      <c r="H29" s="33" t="s">
        <v>46</v>
      </c>
      <c r="I29" s="33">
        <f t="shared" ca="1" si="0"/>
        <v>38</v>
      </c>
      <c r="J29" s="33">
        <v>0</v>
      </c>
      <c r="K29" s="33">
        <v>0</v>
      </c>
      <c r="L29" s="33" t="str">
        <f t="shared" si="12"/>
        <v>General</v>
      </c>
      <c r="M29" s="33">
        <f t="shared" si="1"/>
        <v>350126.60000000003</v>
      </c>
      <c r="N29" s="33">
        <v>0</v>
      </c>
      <c r="O29" s="33">
        <f>Heures_Supp_15(BASE_DONNEES_GP!M29,BASE_SALARIALE!G29)</f>
        <v>18584</v>
      </c>
      <c r="P29" s="33">
        <f>Heures_Supp_40(BASE_DONNEES_GP!N29,BASE_SALARIALE!G29)</f>
        <v>5656</v>
      </c>
      <c r="Q29" s="33">
        <f>Heures_Supp_60(BASE_DONNEES_GP!O29,BASE_SALARIALE!G29)</f>
        <v>0</v>
      </c>
      <c r="R29" s="33">
        <f>Heures_Supp_100(BASE_DONNEES_GP!P29,BASE_SALARIALE!G29)</f>
        <v>20200</v>
      </c>
      <c r="S29" s="33">
        <v>0</v>
      </c>
      <c r="T29" s="33">
        <f t="shared" si="2"/>
        <v>394566.60000000003</v>
      </c>
      <c r="U29" s="33">
        <v>0</v>
      </c>
      <c r="V29" s="33">
        <f t="shared" si="3"/>
        <v>394566.60000000003</v>
      </c>
      <c r="W29" s="33">
        <f t="shared" si="4"/>
        <v>20160</v>
      </c>
      <c r="X29" s="33">
        <f t="shared" si="5"/>
        <v>0</v>
      </c>
      <c r="Y29" s="33">
        <v>2500</v>
      </c>
      <c r="Z29" s="33">
        <f t="shared" si="6"/>
        <v>900</v>
      </c>
      <c r="AA29" s="33">
        <f t="shared" si="7"/>
        <v>62500</v>
      </c>
      <c r="AB29" s="33">
        <v>0</v>
      </c>
      <c r="AC29" s="33">
        <v>0</v>
      </c>
      <c r="AD29" s="33">
        <f t="shared" si="8"/>
        <v>86060</v>
      </c>
      <c r="AE29" s="33">
        <f t="shared" si="10"/>
        <v>308506.60000000003</v>
      </c>
      <c r="AF29" s="33">
        <v>0</v>
      </c>
      <c r="AG29" s="33">
        <f t="shared" si="9"/>
        <v>308507</v>
      </c>
    </row>
    <row r="30" spans="1:33" x14ac:dyDescent="0.25">
      <c r="A30" s="33" t="s">
        <v>212</v>
      </c>
      <c r="B30" s="33" t="s">
        <v>213</v>
      </c>
      <c r="C30" s="33" t="s">
        <v>214</v>
      </c>
      <c r="D30" s="35">
        <v>31169</v>
      </c>
      <c r="E30" s="33" t="s">
        <v>215</v>
      </c>
      <c r="F30" s="33" t="s">
        <v>47</v>
      </c>
      <c r="G30" s="33" t="s">
        <v>11</v>
      </c>
      <c r="H30" s="33" t="s">
        <v>10</v>
      </c>
      <c r="I30" s="33">
        <f t="shared" ca="1" si="0"/>
        <v>35</v>
      </c>
      <c r="J30" s="33">
        <v>0</v>
      </c>
      <c r="K30" s="33">
        <v>2</v>
      </c>
      <c r="L30" s="33" t="str">
        <f t="shared" si="12"/>
        <v>Cadre</v>
      </c>
      <c r="M30" s="33">
        <f t="shared" si="1"/>
        <v>469897.63000000006</v>
      </c>
      <c r="N30" s="33">
        <v>0</v>
      </c>
      <c r="O30" s="33">
        <f>Heures_Supp_15(BASE_DONNEES_GP!M30,BASE_SALARIALE!G30)</f>
        <v>0</v>
      </c>
      <c r="P30" s="33">
        <f>Heures_Supp_40(BASE_DONNEES_GP!N30,BASE_SALARIALE!G30)</f>
        <v>0</v>
      </c>
      <c r="Q30" s="33">
        <f>Heures_Supp_60(BASE_DONNEES_GP!O30,BASE_SALARIALE!G30)</f>
        <v>0</v>
      </c>
      <c r="R30" s="33">
        <f>Heures_Supp_100(BASE_DONNEES_GP!P30,BASE_SALARIALE!G30)</f>
        <v>0</v>
      </c>
      <c r="S30" s="33">
        <v>10000</v>
      </c>
      <c r="T30" s="33">
        <f t="shared" si="2"/>
        <v>479897.63000000006</v>
      </c>
      <c r="U30" s="33">
        <v>17500</v>
      </c>
      <c r="V30" s="33">
        <f t="shared" si="3"/>
        <v>497397.63000000006</v>
      </c>
      <c r="W30" s="33">
        <f t="shared" si="4"/>
        <v>20160</v>
      </c>
      <c r="X30" s="33">
        <f t="shared" si="5"/>
        <v>11517.543120000002</v>
      </c>
      <c r="Y30" s="33">
        <v>0</v>
      </c>
      <c r="Z30" s="33">
        <f t="shared" si="6"/>
        <v>900</v>
      </c>
      <c r="AA30" s="33">
        <f t="shared" si="7"/>
        <v>91666.666666666672</v>
      </c>
      <c r="AB30" s="33">
        <v>0</v>
      </c>
      <c r="AC30" s="33">
        <v>0</v>
      </c>
      <c r="AD30" s="33">
        <f t="shared" si="8"/>
        <v>124244.20978666667</v>
      </c>
      <c r="AE30" s="33">
        <f t="shared" si="10"/>
        <v>373153.42021333339</v>
      </c>
      <c r="AF30" s="33">
        <v>0</v>
      </c>
      <c r="AG30" s="33">
        <f t="shared" si="9"/>
        <v>373153</v>
      </c>
    </row>
    <row r="31" spans="1:33" x14ac:dyDescent="0.25">
      <c r="A31" s="33" t="s">
        <v>216</v>
      </c>
      <c r="B31" s="33" t="s">
        <v>217</v>
      </c>
      <c r="C31" s="33" t="s">
        <v>218</v>
      </c>
      <c r="D31" s="35">
        <v>28845</v>
      </c>
      <c r="E31" s="33" t="s">
        <v>219</v>
      </c>
      <c r="F31" s="33" t="s">
        <v>9</v>
      </c>
      <c r="G31" s="33" t="s">
        <v>11</v>
      </c>
      <c r="H31" s="33" t="s">
        <v>10</v>
      </c>
      <c r="I31" s="33">
        <f t="shared" ca="1" si="0"/>
        <v>41</v>
      </c>
      <c r="J31" s="33">
        <v>3</v>
      </c>
      <c r="K31" s="33">
        <v>7</v>
      </c>
      <c r="L31" s="33" t="str">
        <f t="shared" si="12"/>
        <v>Cadre</v>
      </c>
      <c r="M31" s="33">
        <f t="shared" si="1"/>
        <v>469897.63000000006</v>
      </c>
      <c r="N31" s="33">
        <v>0</v>
      </c>
      <c r="O31" s="33">
        <f>Heures_Supp_15(BASE_DONNEES_GP!M31,BASE_SALARIALE!G31)</f>
        <v>0</v>
      </c>
      <c r="P31" s="33">
        <f>Heures_Supp_40(BASE_DONNEES_GP!N31,BASE_SALARIALE!G31)</f>
        <v>0</v>
      </c>
      <c r="Q31" s="33">
        <f>Heures_Supp_60(BASE_DONNEES_GP!O31,BASE_SALARIALE!G31)</f>
        <v>0</v>
      </c>
      <c r="R31" s="33">
        <f>Heures_Supp_100(BASE_DONNEES_GP!P31,BASE_SALARIALE!G31)</f>
        <v>0</v>
      </c>
      <c r="S31" s="33">
        <v>8000</v>
      </c>
      <c r="T31" s="33">
        <f t="shared" si="2"/>
        <v>477897.63000000006</v>
      </c>
      <c r="U31" s="33">
        <v>0</v>
      </c>
      <c r="V31" s="33">
        <f t="shared" si="3"/>
        <v>477897.63000000006</v>
      </c>
      <c r="W31" s="33">
        <f t="shared" si="4"/>
        <v>20160</v>
      </c>
      <c r="X31" s="33">
        <f t="shared" si="5"/>
        <v>11469.543120000002</v>
      </c>
      <c r="Y31" s="33">
        <v>3000</v>
      </c>
      <c r="Z31" s="33">
        <f t="shared" si="6"/>
        <v>3600</v>
      </c>
      <c r="AA31" s="33">
        <f t="shared" si="7"/>
        <v>50000</v>
      </c>
      <c r="AB31" s="33">
        <v>12500</v>
      </c>
      <c r="AC31" s="33">
        <v>0</v>
      </c>
      <c r="AD31" s="33">
        <f t="shared" si="8"/>
        <v>100729.54312</v>
      </c>
      <c r="AE31" s="33">
        <f t="shared" si="10"/>
        <v>377168.08688000008</v>
      </c>
      <c r="AF31" s="33">
        <v>0</v>
      </c>
      <c r="AG31" s="33">
        <f t="shared" si="9"/>
        <v>377168</v>
      </c>
    </row>
    <row r="32" spans="1:33" x14ac:dyDescent="0.25">
      <c r="A32" s="33" t="s">
        <v>220</v>
      </c>
      <c r="B32" s="33" t="s">
        <v>221</v>
      </c>
      <c r="C32" s="33" t="s">
        <v>222</v>
      </c>
      <c r="D32" s="35">
        <v>28457</v>
      </c>
      <c r="E32" s="33" t="s">
        <v>223</v>
      </c>
      <c r="F32" s="33" t="s">
        <v>9</v>
      </c>
      <c r="G32" s="33" t="s">
        <v>11</v>
      </c>
      <c r="H32" s="33" t="s">
        <v>10</v>
      </c>
      <c r="I32" s="33">
        <f t="shared" ca="1" si="0"/>
        <v>42</v>
      </c>
      <c r="J32" s="33">
        <v>1</v>
      </c>
      <c r="K32" s="33">
        <v>5</v>
      </c>
      <c r="L32" s="33" t="str">
        <f t="shared" si="12"/>
        <v>Cadre</v>
      </c>
      <c r="M32" s="33">
        <f t="shared" si="1"/>
        <v>469897.63000000006</v>
      </c>
      <c r="N32" s="33">
        <v>0</v>
      </c>
      <c r="O32" s="33">
        <f>Heures_Supp_15(BASE_DONNEES_GP!M32,BASE_SALARIALE!G32)</f>
        <v>0</v>
      </c>
      <c r="P32" s="33">
        <f>Heures_Supp_40(BASE_DONNEES_GP!N32,BASE_SALARIALE!G32)</f>
        <v>0</v>
      </c>
      <c r="Q32" s="33">
        <f>Heures_Supp_60(BASE_DONNEES_GP!O32,BASE_SALARIALE!G32)</f>
        <v>0</v>
      </c>
      <c r="R32" s="33">
        <f>Heures_Supp_100(BASE_DONNEES_GP!P32,BASE_SALARIALE!G32)</f>
        <v>0</v>
      </c>
      <c r="S32" s="33">
        <v>0</v>
      </c>
      <c r="T32" s="33">
        <f t="shared" si="2"/>
        <v>469897.63000000006</v>
      </c>
      <c r="U32" s="33">
        <v>10000</v>
      </c>
      <c r="V32" s="33">
        <f t="shared" si="3"/>
        <v>479897.63000000006</v>
      </c>
      <c r="W32" s="33">
        <f t="shared" si="4"/>
        <v>20160</v>
      </c>
      <c r="X32" s="33">
        <f t="shared" si="5"/>
        <v>11277.543120000002</v>
      </c>
      <c r="Y32" s="33">
        <v>0</v>
      </c>
      <c r="Z32" s="33">
        <f t="shared" si="6"/>
        <v>1800</v>
      </c>
      <c r="AA32" s="33">
        <f t="shared" si="7"/>
        <v>66666.666666666672</v>
      </c>
      <c r="AB32" s="33">
        <v>0</v>
      </c>
      <c r="AC32" s="33">
        <v>0</v>
      </c>
      <c r="AD32" s="33">
        <f t="shared" si="8"/>
        <v>99904.209786666674</v>
      </c>
      <c r="AE32" s="33">
        <f t="shared" si="10"/>
        <v>379993.42021333339</v>
      </c>
      <c r="AF32" s="33">
        <v>20000</v>
      </c>
      <c r="AG32" s="33">
        <f t="shared" si="9"/>
        <v>399993</v>
      </c>
    </row>
    <row r="33" spans="1:33" x14ac:dyDescent="0.25">
      <c r="A33" s="33" t="s">
        <v>224</v>
      </c>
      <c r="B33" s="33" t="s">
        <v>225</v>
      </c>
      <c r="C33" s="33" t="s">
        <v>226</v>
      </c>
      <c r="D33" s="35">
        <v>31140</v>
      </c>
      <c r="E33" s="33" t="s">
        <v>227</v>
      </c>
      <c r="F33" s="33" t="s">
        <v>9</v>
      </c>
      <c r="G33" s="33" t="s">
        <v>12</v>
      </c>
      <c r="H33" s="33" t="s">
        <v>10</v>
      </c>
      <c r="I33" s="33">
        <f t="shared" ca="1" si="0"/>
        <v>35</v>
      </c>
      <c r="J33" s="33">
        <v>1</v>
      </c>
      <c r="K33" s="33">
        <v>3</v>
      </c>
      <c r="L33" s="33" t="str">
        <f t="shared" si="12"/>
        <v>General</v>
      </c>
      <c r="M33" s="33">
        <f t="shared" si="1"/>
        <v>350126.60000000003</v>
      </c>
      <c r="N33" s="33">
        <v>12</v>
      </c>
      <c r="O33" s="33">
        <f>Heures_Supp_15(BASE_DONNEES_GP!M33,BASE_SALARIALE!G33)</f>
        <v>18584</v>
      </c>
      <c r="P33" s="33">
        <f>Heures_Supp_40(BASE_DONNEES_GP!N33,BASE_SALARIALE!G33)</f>
        <v>0</v>
      </c>
      <c r="Q33" s="33">
        <f>Heures_Supp_60(BASE_DONNEES_GP!O33,BASE_SALARIALE!G33)</f>
        <v>0</v>
      </c>
      <c r="R33" s="33">
        <f>Heures_Supp_100(BASE_DONNEES_GP!P33,BASE_SALARIALE!G33)</f>
        <v>12120</v>
      </c>
      <c r="S33" s="33">
        <v>0</v>
      </c>
      <c r="T33" s="33">
        <f t="shared" si="2"/>
        <v>380842.60000000003</v>
      </c>
      <c r="U33" s="33">
        <v>0</v>
      </c>
      <c r="V33" s="33">
        <f t="shared" si="3"/>
        <v>380842.60000000003</v>
      </c>
      <c r="W33" s="33">
        <f t="shared" si="4"/>
        <v>20160</v>
      </c>
      <c r="X33" s="33">
        <f t="shared" si="5"/>
        <v>0</v>
      </c>
      <c r="Y33" s="33">
        <v>3000</v>
      </c>
      <c r="Z33" s="33">
        <f t="shared" si="6"/>
        <v>1800</v>
      </c>
      <c r="AA33" s="33">
        <f t="shared" si="7"/>
        <v>29166.666666666668</v>
      </c>
      <c r="AB33" s="33">
        <v>0</v>
      </c>
      <c r="AC33" s="33">
        <v>0</v>
      </c>
      <c r="AD33" s="33">
        <f t="shared" si="8"/>
        <v>54126.666666666672</v>
      </c>
      <c r="AE33" s="33">
        <f t="shared" si="10"/>
        <v>326715.93333333335</v>
      </c>
      <c r="AF33" s="33">
        <v>0</v>
      </c>
      <c r="AG33" s="33">
        <f t="shared" si="9"/>
        <v>326716</v>
      </c>
    </row>
    <row r="34" spans="1:33" x14ac:dyDescent="0.25">
      <c r="A34" s="33" t="s">
        <v>229</v>
      </c>
      <c r="B34" s="33" t="s">
        <v>144</v>
      </c>
      <c r="C34" s="33" t="s">
        <v>230</v>
      </c>
      <c r="D34" s="35">
        <v>28377</v>
      </c>
      <c r="E34" s="33" t="s">
        <v>231</v>
      </c>
      <c r="F34" s="33" t="s">
        <v>9</v>
      </c>
      <c r="G34" s="33" t="s">
        <v>12</v>
      </c>
      <c r="H34" s="33" t="s">
        <v>10</v>
      </c>
      <c r="I34" s="33">
        <f t="shared" ref="I34:I51" ca="1" si="13">DATEDIF(D34,TODAY(),"y")</f>
        <v>42</v>
      </c>
      <c r="J34" s="33">
        <v>1</v>
      </c>
      <c r="K34" s="33">
        <v>4</v>
      </c>
      <c r="L34" s="33" t="str">
        <f t="shared" si="12"/>
        <v>General</v>
      </c>
      <c r="M34" s="33">
        <f t="shared" ref="M34:M51" si="14">Salaire_Base(G34)</f>
        <v>350126.60000000003</v>
      </c>
      <c r="N34" s="33">
        <v>0</v>
      </c>
      <c r="O34" s="33">
        <f>Heures_Supp_15(BASE_DONNEES_GP!M34,BASE_SALARIALE!G34)</f>
        <v>0</v>
      </c>
      <c r="P34" s="33">
        <f>Heures_Supp_40(BASE_DONNEES_GP!N34,BASE_SALARIALE!G34)</f>
        <v>0</v>
      </c>
      <c r="Q34" s="33">
        <f>Heures_Supp_60(BASE_DONNEES_GP!O34,BASE_SALARIALE!G34)</f>
        <v>0</v>
      </c>
      <c r="R34" s="33">
        <f>Heures_Supp_100(BASE_DONNEES_GP!P34,BASE_SALARIALE!G34)</f>
        <v>24240</v>
      </c>
      <c r="S34" s="33">
        <v>0</v>
      </c>
      <c r="T34" s="33">
        <f t="shared" ref="T34:T51" si="15">Salaire_Brut_Social(M34,N34,O34,P34,Q34,R34,S34)</f>
        <v>374366.60000000003</v>
      </c>
      <c r="U34" s="33">
        <v>0</v>
      </c>
      <c r="V34" s="33">
        <f t="shared" ref="V34:V51" si="16">Salaire_Brut_Fiscal(T34,U34)</f>
        <v>374366.60000000003</v>
      </c>
      <c r="W34" s="33">
        <f t="shared" ref="W34:W51" si="17">Regime_General(T34)</f>
        <v>20160</v>
      </c>
      <c r="X34" s="33">
        <f t="shared" ref="X34:X51" si="18">Regime_Cadre(T34,G34)</f>
        <v>0</v>
      </c>
      <c r="Y34" s="33">
        <v>3000</v>
      </c>
      <c r="Z34" s="33">
        <f t="shared" ref="Z34:Z51" si="19">Trimf(J34,V34)</f>
        <v>1800</v>
      </c>
      <c r="AA34" s="33">
        <f t="shared" ref="AA34:AA51" si="20">Impot_Revenu(V34,H34,J34,K34)</f>
        <v>20833.333333333332</v>
      </c>
      <c r="AB34" s="33">
        <v>0</v>
      </c>
      <c r="AC34" s="33">
        <v>0</v>
      </c>
      <c r="AD34" s="33">
        <f t="shared" ref="AD34:AD51" si="21">Retenus(W34,X34,Y34,Z34,AA34,AB34,AC34)</f>
        <v>45793.333333333328</v>
      </c>
      <c r="AE34" s="33">
        <f t="shared" ref="AE34:AE51" si="22">Salaire_Net(V34,AD34)</f>
        <v>328573.26666666672</v>
      </c>
      <c r="AF34" s="33">
        <v>0</v>
      </c>
      <c r="AG34" s="33">
        <f t="shared" ref="AG34:AG51" si="23">Net_a_payer(AE34,AF34)</f>
        <v>328573</v>
      </c>
    </row>
    <row r="35" spans="1:33" x14ac:dyDescent="0.25">
      <c r="A35" s="33" t="s">
        <v>232</v>
      </c>
      <c r="B35" s="33" t="s">
        <v>233</v>
      </c>
      <c r="C35" s="33" t="s">
        <v>234</v>
      </c>
      <c r="D35" s="35">
        <v>31300</v>
      </c>
      <c r="E35" s="33" t="s">
        <v>235</v>
      </c>
      <c r="F35" s="33" t="s">
        <v>47</v>
      </c>
      <c r="G35" s="33" t="s">
        <v>12</v>
      </c>
      <c r="H35" s="33" t="s">
        <v>10</v>
      </c>
      <c r="I35" s="33">
        <f t="shared" ca="1" si="13"/>
        <v>34</v>
      </c>
      <c r="J35" s="33">
        <v>0</v>
      </c>
      <c r="K35" s="33">
        <v>2</v>
      </c>
      <c r="L35" s="33" t="str">
        <f t="shared" si="12"/>
        <v>General</v>
      </c>
      <c r="M35" s="33">
        <f t="shared" si="14"/>
        <v>350126.60000000003</v>
      </c>
      <c r="N35" s="33">
        <v>0</v>
      </c>
      <c r="O35" s="33">
        <f>Heures_Supp_15(BASE_DONNEES_GP!M35,BASE_SALARIALE!G35)</f>
        <v>18584</v>
      </c>
      <c r="P35" s="33">
        <f>Heures_Supp_40(BASE_DONNEES_GP!N35,BASE_SALARIALE!G35)</f>
        <v>0</v>
      </c>
      <c r="Q35" s="33">
        <f>Heures_Supp_60(BASE_DONNEES_GP!O35,BASE_SALARIALE!G35)</f>
        <v>0</v>
      </c>
      <c r="R35" s="33">
        <f>Heures_Supp_100(BASE_DONNEES_GP!P35,BASE_SALARIALE!G35)</f>
        <v>0</v>
      </c>
      <c r="S35" s="33">
        <v>0</v>
      </c>
      <c r="T35" s="33">
        <f t="shared" si="15"/>
        <v>368710.60000000003</v>
      </c>
      <c r="U35" s="33">
        <v>14500</v>
      </c>
      <c r="V35" s="33">
        <f t="shared" si="16"/>
        <v>383210.60000000003</v>
      </c>
      <c r="W35" s="33">
        <f t="shared" si="17"/>
        <v>20160</v>
      </c>
      <c r="X35" s="33">
        <f t="shared" si="18"/>
        <v>0</v>
      </c>
      <c r="Y35" s="33">
        <v>0</v>
      </c>
      <c r="Z35" s="33">
        <f t="shared" si="19"/>
        <v>900</v>
      </c>
      <c r="AA35" s="33">
        <f t="shared" si="20"/>
        <v>37500</v>
      </c>
      <c r="AB35" s="33">
        <v>10000</v>
      </c>
      <c r="AC35" s="33">
        <v>0</v>
      </c>
      <c r="AD35" s="33">
        <f t="shared" si="21"/>
        <v>68560</v>
      </c>
      <c r="AE35" s="33">
        <f t="shared" si="22"/>
        <v>314650.60000000003</v>
      </c>
      <c r="AF35" s="33">
        <v>25000</v>
      </c>
      <c r="AG35" s="33">
        <f t="shared" si="23"/>
        <v>339651</v>
      </c>
    </row>
    <row r="36" spans="1:33" x14ac:dyDescent="0.25">
      <c r="A36" s="33" t="s">
        <v>239</v>
      </c>
      <c r="B36" s="33" t="s">
        <v>236</v>
      </c>
      <c r="C36" s="33" t="s">
        <v>237</v>
      </c>
      <c r="D36" s="35">
        <v>30179</v>
      </c>
      <c r="E36" s="33" t="s">
        <v>238</v>
      </c>
      <c r="F36" s="33" t="s">
        <v>9</v>
      </c>
      <c r="G36" s="33" t="s">
        <v>12</v>
      </c>
      <c r="H36" s="33" t="s">
        <v>10</v>
      </c>
      <c r="I36" s="33">
        <f t="shared" ca="1" si="13"/>
        <v>37</v>
      </c>
      <c r="J36" s="33">
        <v>2</v>
      </c>
      <c r="K36" s="33">
        <v>4</v>
      </c>
      <c r="L36" s="33" t="str">
        <f t="shared" si="12"/>
        <v>General</v>
      </c>
      <c r="M36" s="33">
        <f t="shared" si="14"/>
        <v>350126.60000000003</v>
      </c>
      <c r="N36" s="33">
        <v>0</v>
      </c>
      <c r="O36" s="33">
        <f>Heures_Supp_15(BASE_DONNEES_GP!M36,BASE_SALARIALE!G36)</f>
        <v>0</v>
      </c>
      <c r="P36" s="33">
        <f>Heures_Supp_40(BASE_DONNEES_GP!N36,BASE_SALARIALE!G36)</f>
        <v>0</v>
      </c>
      <c r="Q36" s="33">
        <f>Heures_Supp_60(BASE_DONNEES_GP!O36,BASE_SALARIALE!G36)</f>
        <v>0</v>
      </c>
      <c r="R36" s="33">
        <f>Heures_Supp_100(BASE_DONNEES_GP!P36,BASE_SALARIALE!G36)</f>
        <v>8080</v>
      </c>
      <c r="S36" s="33">
        <v>0</v>
      </c>
      <c r="T36" s="33">
        <f t="shared" si="15"/>
        <v>358206.60000000003</v>
      </c>
      <c r="U36" s="33">
        <v>0</v>
      </c>
      <c r="V36" s="33">
        <f t="shared" si="16"/>
        <v>358206.60000000003</v>
      </c>
      <c r="W36" s="33">
        <f t="shared" si="17"/>
        <v>20059.569600000003</v>
      </c>
      <c r="X36" s="33">
        <f t="shared" si="18"/>
        <v>0</v>
      </c>
      <c r="Y36" s="33">
        <v>0</v>
      </c>
      <c r="Z36" s="33">
        <f t="shared" si="19"/>
        <v>2700</v>
      </c>
      <c r="AA36" s="33">
        <f t="shared" si="20"/>
        <v>20833.333333333332</v>
      </c>
      <c r="AB36" s="33">
        <v>0</v>
      </c>
      <c r="AC36" s="33">
        <v>0</v>
      </c>
      <c r="AD36" s="33">
        <f t="shared" si="21"/>
        <v>43592.902933333331</v>
      </c>
      <c r="AE36" s="33">
        <f t="shared" si="22"/>
        <v>314613.69706666667</v>
      </c>
      <c r="AF36" s="33">
        <v>0</v>
      </c>
      <c r="AG36" s="33">
        <f t="shared" si="23"/>
        <v>314614</v>
      </c>
    </row>
    <row r="37" spans="1:33" x14ac:dyDescent="0.25">
      <c r="A37" s="33" t="s">
        <v>240</v>
      </c>
      <c r="B37" s="33" t="s">
        <v>241</v>
      </c>
      <c r="C37" s="33" t="s">
        <v>242</v>
      </c>
      <c r="D37" s="35">
        <v>28296</v>
      </c>
      <c r="E37" s="33" t="s">
        <v>243</v>
      </c>
      <c r="F37" s="33" t="s">
        <v>9</v>
      </c>
      <c r="G37" s="33" t="s">
        <v>12</v>
      </c>
      <c r="H37" s="33" t="s">
        <v>10</v>
      </c>
      <c r="I37" s="33">
        <f t="shared" ca="1" si="13"/>
        <v>42</v>
      </c>
      <c r="J37" s="33">
        <v>1</v>
      </c>
      <c r="K37" s="33">
        <v>6</v>
      </c>
      <c r="L37" s="33" t="str">
        <f t="shared" si="12"/>
        <v>General</v>
      </c>
      <c r="M37" s="33">
        <f t="shared" si="14"/>
        <v>350126.60000000003</v>
      </c>
      <c r="N37" s="33">
        <v>0</v>
      </c>
      <c r="O37" s="33">
        <f>Heures_Supp_15(BASE_DONNEES_GP!M37,BASE_SALARIALE!G37)</f>
        <v>0</v>
      </c>
      <c r="P37" s="33">
        <f>Heures_Supp_40(BASE_DONNEES_GP!N37,BASE_SALARIALE!G37)</f>
        <v>0</v>
      </c>
      <c r="Q37" s="33">
        <f>Heures_Supp_60(BASE_DONNEES_GP!O37,BASE_SALARIALE!G37)</f>
        <v>0</v>
      </c>
      <c r="R37" s="33">
        <f>Heures_Supp_100(BASE_DONNEES_GP!P37,BASE_SALARIALE!G37)</f>
        <v>16160</v>
      </c>
      <c r="S37" s="33">
        <v>0</v>
      </c>
      <c r="T37" s="33">
        <f t="shared" si="15"/>
        <v>366286.60000000003</v>
      </c>
      <c r="U37" s="33">
        <v>0</v>
      </c>
      <c r="V37" s="33">
        <f t="shared" si="16"/>
        <v>366286.60000000003</v>
      </c>
      <c r="W37" s="33">
        <f t="shared" si="17"/>
        <v>20160</v>
      </c>
      <c r="X37" s="33">
        <f t="shared" si="18"/>
        <v>0</v>
      </c>
      <c r="Y37" s="33">
        <v>13000</v>
      </c>
      <c r="Z37" s="33">
        <f t="shared" si="19"/>
        <v>1800</v>
      </c>
      <c r="AA37" s="33">
        <f t="shared" si="20"/>
        <v>4166.666666666667</v>
      </c>
      <c r="AB37" s="33">
        <v>0</v>
      </c>
      <c r="AC37" s="33">
        <v>0</v>
      </c>
      <c r="AD37" s="33">
        <f t="shared" si="21"/>
        <v>39126.666666666664</v>
      </c>
      <c r="AE37" s="33">
        <f t="shared" si="22"/>
        <v>327159.93333333335</v>
      </c>
      <c r="AF37" s="33">
        <v>0</v>
      </c>
      <c r="AG37" s="33">
        <f t="shared" si="23"/>
        <v>327160</v>
      </c>
    </row>
    <row r="38" spans="1:33" x14ac:dyDescent="0.25">
      <c r="A38" s="33" t="s">
        <v>244</v>
      </c>
      <c r="B38" s="33" t="s">
        <v>245</v>
      </c>
      <c r="C38" s="33" t="s">
        <v>246</v>
      </c>
      <c r="D38" s="35">
        <v>25143</v>
      </c>
      <c r="E38" s="33" t="s">
        <v>150</v>
      </c>
      <c r="F38" s="33" t="s">
        <v>9</v>
      </c>
      <c r="G38" s="33" t="s">
        <v>13</v>
      </c>
      <c r="H38" s="33" t="s">
        <v>46</v>
      </c>
      <c r="I38" s="33">
        <f t="shared" ca="1" si="13"/>
        <v>51</v>
      </c>
      <c r="J38" s="33">
        <v>0</v>
      </c>
      <c r="K38" s="33">
        <v>0</v>
      </c>
      <c r="L38" s="33" t="str">
        <f t="shared" si="12"/>
        <v>General</v>
      </c>
      <c r="M38" s="33">
        <f t="shared" si="14"/>
        <v>240062.05000000002</v>
      </c>
      <c r="N38" s="33">
        <v>10000</v>
      </c>
      <c r="O38" s="33">
        <f>Heures_Supp_15(BASE_DONNEES_GP!M38,BASE_SALARIALE!G38)</f>
        <v>0</v>
      </c>
      <c r="P38" s="33">
        <f>Heures_Supp_40(BASE_DONNEES_GP!N38,BASE_SALARIALE!G38)</f>
        <v>0</v>
      </c>
      <c r="Q38" s="33">
        <f>Heures_Supp_60(BASE_DONNEES_GP!O38,BASE_SALARIALE!G38)</f>
        <v>0</v>
      </c>
      <c r="R38" s="33">
        <f>Heures_Supp_100(BASE_DONNEES_GP!P38,BASE_SALARIALE!G38)</f>
        <v>0</v>
      </c>
      <c r="S38" s="33">
        <v>0</v>
      </c>
      <c r="T38" s="33">
        <f t="shared" si="15"/>
        <v>250062.05000000002</v>
      </c>
      <c r="U38" s="33">
        <v>0</v>
      </c>
      <c r="V38" s="33">
        <f t="shared" si="16"/>
        <v>250062.05000000002</v>
      </c>
      <c r="W38" s="33">
        <f t="shared" si="17"/>
        <v>14003.474800000002</v>
      </c>
      <c r="X38" s="33">
        <f t="shared" si="18"/>
        <v>0</v>
      </c>
      <c r="Y38" s="33">
        <v>3000</v>
      </c>
      <c r="Z38" s="33">
        <f t="shared" si="19"/>
        <v>900</v>
      </c>
      <c r="AA38" s="33">
        <f t="shared" si="20"/>
        <v>62500</v>
      </c>
      <c r="AB38" s="33">
        <v>0</v>
      </c>
      <c r="AC38" s="33">
        <v>0</v>
      </c>
      <c r="AD38" s="33">
        <f t="shared" si="21"/>
        <v>80403.474799999996</v>
      </c>
      <c r="AE38" s="33">
        <f t="shared" si="22"/>
        <v>169658.57520000002</v>
      </c>
      <c r="AF38" s="33">
        <v>0</v>
      </c>
      <c r="AG38" s="33">
        <f t="shared" si="23"/>
        <v>169659</v>
      </c>
    </row>
    <row r="39" spans="1:33" x14ac:dyDescent="0.25">
      <c r="A39" s="33" t="s">
        <v>247</v>
      </c>
      <c r="B39" s="33" t="s">
        <v>248</v>
      </c>
      <c r="C39" s="33" t="s">
        <v>246</v>
      </c>
      <c r="D39" s="35">
        <v>27843</v>
      </c>
      <c r="E39" s="33" t="s">
        <v>154</v>
      </c>
      <c r="F39" s="33" t="s">
        <v>9</v>
      </c>
      <c r="G39" s="33" t="s">
        <v>11</v>
      </c>
      <c r="H39" s="33" t="s">
        <v>46</v>
      </c>
      <c r="I39" s="33">
        <f t="shared" ca="1" si="13"/>
        <v>44</v>
      </c>
      <c r="J39" s="33">
        <v>0</v>
      </c>
      <c r="K39" s="33">
        <v>0</v>
      </c>
      <c r="L39" s="33" t="str">
        <f t="shared" si="12"/>
        <v>Cadre</v>
      </c>
      <c r="M39" s="33">
        <f t="shared" si="14"/>
        <v>469897.63000000006</v>
      </c>
      <c r="N39" s="33">
        <v>0</v>
      </c>
      <c r="O39" s="33">
        <f>Heures_Supp_15(BASE_DONNEES_GP!M39,BASE_SALARIALE!G39)</f>
        <v>0</v>
      </c>
      <c r="P39" s="33">
        <f>Heures_Supp_40(BASE_DONNEES_GP!N39,BASE_SALARIALE!G39)</f>
        <v>0</v>
      </c>
      <c r="Q39" s="33">
        <f>Heures_Supp_60(BASE_DONNEES_GP!O39,BASE_SALARIALE!G39)</f>
        <v>0</v>
      </c>
      <c r="R39" s="33">
        <f>Heures_Supp_100(BASE_DONNEES_GP!P39,BASE_SALARIALE!G39)</f>
        <v>0</v>
      </c>
      <c r="S39" s="33">
        <v>10000</v>
      </c>
      <c r="T39" s="33">
        <f t="shared" si="15"/>
        <v>479897.63000000006</v>
      </c>
      <c r="U39" s="33">
        <v>15000</v>
      </c>
      <c r="V39" s="33">
        <f t="shared" si="16"/>
        <v>494897.63000000006</v>
      </c>
      <c r="W39" s="33">
        <f t="shared" si="17"/>
        <v>20160</v>
      </c>
      <c r="X39" s="33">
        <f t="shared" si="18"/>
        <v>11517.543120000002</v>
      </c>
      <c r="Y39" s="33">
        <v>0</v>
      </c>
      <c r="Z39" s="33">
        <f t="shared" si="19"/>
        <v>900</v>
      </c>
      <c r="AA39" s="33">
        <f t="shared" si="20"/>
        <v>116666.66666666667</v>
      </c>
      <c r="AB39" s="33">
        <v>10000</v>
      </c>
      <c r="AC39" s="33">
        <v>0</v>
      </c>
      <c r="AD39" s="33">
        <f t="shared" si="21"/>
        <v>159244.20978666667</v>
      </c>
      <c r="AE39" s="33">
        <f t="shared" si="22"/>
        <v>335653.42021333339</v>
      </c>
      <c r="AF39" s="33">
        <v>0</v>
      </c>
      <c r="AG39" s="33">
        <f t="shared" si="23"/>
        <v>335653</v>
      </c>
    </row>
    <row r="40" spans="1:33" x14ac:dyDescent="0.25">
      <c r="A40" s="33" t="s">
        <v>249</v>
      </c>
      <c r="B40" s="33" t="s">
        <v>250</v>
      </c>
      <c r="C40" s="33" t="s">
        <v>251</v>
      </c>
      <c r="D40" s="35">
        <v>28052</v>
      </c>
      <c r="E40" s="33" t="s">
        <v>133</v>
      </c>
      <c r="F40" s="33" t="s">
        <v>47</v>
      </c>
      <c r="G40" s="33" t="s">
        <v>13</v>
      </c>
      <c r="H40" s="33" t="s">
        <v>46</v>
      </c>
      <c r="I40" s="33">
        <f t="shared" ca="1" si="13"/>
        <v>43</v>
      </c>
      <c r="J40" s="33">
        <v>0</v>
      </c>
      <c r="K40" s="33">
        <v>0</v>
      </c>
      <c r="L40" s="33" t="str">
        <f t="shared" si="12"/>
        <v>General</v>
      </c>
      <c r="M40" s="33">
        <f t="shared" si="14"/>
        <v>240062.05000000002</v>
      </c>
      <c r="N40" s="33">
        <v>0</v>
      </c>
      <c r="O40" s="33">
        <f>Heures_Supp_15(BASE_DONNEES_GP!M40,BASE_SALARIALE!G40)</f>
        <v>0</v>
      </c>
      <c r="P40" s="33">
        <f>Heures_Supp_40(BASE_DONNEES_GP!N40,BASE_SALARIALE!G40)</f>
        <v>0</v>
      </c>
      <c r="Q40" s="33">
        <f>Heures_Supp_60(BASE_DONNEES_GP!O40,BASE_SALARIALE!G40)</f>
        <v>0</v>
      </c>
      <c r="R40" s="33">
        <f>Heures_Supp_100(BASE_DONNEES_GP!P40,BASE_SALARIALE!G40)</f>
        <v>0</v>
      </c>
      <c r="S40" s="33">
        <v>0</v>
      </c>
      <c r="T40" s="33">
        <f t="shared" si="15"/>
        <v>240062.05000000002</v>
      </c>
      <c r="U40" s="33">
        <v>0</v>
      </c>
      <c r="V40" s="33">
        <f t="shared" si="16"/>
        <v>240062.05000000002</v>
      </c>
      <c r="W40" s="33">
        <f t="shared" si="17"/>
        <v>13443.474800000002</v>
      </c>
      <c r="X40" s="33">
        <f t="shared" si="18"/>
        <v>0</v>
      </c>
      <c r="Y40" s="33">
        <v>0</v>
      </c>
      <c r="Z40" s="33">
        <f t="shared" si="19"/>
        <v>900</v>
      </c>
      <c r="AA40" s="33">
        <f t="shared" si="20"/>
        <v>62500</v>
      </c>
      <c r="AB40" s="33">
        <v>0</v>
      </c>
      <c r="AC40" s="33">
        <v>0</v>
      </c>
      <c r="AD40" s="33">
        <f t="shared" si="21"/>
        <v>76843.474799999996</v>
      </c>
      <c r="AE40" s="33">
        <f t="shared" si="22"/>
        <v>163218.57520000002</v>
      </c>
      <c r="AF40" s="33">
        <v>0</v>
      </c>
      <c r="AG40" s="33">
        <f t="shared" si="23"/>
        <v>163219</v>
      </c>
    </row>
    <row r="41" spans="1:33" x14ac:dyDescent="0.25">
      <c r="A41" s="33" t="s">
        <v>252</v>
      </c>
      <c r="B41" s="33" t="s">
        <v>253</v>
      </c>
      <c r="C41" s="33" t="s">
        <v>251</v>
      </c>
      <c r="D41" s="35">
        <v>29722</v>
      </c>
      <c r="E41" s="33" t="s">
        <v>125</v>
      </c>
      <c r="F41" s="33" t="s">
        <v>47</v>
      </c>
      <c r="G41" s="33" t="s">
        <v>13</v>
      </c>
      <c r="H41" s="33" t="s">
        <v>46</v>
      </c>
      <c r="I41" s="33">
        <f t="shared" ca="1" si="13"/>
        <v>39</v>
      </c>
      <c r="J41" s="33">
        <v>0</v>
      </c>
      <c r="K41" s="33">
        <v>0</v>
      </c>
      <c r="L41" s="33" t="str">
        <f t="shared" si="12"/>
        <v>General</v>
      </c>
      <c r="M41" s="33">
        <f t="shared" si="14"/>
        <v>240062.05000000002</v>
      </c>
      <c r="N41" s="33">
        <v>0</v>
      </c>
      <c r="O41" s="33">
        <f>Heures_Supp_15(BASE_DONNEES_GP!M41,BASE_SALARIALE!G41)</f>
        <v>12741.999999999998</v>
      </c>
      <c r="P41" s="33">
        <f>Heures_Supp_40(BASE_DONNEES_GP!N41,BASE_SALARIALE!G41)</f>
        <v>9694.9999999999982</v>
      </c>
      <c r="Q41" s="33">
        <f>Heures_Supp_60(BASE_DONNEES_GP!O41,BASE_SALARIALE!G41)</f>
        <v>0</v>
      </c>
      <c r="R41" s="33">
        <f>Heures_Supp_100(BASE_DONNEES_GP!P41,BASE_SALARIALE!G41)</f>
        <v>0</v>
      </c>
      <c r="S41" s="33">
        <v>0</v>
      </c>
      <c r="T41" s="33">
        <f t="shared" si="15"/>
        <v>262499.05</v>
      </c>
      <c r="U41" s="33">
        <v>0</v>
      </c>
      <c r="V41" s="33">
        <f t="shared" si="16"/>
        <v>262499.05</v>
      </c>
      <c r="W41" s="33">
        <f t="shared" si="17"/>
        <v>14699.9468</v>
      </c>
      <c r="X41" s="33">
        <f t="shared" si="18"/>
        <v>0</v>
      </c>
      <c r="Y41" s="33">
        <v>5000</v>
      </c>
      <c r="Z41" s="33">
        <f t="shared" si="19"/>
        <v>900</v>
      </c>
      <c r="AA41" s="33">
        <f t="shared" si="20"/>
        <v>62500</v>
      </c>
      <c r="AB41" s="33">
        <v>0</v>
      </c>
      <c r="AC41" s="33">
        <v>0</v>
      </c>
      <c r="AD41" s="33">
        <f t="shared" si="21"/>
        <v>83099.946800000005</v>
      </c>
      <c r="AE41" s="33">
        <f t="shared" si="22"/>
        <v>179399.10319999998</v>
      </c>
      <c r="AF41" s="33">
        <v>0</v>
      </c>
      <c r="AG41" s="33">
        <f t="shared" si="23"/>
        <v>179399</v>
      </c>
    </row>
    <row r="42" spans="1:33" x14ac:dyDescent="0.25">
      <c r="A42" s="33" t="s">
        <v>254</v>
      </c>
      <c r="B42" s="33" t="s">
        <v>255</v>
      </c>
      <c r="C42" s="33" t="s">
        <v>256</v>
      </c>
      <c r="D42" s="35">
        <v>24713</v>
      </c>
      <c r="E42" s="33" t="s">
        <v>51</v>
      </c>
      <c r="F42" s="33" t="s">
        <v>9</v>
      </c>
      <c r="G42" s="33" t="s">
        <v>11</v>
      </c>
      <c r="H42" s="33" t="s">
        <v>46</v>
      </c>
      <c r="I42" s="33">
        <f t="shared" ca="1" si="13"/>
        <v>52</v>
      </c>
      <c r="J42" s="33">
        <v>0</v>
      </c>
      <c r="K42" s="33">
        <v>1</v>
      </c>
      <c r="L42" s="33" t="str">
        <f t="shared" si="12"/>
        <v>Cadre</v>
      </c>
      <c r="M42" s="33">
        <f t="shared" si="14"/>
        <v>469897.63000000006</v>
      </c>
      <c r="N42" s="33">
        <v>0</v>
      </c>
      <c r="O42" s="33">
        <f>Heures_Supp_15(BASE_DONNEES_GP!M42,BASE_SALARIALE!G42)</f>
        <v>0</v>
      </c>
      <c r="P42" s="33">
        <f>Heures_Supp_40(BASE_DONNEES_GP!N42,BASE_SALARIALE!G42)</f>
        <v>0</v>
      </c>
      <c r="Q42" s="33">
        <f>Heures_Supp_60(BASE_DONNEES_GP!O42,BASE_SALARIALE!G42)</f>
        <v>0</v>
      </c>
      <c r="R42" s="33">
        <f>Heures_Supp_100(BASE_DONNEES_GP!P42,BASE_SALARIALE!G42)</f>
        <v>0</v>
      </c>
      <c r="S42" s="33">
        <v>0</v>
      </c>
      <c r="T42" s="33">
        <f t="shared" si="15"/>
        <v>469897.63000000006</v>
      </c>
      <c r="U42" s="33">
        <v>55000</v>
      </c>
      <c r="V42" s="33">
        <f t="shared" si="16"/>
        <v>524897.63000000012</v>
      </c>
      <c r="W42" s="33">
        <f t="shared" si="17"/>
        <v>20160</v>
      </c>
      <c r="X42" s="33">
        <f t="shared" si="18"/>
        <v>11277.543120000002</v>
      </c>
      <c r="Y42" s="33">
        <v>2500</v>
      </c>
      <c r="Z42" s="33">
        <f t="shared" si="19"/>
        <v>900</v>
      </c>
      <c r="AA42" s="33">
        <f t="shared" si="20"/>
        <v>105000</v>
      </c>
      <c r="AB42" s="33">
        <v>0</v>
      </c>
      <c r="AC42" s="33">
        <v>30000</v>
      </c>
      <c r="AD42" s="33">
        <f t="shared" si="21"/>
        <v>169837.54311999999</v>
      </c>
      <c r="AE42" s="33">
        <f t="shared" si="22"/>
        <v>355060.08688000013</v>
      </c>
      <c r="AF42" s="33">
        <v>0</v>
      </c>
      <c r="AG42" s="33">
        <f t="shared" si="23"/>
        <v>355060</v>
      </c>
    </row>
    <row r="43" spans="1:33" x14ac:dyDescent="0.25">
      <c r="A43" s="33" t="s">
        <v>257</v>
      </c>
      <c r="B43" s="33" t="s">
        <v>258</v>
      </c>
      <c r="C43" s="33" t="s">
        <v>259</v>
      </c>
      <c r="D43" s="35">
        <v>28234</v>
      </c>
      <c r="E43" s="33" t="s">
        <v>260</v>
      </c>
      <c r="F43" s="33" t="s">
        <v>9</v>
      </c>
      <c r="G43" s="33" t="s">
        <v>13</v>
      </c>
      <c r="H43" s="33" t="s">
        <v>10</v>
      </c>
      <c r="I43" s="33">
        <f t="shared" ca="1" si="13"/>
        <v>43</v>
      </c>
      <c r="J43" s="33">
        <v>2</v>
      </c>
      <c r="K43" s="33">
        <v>5</v>
      </c>
      <c r="L43" s="33" t="str">
        <f t="shared" si="12"/>
        <v>General</v>
      </c>
      <c r="M43" s="33">
        <f t="shared" si="14"/>
        <v>240062.05000000002</v>
      </c>
      <c r="N43" s="33">
        <v>0</v>
      </c>
      <c r="O43" s="33">
        <f>Heures_Supp_15(BASE_DONNEES_GP!M43,BASE_SALARIALE!G43)</f>
        <v>0</v>
      </c>
      <c r="P43" s="33">
        <f>Heures_Supp_40(BASE_DONNEES_GP!N43,BASE_SALARIALE!G43)</f>
        <v>0</v>
      </c>
      <c r="Q43" s="33">
        <f>Heures_Supp_60(BASE_DONNEES_GP!O43,BASE_SALARIALE!G43)</f>
        <v>0</v>
      </c>
      <c r="R43" s="33">
        <f>Heures_Supp_100(BASE_DONNEES_GP!P43,BASE_SALARIALE!G43)</f>
        <v>0</v>
      </c>
      <c r="S43" s="33">
        <v>0</v>
      </c>
      <c r="T43" s="33">
        <f t="shared" si="15"/>
        <v>240062.05000000002</v>
      </c>
      <c r="U43" s="33">
        <v>0</v>
      </c>
      <c r="V43" s="33">
        <f t="shared" si="16"/>
        <v>240062.05000000002</v>
      </c>
      <c r="W43" s="33">
        <f t="shared" si="17"/>
        <v>13443.474800000002</v>
      </c>
      <c r="X43" s="33">
        <f t="shared" si="18"/>
        <v>0</v>
      </c>
      <c r="Y43" s="33">
        <v>0</v>
      </c>
      <c r="Z43" s="33">
        <f t="shared" si="19"/>
        <v>2700</v>
      </c>
      <c r="AA43" s="33">
        <f t="shared" si="20"/>
        <v>12500</v>
      </c>
      <c r="AB43" s="33">
        <v>10000</v>
      </c>
      <c r="AC43" s="33">
        <v>0</v>
      </c>
      <c r="AD43" s="33">
        <f t="shared" si="21"/>
        <v>38643.474800000004</v>
      </c>
      <c r="AE43" s="33">
        <f t="shared" si="22"/>
        <v>201418.57520000002</v>
      </c>
      <c r="AF43" s="33">
        <v>0</v>
      </c>
      <c r="AG43" s="33">
        <f t="shared" si="23"/>
        <v>201419</v>
      </c>
    </row>
    <row r="44" spans="1:33" x14ac:dyDescent="0.25">
      <c r="A44" s="33" t="s">
        <v>261</v>
      </c>
      <c r="B44" s="33" t="s">
        <v>262</v>
      </c>
      <c r="C44" s="33" t="s">
        <v>263</v>
      </c>
      <c r="D44" s="35">
        <v>29024</v>
      </c>
      <c r="E44" s="33" t="s">
        <v>264</v>
      </c>
      <c r="F44" s="33" t="s">
        <v>9</v>
      </c>
      <c r="G44" s="33" t="s">
        <v>13</v>
      </c>
      <c r="H44" s="33" t="s">
        <v>10</v>
      </c>
      <c r="I44" s="33">
        <f t="shared" ca="1" si="13"/>
        <v>40</v>
      </c>
      <c r="J44" s="33">
        <v>1</v>
      </c>
      <c r="K44" s="33">
        <v>1</v>
      </c>
      <c r="L44" s="33" t="str">
        <f t="shared" si="12"/>
        <v>General</v>
      </c>
      <c r="M44" s="33">
        <f t="shared" si="14"/>
        <v>240062.05000000002</v>
      </c>
      <c r="N44" s="33">
        <v>0</v>
      </c>
      <c r="O44" s="33">
        <f>Heures_Supp_15(BASE_DONNEES_GP!M44,BASE_SALARIALE!G44)</f>
        <v>12741.999999999998</v>
      </c>
      <c r="P44" s="33">
        <f>Heures_Supp_40(BASE_DONNEES_GP!N44,BASE_SALARIALE!G44)</f>
        <v>9694.9999999999982</v>
      </c>
      <c r="Q44" s="33">
        <f>Heures_Supp_60(BASE_DONNEES_GP!O44,BASE_SALARIALE!G44)</f>
        <v>0</v>
      </c>
      <c r="R44" s="33">
        <f>Heures_Supp_100(BASE_DONNEES_GP!P44,BASE_SALARIALE!G44)</f>
        <v>8310</v>
      </c>
      <c r="S44" s="33">
        <v>0</v>
      </c>
      <c r="T44" s="33">
        <f t="shared" si="15"/>
        <v>270809.05</v>
      </c>
      <c r="U44" s="33">
        <v>0</v>
      </c>
      <c r="V44" s="33">
        <f t="shared" si="16"/>
        <v>270809.05</v>
      </c>
      <c r="W44" s="33">
        <f t="shared" si="17"/>
        <v>15165.3068</v>
      </c>
      <c r="X44" s="33">
        <f t="shared" si="18"/>
        <v>0</v>
      </c>
      <c r="Y44" s="33">
        <v>0</v>
      </c>
      <c r="Z44" s="33">
        <f t="shared" si="19"/>
        <v>1800</v>
      </c>
      <c r="AA44" s="33">
        <f t="shared" si="20"/>
        <v>45833.333333333336</v>
      </c>
      <c r="AB44" s="33">
        <v>0</v>
      </c>
      <c r="AC44" s="33">
        <v>0</v>
      </c>
      <c r="AD44" s="33">
        <f t="shared" si="21"/>
        <v>62798.640133333334</v>
      </c>
      <c r="AE44" s="33">
        <f t="shared" si="22"/>
        <v>208010.40986666665</v>
      </c>
      <c r="AF44" s="33">
        <v>20000</v>
      </c>
      <c r="AG44" s="33">
        <f t="shared" si="23"/>
        <v>228010</v>
      </c>
    </row>
    <row r="45" spans="1:33" x14ac:dyDescent="0.25">
      <c r="A45" s="33" t="s">
        <v>265</v>
      </c>
      <c r="B45" s="33" t="s">
        <v>266</v>
      </c>
      <c r="C45" s="33" t="s">
        <v>267</v>
      </c>
      <c r="D45" s="35">
        <v>27798</v>
      </c>
      <c r="E45" s="33" t="s">
        <v>227</v>
      </c>
      <c r="F45" s="33" t="s">
        <v>9</v>
      </c>
      <c r="G45" s="33" t="s">
        <v>12</v>
      </c>
      <c r="H45" s="33" t="s">
        <v>10</v>
      </c>
      <c r="I45" s="33">
        <f t="shared" ca="1" si="13"/>
        <v>44</v>
      </c>
      <c r="J45" s="33">
        <v>1</v>
      </c>
      <c r="K45" s="33">
        <v>1</v>
      </c>
      <c r="L45" s="33" t="str">
        <f t="shared" si="12"/>
        <v>General</v>
      </c>
      <c r="M45" s="33">
        <f t="shared" si="14"/>
        <v>350126.60000000003</v>
      </c>
      <c r="N45" s="33">
        <v>0</v>
      </c>
      <c r="O45" s="33">
        <f>Heures_Supp_15(BASE_DONNEES_GP!M45,BASE_SALARIALE!G45)</f>
        <v>0</v>
      </c>
      <c r="P45" s="33">
        <f>Heures_Supp_40(BASE_DONNEES_GP!N45,BASE_SALARIALE!G45)</f>
        <v>0</v>
      </c>
      <c r="Q45" s="33">
        <f>Heures_Supp_60(BASE_DONNEES_GP!O45,BASE_SALARIALE!G45)</f>
        <v>0</v>
      </c>
      <c r="R45" s="33">
        <f>Heures_Supp_100(BASE_DONNEES_GP!P45,BASE_SALARIALE!G45)</f>
        <v>8080</v>
      </c>
      <c r="S45" s="33">
        <v>8500</v>
      </c>
      <c r="T45" s="33">
        <f t="shared" si="15"/>
        <v>366706.60000000003</v>
      </c>
      <c r="U45" s="33">
        <v>0</v>
      </c>
      <c r="V45" s="33">
        <f t="shared" si="16"/>
        <v>366706.60000000003</v>
      </c>
      <c r="W45" s="33">
        <f t="shared" si="17"/>
        <v>20160</v>
      </c>
      <c r="X45" s="33">
        <f t="shared" si="18"/>
        <v>0</v>
      </c>
      <c r="Y45" s="33">
        <v>2500</v>
      </c>
      <c r="Z45" s="33">
        <f t="shared" si="19"/>
        <v>1800</v>
      </c>
      <c r="AA45" s="33">
        <f t="shared" si="20"/>
        <v>45833.333333333336</v>
      </c>
      <c r="AB45" s="33">
        <v>0</v>
      </c>
      <c r="AC45" s="33">
        <v>0</v>
      </c>
      <c r="AD45" s="33">
        <f t="shared" si="21"/>
        <v>70293.333333333343</v>
      </c>
      <c r="AE45" s="33">
        <f t="shared" si="22"/>
        <v>296413.26666666672</v>
      </c>
      <c r="AF45" s="33">
        <v>0</v>
      </c>
      <c r="AG45" s="33">
        <f t="shared" si="23"/>
        <v>296413</v>
      </c>
    </row>
    <row r="46" spans="1:33" x14ac:dyDescent="0.25">
      <c r="A46" s="33" t="s">
        <v>268</v>
      </c>
      <c r="B46" s="33" t="s">
        <v>269</v>
      </c>
      <c r="C46" s="33" t="s">
        <v>270</v>
      </c>
      <c r="D46" s="35">
        <v>30764</v>
      </c>
      <c r="E46" s="33" t="s">
        <v>271</v>
      </c>
      <c r="F46" s="33" t="s">
        <v>47</v>
      </c>
      <c r="G46" s="33" t="s">
        <v>12</v>
      </c>
      <c r="H46" s="33" t="s">
        <v>10</v>
      </c>
      <c r="I46" s="33">
        <f t="shared" ca="1" si="13"/>
        <v>36</v>
      </c>
      <c r="J46" s="33">
        <v>0</v>
      </c>
      <c r="K46" s="33">
        <v>2</v>
      </c>
      <c r="L46" s="33" t="str">
        <f t="shared" si="12"/>
        <v>General</v>
      </c>
      <c r="M46" s="33">
        <f t="shared" si="14"/>
        <v>350126.60000000003</v>
      </c>
      <c r="N46" s="33">
        <v>15000</v>
      </c>
      <c r="O46" s="33">
        <f>Heures_Supp_15(BASE_DONNEES_GP!M46,BASE_SALARIALE!G46)</f>
        <v>0</v>
      </c>
      <c r="P46" s="33">
        <f>Heures_Supp_40(BASE_DONNEES_GP!N46,BASE_SALARIALE!G46)</f>
        <v>0</v>
      </c>
      <c r="Q46" s="33">
        <f>Heures_Supp_60(BASE_DONNEES_GP!O46,BASE_SALARIALE!G46)</f>
        <v>0</v>
      </c>
      <c r="R46" s="33">
        <f>Heures_Supp_100(BASE_DONNEES_GP!P46,BASE_SALARIALE!G46)</f>
        <v>0</v>
      </c>
      <c r="S46" s="33">
        <v>0</v>
      </c>
      <c r="T46" s="33">
        <f t="shared" si="15"/>
        <v>365126.60000000003</v>
      </c>
      <c r="U46" s="33">
        <v>31500</v>
      </c>
      <c r="V46" s="33">
        <f t="shared" si="16"/>
        <v>396626.60000000003</v>
      </c>
      <c r="W46" s="33">
        <f t="shared" si="17"/>
        <v>20160</v>
      </c>
      <c r="X46" s="33">
        <f t="shared" si="18"/>
        <v>0</v>
      </c>
      <c r="Y46" s="33">
        <v>0</v>
      </c>
      <c r="Z46" s="33">
        <f t="shared" si="19"/>
        <v>900</v>
      </c>
      <c r="AA46" s="33">
        <f t="shared" si="20"/>
        <v>37500</v>
      </c>
      <c r="AB46" s="33">
        <v>0</v>
      </c>
      <c r="AC46" s="33">
        <v>0</v>
      </c>
      <c r="AD46" s="33">
        <f t="shared" si="21"/>
        <v>58560</v>
      </c>
      <c r="AE46" s="33">
        <f t="shared" si="22"/>
        <v>338066.60000000003</v>
      </c>
      <c r="AF46" s="33">
        <v>0</v>
      </c>
      <c r="AG46" s="33">
        <f t="shared" si="23"/>
        <v>338067</v>
      </c>
    </row>
    <row r="47" spans="1:33" x14ac:dyDescent="0.25">
      <c r="A47" s="33" t="s">
        <v>272</v>
      </c>
      <c r="B47" s="33" t="s">
        <v>273</v>
      </c>
      <c r="C47" s="33" t="s">
        <v>274</v>
      </c>
      <c r="D47" s="35">
        <v>31015</v>
      </c>
      <c r="E47" s="33" t="s">
        <v>167</v>
      </c>
      <c r="F47" s="33" t="s">
        <v>9</v>
      </c>
      <c r="G47" s="33" t="s">
        <v>12</v>
      </c>
      <c r="H47" s="33" t="s">
        <v>10</v>
      </c>
      <c r="I47" s="33">
        <f t="shared" ca="1" si="13"/>
        <v>35</v>
      </c>
      <c r="J47" s="33">
        <v>1</v>
      </c>
      <c r="K47" s="33">
        <v>1</v>
      </c>
      <c r="L47" s="33" t="str">
        <f t="shared" si="12"/>
        <v>General</v>
      </c>
      <c r="M47" s="33">
        <f t="shared" si="14"/>
        <v>350126.60000000003</v>
      </c>
      <c r="N47" s="33">
        <v>0</v>
      </c>
      <c r="O47" s="33">
        <f>Heures_Supp_15(BASE_DONNEES_GP!M47,BASE_SALARIALE!G47)</f>
        <v>18584</v>
      </c>
      <c r="P47" s="33">
        <f>Heures_Supp_40(BASE_DONNEES_GP!N47,BASE_SALARIALE!G47)</f>
        <v>14140</v>
      </c>
      <c r="Q47" s="33">
        <f>Heures_Supp_60(BASE_DONNEES_GP!O47,BASE_SALARIALE!G47)</f>
        <v>0</v>
      </c>
      <c r="R47" s="33">
        <f>Heures_Supp_100(BASE_DONNEES_GP!P47,BASE_SALARIALE!G47)</f>
        <v>16160</v>
      </c>
      <c r="S47" s="33">
        <v>0</v>
      </c>
      <c r="T47" s="33">
        <f t="shared" si="15"/>
        <v>399010.60000000003</v>
      </c>
      <c r="U47" s="33">
        <v>0</v>
      </c>
      <c r="V47" s="33">
        <f t="shared" si="16"/>
        <v>399010.60000000003</v>
      </c>
      <c r="W47" s="33">
        <f t="shared" si="17"/>
        <v>20160</v>
      </c>
      <c r="X47" s="33">
        <f t="shared" si="18"/>
        <v>0</v>
      </c>
      <c r="Y47" s="33">
        <v>0</v>
      </c>
      <c r="Z47" s="33">
        <f t="shared" si="19"/>
        <v>1800</v>
      </c>
      <c r="AA47" s="33">
        <f t="shared" si="20"/>
        <v>45833.333333333336</v>
      </c>
      <c r="AB47" s="33">
        <v>15000</v>
      </c>
      <c r="AC47" s="33">
        <v>0</v>
      </c>
      <c r="AD47" s="33">
        <f t="shared" si="21"/>
        <v>82793.333333333343</v>
      </c>
      <c r="AE47" s="33">
        <f t="shared" si="22"/>
        <v>316217.26666666672</v>
      </c>
      <c r="AF47" s="33">
        <v>0</v>
      </c>
      <c r="AG47" s="33">
        <f t="shared" si="23"/>
        <v>316217</v>
      </c>
    </row>
    <row r="48" spans="1:33" x14ac:dyDescent="0.25">
      <c r="A48" s="33" t="s">
        <v>275</v>
      </c>
      <c r="B48" s="33" t="s">
        <v>277</v>
      </c>
      <c r="C48" s="33" t="s">
        <v>276</v>
      </c>
      <c r="D48" s="35">
        <v>27960</v>
      </c>
      <c r="E48" s="33" t="s">
        <v>188</v>
      </c>
      <c r="F48" s="33" t="s">
        <v>9</v>
      </c>
      <c r="G48" s="33" t="s">
        <v>12</v>
      </c>
      <c r="H48" s="33" t="s">
        <v>10</v>
      </c>
      <c r="I48" s="33">
        <f t="shared" ca="1" si="13"/>
        <v>43</v>
      </c>
      <c r="J48" s="33">
        <v>2</v>
      </c>
      <c r="K48" s="33">
        <v>5</v>
      </c>
      <c r="L48" s="33" t="str">
        <f t="shared" si="12"/>
        <v>General</v>
      </c>
      <c r="M48" s="33">
        <f t="shared" si="14"/>
        <v>350126.60000000003</v>
      </c>
      <c r="N48" s="33">
        <v>0</v>
      </c>
      <c r="O48" s="33">
        <f>Heures_Supp_15(BASE_DONNEES_GP!M48,BASE_SALARIALE!G48)</f>
        <v>18584</v>
      </c>
      <c r="P48" s="33">
        <f>Heures_Supp_40(BASE_DONNEES_GP!N48,BASE_SALARIALE!G48)</f>
        <v>0</v>
      </c>
      <c r="Q48" s="33">
        <f>Heures_Supp_60(BASE_DONNEES_GP!O48,BASE_SALARIALE!G48)</f>
        <v>9696</v>
      </c>
      <c r="R48" s="33">
        <f>Heures_Supp_100(BASE_DONNEES_GP!P48,BASE_SALARIALE!G48)</f>
        <v>0</v>
      </c>
      <c r="S48" s="33">
        <v>0</v>
      </c>
      <c r="T48" s="33">
        <f t="shared" si="15"/>
        <v>378406.60000000003</v>
      </c>
      <c r="U48" s="33">
        <v>25000</v>
      </c>
      <c r="V48" s="33">
        <f t="shared" si="16"/>
        <v>403406.60000000003</v>
      </c>
      <c r="W48" s="33">
        <f t="shared" si="17"/>
        <v>20160</v>
      </c>
      <c r="X48" s="33">
        <f t="shared" si="18"/>
        <v>0</v>
      </c>
      <c r="Y48" s="33">
        <v>0</v>
      </c>
      <c r="Z48" s="33">
        <f t="shared" si="19"/>
        <v>2700</v>
      </c>
      <c r="AA48" s="33">
        <f t="shared" si="20"/>
        <v>12500</v>
      </c>
      <c r="AB48" s="33">
        <v>0</v>
      </c>
      <c r="AC48" s="33">
        <v>0</v>
      </c>
      <c r="AD48" s="33">
        <f t="shared" si="21"/>
        <v>35360</v>
      </c>
      <c r="AE48" s="33">
        <f t="shared" si="22"/>
        <v>368046.60000000003</v>
      </c>
      <c r="AF48" s="33">
        <v>0</v>
      </c>
      <c r="AG48" s="33">
        <f t="shared" si="23"/>
        <v>368047</v>
      </c>
    </row>
    <row r="49" spans="1:33" x14ac:dyDescent="0.25">
      <c r="A49" s="33" t="s">
        <v>278</v>
      </c>
      <c r="B49" s="33" t="s">
        <v>279</v>
      </c>
      <c r="C49" s="33" t="s">
        <v>276</v>
      </c>
      <c r="D49" s="35">
        <v>31196</v>
      </c>
      <c r="E49" s="33" t="s">
        <v>207</v>
      </c>
      <c r="F49" s="33" t="s">
        <v>47</v>
      </c>
      <c r="G49" s="33" t="s">
        <v>12</v>
      </c>
      <c r="H49" s="33" t="s">
        <v>10</v>
      </c>
      <c r="I49" s="33">
        <f t="shared" ca="1" si="13"/>
        <v>35</v>
      </c>
      <c r="J49" s="33">
        <v>0</v>
      </c>
      <c r="K49" s="33">
        <v>2</v>
      </c>
      <c r="L49" s="33" t="str">
        <f t="shared" si="12"/>
        <v>General</v>
      </c>
      <c r="M49" s="33">
        <f t="shared" si="14"/>
        <v>350126.60000000003</v>
      </c>
      <c r="N49" s="33">
        <v>9500</v>
      </c>
      <c r="O49" s="33">
        <f>Heures_Supp_15(BASE_DONNEES_GP!M49,BASE_SALARIALE!G49)</f>
        <v>0</v>
      </c>
      <c r="P49" s="33">
        <f>Heures_Supp_40(BASE_DONNEES_GP!N49,BASE_SALARIALE!G49)</f>
        <v>0</v>
      </c>
      <c r="Q49" s="33">
        <f>Heures_Supp_60(BASE_DONNEES_GP!O49,BASE_SALARIALE!G49)</f>
        <v>0</v>
      </c>
      <c r="R49" s="33">
        <f>Heures_Supp_100(BASE_DONNEES_GP!P49,BASE_SALARIALE!G49)</f>
        <v>0</v>
      </c>
      <c r="S49" s="33">
        <v>5000</v>
      </c>
      <c r="T49" s="33">
        <f t="shared" si="15"/>
        <v>364626.60000000003</v>
      </c>
      <c r="U49" s="33">
        <v>0</v>
      </c>
      <c r="V49" s="33">
        <f t="shared" si="16"/>
        <v>364626.60000000003</v>
      </c>
      <c r="W49" s="33">
        <f t="shared" si="17"/>
        <v>20160</v>
      </c>
      <c r="X49" s="33">
        <f t="shared" si="18"/>
        <v>0</v>
      </c>
      <c r="Y49" s="33">
        <v>3000</v>
      </c>
      <c r="Z49" s="33">
        <f t="shared" si="19"/>
        <v>900</v>
      </c>
      <c r="AA49" s="33">
        <f t="shared" si="20"/>
        <v>37500</v>
      </c>
      <c r="AB49" s="33">
        <v>14500</v>
      </c>
      <c r="AC49" s="33">
        <v>0</v>
      </c>
      <c r="AD49" s="33">
        <f t="shared" si="21"/>
        <v>76060</v>
      </c>
      <c r="AE49" s="33">
        <f t="shared" si="22"/>
        <v>288566.60000000003</v>
      </c>
      <c r="AF49" s="33">
        <v>25000</v>
      </c>
      <c r="AG49" s="33">
        <f t="shared" si="23"/>
        <v>313567</v>
      </c>
    </row>
    <row r="50" spans="1:33" x14ac:dyDescent="0.25">
      <c r="A50" s="33" t="s">
        <v>280</v>
      </c>
      <c r="B50" s="33" t="s">
        <v>281</v>
      </c>
      <c r="C50" s="33" t="s">
        <v>282</v>
      </c>
      <c r="D50" s="35">
        <v>31160</v>
      </c>
      <c r="E50" s="33" t="s">
        <v>51</v>
      </c>
      <c r="F50" s="33" t="s">
        <v>9</v>
      </c>
      <c r="G50" s="33" t="s">
        <v>12</v>
      </c>
      <c r="H50" s="33" t="s">
        <v>10</v>
      </c>
      <c r="I50" s="33">
        <f t="shared" ca="1" si="13"/>
        <v>35</v>
      </c>
      <c r="J50" s="33">
        <v>2</v>
      </c>
      <c r="K50" s="33">
        <v>5</v>
      </c>
      <c r="L50" s="33" t="str">
        <f t="shared" si="12"/>
        <v>General</v>
      </c>
      <c r="M50" s="33">
        <f t="shared" si="14"/>
        <v>350126.60000000003</v>
      </c>
      <c r="N50" s="33">
        <v>0</v>
      </c>
      <c r="O50" s="33">
        <f>Heures_Supp_15(BASE_DONNEES_GP!M50,BASE_SALARIALE!G50)</f>
        <v>18584</v>
      </c>
      <c r="P50" s="33">
        <f>Heures_Supp_40(BASE_DONNEES_GP!N50,BASE_SALARIALE!G50)</f>
        <v>0</v>
      </c>
      <c r="Q50" s="33">
        <f>Heures_Supp_60(BASE_DONNEES_GP!O50,BASE_SALARIALE!G50)</f>
        <v>0</v>
      </c>
      <c r="R50" s="33">
        <f>Heures_Supp_100(BASE_DONNEES_GP!P50,BASE_SALARIALE!G50)</f>
        <v>0</v>
      </c>
      <c r="S50" s="33">
        <v>0</v>
      </c>
      <c r="T50" s="33">
        <f t="shared" si="15"/>
        <v>368710.60000000003</v>
      </c>
      <c r="U50" s="33">
        <v>0</v>
      </c>
      <c r="V50" s="33">
        <f t="shared" si="16"/>
        <v>368710.60000000003</v>
      </c>
      <c r="W50" s="33">
        <f t="shared" si="17"/>
        <v>20160</v>
      </c>
      <c r="X50" s="33">
        <f t="shared" si="18"/>
        <v>0</v>
      </c>
      <c r="Y50" s="33">
        <v>0</v>
      </c>
      <c r="Z50" s="33">
        <f t="shared" si="19"/>
        <v>2700</v>
      </c>
      <c r="AA50" s="33">
        <f t="shared" si="20"/>
        <v>12500</v>
      </c>
      <c r="AB50" s="33">
        <v>0</v>
      </c>
      <c r="AC50" s="33">
        <v>0</v>
      </c>
      <c r="AD50" s="33">
        <f t="shared" si="21"/>
        <v>35360</v>
      </c>
      <c r="AE50" s="33">
        <f t="shared" si="22"/>
        <v>333350.60000000003</v>
      </c>
      <c r="AF50" s="33">
        <v>0</v>
      </c>
      <c r="AG50" s="33">
        <f t="shared" si="23"/>
        <v>333351</v>
      </c>
    </row>
    <row r="51" spans="1:33" x14ac:dyDescent="0.25">
      <c r="A51" s="33" t="s">
        <v>283</v>
      </c>
      <c r="B51" s="33" t="s">
        <v>284</v>
      </c>
      <c r="C51" s="33" t="s">
        <v>285</v>
      </c>
      <c r="D51" s="35">
        <v>29941</v>
      </c>
      <c r="E51" s="33" t="s">
        <v>186</v>
      </c>
      <c r="F51" s="33" t="s">
        <v>9</v>
      </c>
      <c r="G51" s="33" t="s">
        <v>12</v>
      </c>
      <c r="H51" s="33" t="s">
        <v>46</v>
      </c>
      <c r="I51" s="33">
        <f t="shared" ca="1" si="13"/>
        <v>38</v>
      </c>
      <c r="J51" s="33">
        <v>0</v>
      </c>
      <c r="K51" s="33">
        <v>0</v>
      </c>
      <c r="L51" s="33" t="str">
        <f t="shared" si="12"/>
        <v>General</v>
      </c>
      <c r="M51" s="33">
        <f t="shared" si="14"/>
        <v>350126.60000000003</v>
      </c>
      <c r="N51" s="33">
        <v>0</v>
      </c>
      <c r="O51" s="33">
        <f>Heures_Supp_15(BASE_DONNEES_GP!M51,BASE_SALARIALE!G51)</f>
        <v>18584</v>
      </c>
      <c r="P51" s="33">
        <f>Heures_Supp_40(BASE_DONNEES_GP!N51,BASE_SALARIALE!G51)</f>
        <v>5656</v>
      </c>
      <c r="Q51" s="33">
        <f>Heures_Supp_60(BASE_DONNEES_GP!O51,BASE_SALARIALE!G51)</f>
        <v>9696</v>
      </c>
      <c r="R51" s="33">
        <f>Heures_Supp_100(BASE_DONNEES_GP!P51,BASE_SALARIALE!G51)</f>
        <v>0</v>
      </c>
      <c r="S51" s="33">
        <v>7000</v>
      </c>
      <c r="T51" s="33">
        <f t="shared" si="15"/>
        <v>391062.60000000003</v>
      </c>
      <c r="U51" s="33">
        <v>0</v>
      </c>
      <c r="V51" s="33">
        <f t="shared" si="16"/>
        <v>391062.60000000003</v>
      </c>
      <c r="W51" s="33">
        <f t="shared" si="17"/>
        <v>20160</v>
      </c>
      <c r="X51" s="33">
        <f t="shared" si="18"/>
        <v>0</v>
      </c>
      <c r="Y51" s="33">
        <v>3000</v>
      </c>
      <c r="Z51" s="33">
        <f t="shared" si="19"/>
        <v>900</v>
      </c>
      <c r="AA51" s="33">
        <f t="shared" si="20"/>
        <v>62500</v>
      </c>
      <c r="AB51" s="33">
        <v>13500</v>
      </c>
      <c r="AC51" s="33">
        <v>0</v>
      </c>
      <c r="AD51" s="33">
        <f t="shared" si="21"/>
        <v>100060</v>
      </c>
      <c r="AE51" s="33">
        <f t="shared" si="22"/>
        <v>291002.60000000003</v>
      </c>
      <c r="AF51" s="33">
        <v>0</v>
      </c>
      <c r="AG51" s="33">
        <f t="shared" si="23"/>
        <v>291003</v>
      </c>
    </row>
  </sheetData>
  <conditionalFormatting sqref="I2:I1048576">
    <cfRule type="colorScale" priority="4">
      <colorScale>
        <cfvo type="min"/>
        <cfvo type="percentile" val="50"/>
        <cfvo type="max"/>
        <color rgb="FF00B050"/>
        <color rgb="FFFFFF00"/>
        <color rgb="FFFF0000"/>
      </colorScale>
    </cfRule>
  </conditionalFormatting>
  <conditionalFormatting sqref="L2:L1048576">
    <cfRule type="colorScale" priority="3">
      <colorScale>
        <cfvo type="formula" val="&quot;General&quot;"/>
        <cfvo type="formula" val="&quot;Cadre&quot;"/>
        <color theme="4"/>
        <color theme="9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{1EA1CB8F-83F9-4ECC-9B6E-3E1D0532F45F}</x14:id>
        </ext>
      </extLst>
    </cfRule>
  </conditionalFormatting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A1CB8F-83F9-4ECC-9B6E-3E1D0532F45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L2:L1048576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A0084-7A1D-4161-BC04-1F34A5F2D23A}">
  <sheetPr codeName="Feuil3"/>
  <dimension ref="A1:X51"/>
  <sheetViews>
    <sheetView topLeftCell="H1" workbookViewId="0">
      <selection activeCell="L52" sqref="L52"/>
    </sheetView>
  </sheetViews>
  <sheetFormatPr baseColWidth="10" defaultRowHeight="14.4" x14ac:dyDescent="0.3"/>
  <cols>
    <col min="1" max="1" width="21.6640625" customWidth="1"/>
    <col min="2" max="2" width="13.6640625" style="33" customWidth="1"/>
    <col min="3" max="3" width="14.6640625" style="33" customWidth="1"/>
    <col min="4" max="6" width="11.5546875" style="33"/>
    <col min="7" max="7" width="20.77734375" style="33" customWidth="1"/>
    <col min="8" max="8" width="11.5546875" style="33"/>
    <col min="9" max="9" width="16.5546875" style="33" customWidth="1"/>
    <col min="10" max="12" width="11.5546875" style="33"/>
    <col min="22" max="22" width="11.6640625" customWidth="1"/>
  </cols>
  <sheetData>
    <row r="1" spans="1:24" x14ac:dyDescent="0.3">
      <c r="A1" t="s">
        <v>19</v>
      </c>
      <c r="B1" s="34" t="s">
        <v>306</v>
      </c>
      <c r="C1" s="34" t="s">
        <v>300</v>
      </c>
      <c r="D1" s="34" t="s">
        <v>301</v>
      </c>
      <c r="E1" s="34" t="s">
        <v>7</v>
      </c>
      <c r="F1" s="34" t="s">
        <v>17</v>
      </c>
      <c r="G1" s="34" t="s">
        <v>302</v>
      </c>
      <c r="H1" s="34" t="s">
        <v>303</v>
      </c>
      <c r="I1" s="34" t="s">
        <v>8</v>
      </c>
      <c r="J1" s="34" t="s">
        <v>304</v>
      </c>
      <c r="K1" s="34" t="s">
        <v>6</v>
      </c>
      <c r="L1" s="34" t="s">
        <v>305</v>
      </c>
    </row>
    <row r="2" spans="1:24" x14ac:dyDescent="0.3">
      <c r="A2" t="str">
        <f>BASE_SALARIALE!B2 &amp; "  " &amp; BASE_SALARIALE!C2</f>
        <v>ADAMA  BA</v>
      </c>
      <c r="B2" s="33">
        <f>BASE_SALARIALE!T2</f>
        <v>366286.60000000003</v>
      </c>
      <c r="C2" s="33">
        <f>BASE_SALARIALE!W2</f>
        <v>20160</v>
      </c>
      <c r="D2" s="33">
        <f>BASE_SALARIALE!X2</f>
        <v>0</v>
      </c>
      <c r="E2" s="33">
        <f>BASE_SALARIALE!Y2</f>
        <v>4500</v>
      </c>
      <c r="F2" s="33">
        <f>BASE_SALARIALE!Z2</f>
        <v>1800</v>
      </c>
      <c r="G2" s="33">
        <f>BASE_SALARIALE!AA2</f>
        <v>29166.666666666668</v>
      </c>
      <c r="H2" s="33">
        <f>BASE_SALARIALE!AB2</f>
        <v>25000</v>
      </c>
      <c r="I2" s="33">
        <f>BASE_SALARIALE!AC2</f>
        <v>0</v>
      </c>
      <c r="J2" s="33">
        <f>BASE_SALARIALE!AD2</f>
        <v>80626.666666666672</v>
      </c>
      <c r="K2" s="33">
        <f>BASE_SALARIALE!AF2</f>
        <v>17500</v>
      </c>
      <c r="L2" s="33">
        <f>BASE_SALARIALE!AG2</f>
        <v>303160</v>
      </c>
    </row>
    <row r="3" spans="1:24" x14ac:dyDescent="0.3">
      <c r="A3" t="str">
        <f>BASE_SALARIALE!B3 &amp; "  " &amp; BASE_SALARIALE!C3</f>
        <v>ALEX  BAMPASSY</v>
      </c>
      <c r="B3" s="33">
        <f>BASE_SALARIALE!T3</f>
        <v>407142.60000000003</v>
      </c>
      <c r="C3" s="33">
        <f>BASE_SALARIALE!W3</f>
        <v>20160</v>
      </c>
      <c r="D3" s="33">
        <f>BASE_SALARIALE!X3</f>
        <v>0</v>
      </c>
      <c r="E3" s="33">
        <f>BASE_SALARIALE!Y3</f>
        <v>0</v>
      </c>
      <c r="F3" s="33">
        <f>BASE_SALARIALE!Z3</f>
        <v>900</v>
      </c>
      <c r="G3" s="33">
        <f>BASE_SALARIALE!AA3</f>
        <v>62500</v>
      </c>
      <c r="H3" s="33">
        <f>BASE_SALARIALE!AB3</f>
        <v>0</v>
      </c>
      <c r="I3" s="33">
        <f>BASE_SALARIALE!AC3</f>
        <v>0</v>
      </c>
      <c r="J3" s="33">
        <f>BASE_SALARIALE!AD3</f>
        <v>83560</v>
      </c>
      <c r="K3" s="33">
        <f>BASE_SALARIALE!AF3</f>
        <v>12500</v>
      </c>
      <c r="L3" s="33">
        <f>BASE_SALARIALE!AG3</f>
        <v>336083</v>
      </c>
    </row>
    <row r="4" spans="1:24" x14ac:dyDescent="0.3">
      <c r="A4" t="str">
        <f>BASE_SALARIALE!B4 &amp; "  " &amp; BASE_SALARIALE!C4</f>
        <v>ALA  BEYE</v>
      </c>
      <c r="B4" s="33">
        <f>BASE_SALARIALE!T4</f>
        <v>377598.60000000003</v>
      </c>
      <c r="C4" s="33">
        <f>BASE_SALARIALE!W4</f>
        <v>20160</v>
      </c>
      <c r="D4" s="33">
        <f>BASE_SALARIALE!X4</f>
        <v>0</v>
      </c>
      <c r="E4" s="33">
        <f>BASE_SALARIALE!Y4</f>
        <v>5000</v>
      </c>
      <c r="F4" s="33">
        <f>BASE_SALARIALE!Z4</f>
        <v>2700</v>
      </c>
      <c r="G4" s="33">
        <f>BASE_SALARIALE!AA4</f>
        <v>4166.666666666667</v>
      </c>
      <c r="H4" s="33">
        <f>BASE_SALARIALE!AB4</f>
        <v>0</v>
      </c>
      <c r="I4" s="33">
        <f>BASE_SALARIALE!AC4</f>
        <v>0</v>
      </c>
      <c r="J4" s="33">
        <f>BASE_SALARIALE!AD4</f>
        <v>32026.666666666668</v>
      </c>
      <c r="K4" s="33">
        <f>BASE_SALARIALE!AF4</f>
        <v>20000</v>
      </c>
      <c r="L4" s="33">
        <f>BASE_SALARIALE!AG4</f>
        <v>365572</v>
      </c>
    </row>
    <row r="5" spans="1:24" x14ac:dyDescent="0.3">
      <c r="A5" t="str">
        <f>BASE_SALARIALE!B5 &amp; "  " &amp; BASE_SALARIALE!C5</f>
        <v>MEDOUNE  BOYE</v>
      </c>
      <c r="B5" s="33">
        <f>BASE_SALARIALE!T5</f>
        <v>270560.05</v>
      </c>
      <c r="C5" s="33">
        <f>BASE_SALARIALE!W5</f>
        <v>15151.362799999999</v>
      </c>
      <c r="D5" s="33">
        <f>BASE_SALARIALE!X5</f>
        <v>0</v>
      </c>
      <c r="E5" s="33">
        <f>BASE_SALARIALE!Y5</f>
        <v>0</v>
      </c>
      <c r="F5" s="33">
        <f>BASE_SALARIALE!Z5</f>
        <v>1800</v>
      </c>
      <c r="G5" s="33">
        <f>BASE_SALARIALE!AA5</f>
        <v>45833.333333333336</v>
      </c>
      <c r="H5" s="33">
        <f>BASE_SALARIALE!AB5</f>
        <v>0</v>
      </c>
      <c r="I5" s="33">
        <f>BASE_SALARIALE!AC5</f>
        <v>0</v>
      </c>
      <c r="J5" s="33">
        <f>BASE_SALARIALE!AD5</f>
        <v>62784.696133333331</v>
      </c>
      <c r="K5" s="33">
        <f>BASE_SALARIALE!AF5</f>
        <v>0</v>
      </c>
      <c r="L5" s="33">
        <f>BASE_SALARIALE!AG5</f>
        <v>207775</v>
      </c>
      <c r="N5" t="s">
        <v>14</v>
      </c>
      <c r="O5" t="s">
        <v>15</v>
      </c>
      <c r="P5" t="s">
        <v>16</v>
      </c>
      <c r="Q5" t="s">
        <v>7</v>
      </c>
      <c r="R5" t="s">
        <v>65</v>
      </c>
      <c r="S5" t="s">
        <v>18</v>
      </c>
      <c r="T5" t="s">
        <v>63</v>
      </c>
      <c r="U5" t="s">
        <v>66</v>
      </c>
      <c r="V5" t="s">
        <v>64</v>
      </c>
      <c r="W5" t="s">
        <v>67</v>
      </c>
      <c r="X5" t="s">
        <v>68</v>
      </c>
    </row>
    <row r="6" spans="1:24" x14ac:dyDescent="0.3">
      <c r="A6" t="str">
        <f>BASE_SALARIALE!B6 &amp; "  " &amp; BASE_SALARIALE!C6</f>
        <v>LAHAT  CISSE</v>
      </c>
      <c r="B6" s="33">
        <f>BASE_SALARIALE!T6</f>
        <v>289964.05</v>
      </c>
      <c r="C6" s="33">
        <f>BASE_SALARIALE!W6</f>
        <v>16237.986800000001</v>
      </c>
      <c r="D6" s="33">
        <f>BASE_SALARIALE!X6</f>
        <v>0</v>
      </c>
      <c r="E6" s="33">
        <f>BASE_SALARIALE!Y6</f>
        <v>3500</v>
      </c>
      <c r="F6" s="33">
        <f>BASE_SALARIALE!Z6</f>
        <v>900</v>
      </c>
      <c r="G6" s="33">
        <f>BASE_SALARIALE!AA6</f>
        <v>54166.666666666664</v>
      </c>
      <c r="H6" s="33">
        <f>BASE_SALARIALE!AB6</f>
        <v>30000</v>
      </c>
      <c r="I6" s="33">
        <f>BASE_SALARIALE!AC6</f>
        <v>20000</v>
      </c>
      <c r="J6" s="33">
        <f>BASE_SALARIALE!AD6</f>
        <v>124804.65346666667</v>
      </c>
      <c r="K6" s="33">
        <f>BASE_SALARIALE!AF6</f>
        <v>0</v>
      </c>
      <c r="L6" s="33">
        <f>BASE_SALARIALE!AG6</f>
        <v>200159</v>
      </c>
      <c r="N6">
        <v>45692515.980000012</v>
      </c>
      <c r="O6">
        <v>919196.43200000003</v>
      </c>
      <c r="P6">
        <v>125204.97432000002</v>
      </c>
      <c r="Q6">
        <v>102500</v>
      </c>
      <c r="R6">
        <v>75600</v>
      </c>
      <c r="S6">
        <v>13124454.933333332</v>
      </c>
      <c r="T6">
        <v>13124454.933333332</v>
      </c>
      <c r="U6">
        <v>65000</v>
      </c>
      <c r="V6">
        <v>14674956.33965333</v>
      </c>
      <c r="W6">
        <v>202000</v>
      </c>
      <c r="X6">
        <v>31700559.640346676</v>
      </c>
    </row>
    <row r="7" spans="1:24" x14ac:dyDescent="0.3">
      <c r="A7" t="str">
        <f>BASE_SALARIALE!B7 &amp; "  " &amp; BASE_SALARIALE!C7</f>
        <v>FARY    DEME</v>
      </c>
      <c r="B7" s="33">
        <f>BASE_SALARIALE!T7</f>
        <v>240062.05000000002</v>
      </c>
      <c r="C7" s="33">
        <f>BASE_SALARIALE!W7</f>
        <v>13443.474800000002</v>
      </c>
      <c r="D7" s="33">
        <f>BASE_SALARIALE!X7</f>
        <v>0</v>
      </c>
      <c r="E7" s="33">
        <f>BASE_SALARIALE!Y7</f>
        <v>2500</v>
      </c>
      <c r="F7" s="33">
        <f>BASE_SALARIALE!Z7</f>
        <v>900</v>
      </c>
      <c r="G7" s="33">
        <f>BASE_SALARIALE!AA7</f>
        <v>62500</v>
      </c>
      <c r="H7" s="33">
        <f>BASE_SALARIALE!AB7</f>
        <v>0</v>
      </c>
      <c r="I7" s="33">
        <f>BASE_SALARIALE!AC7</f>
        <v>0</v>
      </c>
      <c r="J7" s="33">
        <f>BASE_SALARIALE!AD7</f>
        <v>79343.474799999996</v>
      </c>
      <c r="K7" s="33">
        <f>BASE_SALARIALE!AF7</f>
        <v>0</v>
      </c>
      <c r="L7" s="33">
        <f>BASE_SALARIALE!AG7</f>
        <v>160719</v>
      </c>
    </row>
    <row r="8" spans="1:24" x14ac:dyDescent="0.3">
      <c r="A8" t="str">
        <f>BASE_SALARIALE!B8 &amp; "  " &amp; BASE_SALARIALE!C8</f>
        <v>MBOMBE  DIAGNE</v>
      </c>
      <c r="B8" s="33">
        <f>BASE_SALARIALE!T8</f>
        <v>479897.63000000006</v>
      </c>
      <c r="C8" s="33">
        <f>BASE_SALARIALE!W8</f>
        <v>20160</v>
      </c>
      <c r="D8" s="33">
        <f>BASE_SALARIALE!X8</f>
        <v>11517.543120000002</v>
      </c>
      <c r="E8" s="33">
        <f>BASE_SALARIALE!Y8</f>
        <v>0</v>
      </c>
      <c r="F8" s="33">
        <f>BASE_SALARIALE!Z8</f>
        <v>900</v>
      </c>
      <c r="G8" s="33">
        <f>BASE_SALARIALE!AA8</f>
        <v>75000</v>
      </c>
      <c r="H8" s="33">
        <f>BASE_SALARIALE!AB8</f>
        <v>0</v>
      </c>
      <c r="I8" s="33">
        <f>BASE_SALARIALE!AC8</f>
        <v>0</v>
      </c>
      <c r="J8" s="33">
        <f>BASE_SALARIALE!AD8</f>
        <v>107577.54312</v>
      </c>
      <c r="K8" s="33">
        <f>BASE_SALARIALE!AF8</f>
        <v>0</v>
      </c>
      <c r="L8" s="33">
        <f>BASE_SALARIALE!AG8</f>
        <v>432320</v>
      </c>
    </row>
    <row r="9" spans="1:24" x14ac:dyDescent="0.3">
      <c r="A9" t="str">
        <f>BASE_SALARIALE!B9 &amp; "  " &amp; BASE_SALARIALE!C9</f>
        <v>YACINE  DIALLO</v>
      </c>
      <c r="B9" s="33">
        <f>BASE_SALARIALE!T9</f>
        <v>469897.63000000006</v>
      </c>
      <c r="C9" s="33">
        <f>BASE_SALARIALE!W9</f>
        <v>20160</v>
      </c>
      <c r="D9" s="33">
        <f>BASE_SALARIALE!X9</f>
        <v>11277.543120000002</v>
      </c>
      <c r="E9" s="33">
        <f>BASE_SALARIALE!Y9</f>
        <v>3000</v>
      </c>
      <c r="F9" s="33">
        <f>BASE_SALARIALE!Z9</f>
        <v>900</v>
      </c>
      <c r="G9" s="33">
        <f>BASE_SALARIALE!AA9</f>
        <v>116666.66666666667</v>
      </c>
      <c r="H9" s="33">
        <f>BASE_SALARIALE!AB9</f>
        <v>0</v>
      </c>
      <c r="I9" s="33">
        <f>BASE_SALARIALE!AC9</f>
        <v>0</v>
      </c>
      <c r="J9" s="33">
        <f>BASE_SALARIALE!AD9</f>
        <v>152004.20978666667</v>
      </c>
      <c r="K9" s="33">
        <f>BASE_SALARIALE!AF9</f>
        <v>0</v>
      </c>
      <c r="L9" s="33">
        <f>BASE_SALARIALE!AG9</f>
        <v>317893</v>
      </c>
    </row>
    <row r="10" spans="1:24" x14ac:dyDescent="0.3">
      <c r="A10" t="str">
        <f>BASE_SALARIALE!B10 &amp; "  " &amp; BASE_SALARIALE!C10</f>
        <v>ALIOUNE NDIAYE  DIALLO</v>
      </c>
      <c r="B10" s="33">
        <f>BASE_SALARIALE!T10</f>
        <v>469897.63000000006</v>
      </c>
      <c r="C10" s="33">
        <f>BASE_SALARIALE!W10</f>
        <v>20160</v>
      </c>
      <c r="D10" s="33">
        <f>BASE_SALARIALE!X10</f>
        <v>11277.543120000002</v>
      </c>
      <c r="E10" s="33">
        <f>BASE_SALARIALE!Y10</f>
        <v>3000</v>
      </c>
      <c r="F10" s="33">
        <f>BASE_SALARIALE!Z10</f>
        <v>3600</v>
      </c>
      <c r="G10" s="33">
        <f>BASE_SALARIALE!AA10</f>
        <v>50000</v>
      </c>
      <c r="H10" s="33">
        <f>BASE_SALARIALE!AB10</f>
        <v>55000</v>
      </c>
      <c r="I10" s="33">
        <f>BASE_SALARIALE!AC10</f>
        <v>0</v>
      </c>
      <c r="J10" s="33">
        <f>BASE_SALARIALE!AD10</f>
        <v>143037.54311999999</v>
      </c>
      <c r="K10" s="33">
        <f>BASE_SALARIALE!AF10</f>
        <v>0</v>
      </c>
      <c r="L10" s="33">
        <f>BASE_SALARIALE!AG10</f>
        <v>364360</v>
      </c>
    </row>
    <row r="11" spans="1:24" x14ac:dyDescent="0.3">
      <c r="A11" t="str">
        <f>BASE_SALARIALE!B11 &amp; "  " &amp; BASE_SALARIALE!C11</f>
        <v>KARIM ABDEL   DIAME</v>
      </c>
      <c r="B11" s="33">
        <f>BASE_SALARIALE!T11</f>
        <v>469897.63000000006</v>
      </c>
      <c r="C11" s="33">
        <f>BASE_SALARIALE!W11</f>
        <v>20160</v>
      </c>
      <c r="D11" s="33">
        <f>BASE_SALARIALE!X11</f>
        <v>11277.543120000002</v>
      </c>
      <c r="E11" s="33">
        <f>BASE_SALARIALE!Y11</f>
        <v>0</v>
      </c>
      <c r="F11" s="33">
        <f>BASE_SALARIALE!Z11</f>
        <v>900</v>
      </c>
      <c r="G11" s="33">
        <f>BASE_SALARIALE!AA11</f>
        <v>116666.66666666667</v>
      </c>
      <c r="H11" s="33">
        <f>BASE_SALARIALE!AB11</f>
        <v>0</v>
      </c>
      <c r="I11" s="33">
        <f>BASE_SALARIALE!AC11</f>
        <v>0</v>
      </c>
      <c r="J11" s="33">
        <f>BASE_SALARIALE!AD11</f>
        <v>149004.20978666667</v>
      </c>
      <c r="K11" s="33">
        <f>BASE_SALARIALE!AF11</f>
        <v>0</v>
      </c>
      <c r="L11" s="33">
        <f>BASE_SALARIALE!AG11</f>
        <v>370893</v>
      </c>
    </row>
    <row r="12" spans="1:24" x14ac:dyDescent="0.3">
      <c r="A12" t="str">
        <f>BASE_SALARIALE!B12 &amp; "  " &amp; BASE_SALARIALE!C12</f>
        <v>AISSATOU SECK  DIAO</v>
      </c>
      <c r="B12" s="33">
        <f>BASE_SALARIALE!T12</f>
        <v>386486.60000000003</v>
      </c>
      <c r="C12" s="33">
        <f>BASE_SALARIALE!W12</f>
        <v>20160</v>
      </c>
      <c r="D12" s="33">
        <f>BASE_SALARIALE!X12</f>
        <v>0</v>
      </c>
      <c r="E12" s="33">
        <f>BASE_SALARIALE!Y12</f>
        <v>3000</v>
      </c>
      <c r="F12" s="33">
        <f>BASE_SALARIALE!Z12</f>
        <v>900</v>
      </c>
      <c r="G12" s="33">
        <f>BASE_SALARIALE!AA12</f>
        <v>62500</v>
      </c>
      <c r="H12" s="33">
        <f>BASE_SALARIALE!AB12</f>
        <v>0</v>
      </c>
      <c r="I12" s="33">
        <f>BASE_SALARIALE!AC12</f>
        <v>0</v>
      </c>
      <c r="J12" s="33">
        <f>BASE_SALARIALE!AD12</f>
        <v>86560</v>
      </c>
      <c r="K12" s="33">
        <f>BASE_SALARIALE!AF12</f>
        <v>25000</v>
      </c>
      <c r="L12" s="33">
        <f>BASE_SALARIALE!AG12</f>
        <v>324927</v>
      </c>
    </row>
    <row r="13" spans="1:24" x14ac:dyDescent="0.3">
      <c r="A13" t="str">
        <f>BASE_SALARIALE!B13 &amp; "  " &amp; BASE_SALARIALE!C13</f>
        <v>LEON  DIATTA</v>
      </c>
      <c r="B13" s="33">
        <f>BASE_SALARIALE!T13</f>
        <v>356590.60000000003</v>
      </c>
      <c r="C13" s="33">
        <f>BASE_SALARIALE!W13</f>
        <v>19969.073600000003</v>
      </c>
      <c r="D13" s="33">
        <f>BASE_SALARIALE!X13</f>
        <v>0</v>
      </c>
      <c r="E13" s="33">
        <f>BASE_SALARIALE!Y13</f>
        <v>0</v>
      </c>
      <c r="F13" s="33">
        <f>BASE_SALARIALE!Z13</f>
        <v>900</v>
      </c>
      <c r="G13" s="33">
        <f>BASE_SALARIALE!AA13</f>
        <v>62500</v>
      </c>
      <c r="H13" s="33">
        <f>BASE_SALARIALE!AB13</f>
        <v>17500</v>
      </c>
      <c r="I13" s="33">
        <f>BASE_SALARIALE!AC13</f>
        <v>0</v>
      </c>
      <c r="J13" s="33">
        <f>BASE_SALARIALE!AD13</f>
        <v>100869.0736</v>
      </c>
      <c r="K13" s="33">
        <f>BASE_SALARIALE!AF13</f>
        <v>0</v>
      </c>
      <c r="L13" s="33">
        <f>BASE_SALARIALE!AG13</f>
        <v>255722</v>
      </c>
    </row>
    <row r="14" spans="1:24" x14ac:dyDescent="0.3">
      <c r="A14" t="str">
        <f>BASE_SALARIALE!B14 &amp; "  " &amp; BASE_SALARIALE!C14</f>
        <v>AWA  DIAW</v>
      </c>
      <c r="B14" s="33">
        <f>BASE_SALARIALE!T14</f>
        <v>404666.60000000003</v>
      </c>
      <c r="C14" s="33">
        <f>BASE_SALARIALE!W14</f>
        <v>20160</v>
      </c>
      <c r="D14" s="33">
        <f>BASE_SALARIALE!X14</f>
        <v>0</v>
      </c>
      <c r="E14" s="33">
        <f>BASE_SALARIALE!Y14</f>
        <v>3000</v>
      </c>
      <c r="F14" s="33">
        <f>BASE_SALARIALE!Z14</f>
        <v>900</v>
      </c>
      <c r="G14" s="33">
        <f>BASE_SALARIALE!AA14</f>
        <v>54166.666666666664</v>
      </c>
      <c r="H14" s="33">
        <f>BASE_SALARIALE!AB14</f>
        <v>0</v>
      </c>
      <c r="I14" s="33">
        <f>BASE_SALARIALE!AC14</f>
        <v>15000</v>
      </c>
      <c r="J14" s="33">
        <f>BASE_SALARIALE!AD14</f>
        <v>93226.666666666657</v>
      </c>
      <c r="K14" s="33">
        <f>BASE_SALARIALE!AF14</f>
        <v>17000</v>
      </c>
      <c r="L14" s="33">
        <f>BASE_SALARIALE!AG14</f>
        <v>328440</v>
      </c>
    </row>
    <row r="15" spans="1:24" x14ac:dyDescent="0.3">
      <c r="A15" t="str">
        <f>BASE_SALARIALE!B15 &amp; "  " &amp; BASE_SALARIALE!C15</f>
        <v>HABIB  DIOP</v>
      </c>
      <c r="B15" s="33">
        <f>BASE_SALARIALE!T15</f>
        <v>240062.05000000002</v>
      </c>
      <c r="C15" s="33">
        <f>BASE_SALARIALE!W15</f>
        <v>13443.474800000002</v>
      </c>
      <c r="D15" s="33">
        <f>BASE_SALARIALE!X15</f>
        <v>0</v>
      </c>
      <c r="E15" s="33">
        <f>BASE_SALARIALE!Y15</f>
        <v>2500</v>
      </c>
      <c r="F15" s="33">
        <f>BASE_SALARIALE!Z15</f>
        <v>900</v>
      </c>
      <c r="G15" s="33">
        <f>BASE_SALARIALE!AA15</f>
        <v>62500</v>
      </c>
      <c r="H15" s="33">
        <f>BASE_SALARIALE!AB15</f>
        <v>0</v>
      </c>
      <c r="I15" s="33">
        <f>BASE_SALARIALE!AC15</f>
        <v>0</v>
      </c>
      <c r="J15" s="33">
        <f>BASE_SALARIALE!AD15</f>
        <v>79343.474799999996</v>
      </c>
      <c r="K15" s="33">
        <f>BASE_SALARIALE!AF15</f>
        <v>0</v>
      </c>
      <c r="L15" s="33">
        <f>BASE_SALARIALE!AG15</f>
        <v>160719</v>
      </c>
    </row>
    <row r="16" spans="1:24" x14ac:dyDescent="0.3">
      <c r="A16" t="str">
        <f>BASE_SALARIALE!B16 &amp; "  " &amp; BASE_SALARIALE!C16</f>
        <v>BABACAR  DIOP</v>
      </c>
      <c r="B16" s="33">
        <f>BASE_SALARIALE!T16</f>
        <v>260837.05000000002</v>
      </c>
      <c r="C16" s="33">
        <f>BASE_SALARIALE!W16</f>
        <v>14606.874800000001</v>
      </c>
      <c r="D16" s="33">
        <f>BASE_SALARIALE!X16</f>
        <v>0</v>
      </c>
      <c r="E16" s="33">
        <f>BASE_SALARIALE!Y16</f>
        <v>0</v>
      </c>
      <c r="F16" s="33">
        <f>BASE_SALARIALE!Z16</f>
        <v>900</v>
      </c>
      <c r="G16" s="33">
        <f>BASE_SALARIALE!AA16</f>
        <v>62500</v>
      </c>
      <c r="H16" s="33">
        <f>BASE_SALARIALE!AB16</f>
        <v>0</v>
      </c>
      <c r="I16" s="33">
        <f>BASE_SALARIALE!AC16</f>
        <v>0</v>
      </c>
      <c r="J16" s="33">
        <f>BASE_SALARIALE!AD16</f>
        <v>78006.874800000005</v>
      </c>
      <c r="K16" s="33">
        <f>BASE_SALARIALE!AF16</f>
        <v>0</v>
      </c>
      <c r="L16" s="33">
        <f>BASE_SALARIALE!AG16</f>
        <v>182830</v>
      </c>
    </row>
    <row r="17" spans="1:12" x14ac:dyDescent="0.3">
      <c r="A17" t="str">
        <f>BASE_SALARIALE!B17 &amp; "  " &amp; BASE_SALARIALE!C17</f>
        <v>MODOU  DIOUF</v>
      </c>
      <c r="B17" s="33">
        <f>BASE_SALARIALE!T17</f>
        <v>27952804.050000001</v>
      </c>
      <c r="C17" s="33">
        <f>BASE_SALARIALE!W17</f>
        <v>20160</v>
      </c>
      <c r="D17" s="33">
        <f>BASE_SALARIALE!X17</f>
        <v>0</v>
      </c>
      <c r="E17" s="33">
        <f>BASE_SALARIALE!Y17</f>
        <v>0</v>
      </c>
      <c r="F17" s="33">
        <f>BASE_SALARIALE!Z17</f>
        <v>0</v>
      </c>
      <c r="G17" s="33">
        <f>BASE_SALARIALE!AA17</f>
        <v>10531954.933333334</v>
      </c>
      <c r="H17" s="33">
        <f>BASE_SALARIALE!AB17</f>
        <v>0</v>
      </c>
      <c r="I17" s="33">
        <f>BASE_SALARIALE!AC17</f>
        <v>0</v>
      </c>
      <c r="J17" s="33">
        <f>BASE_SALARIALE!AD17</f>
        <v>10552114.933333334</v>
      </c>
      <c r="K17" s="33">
        <f>BASE_SALARIALE!AF17</f>
        <v>0</v>
      </c>
      <c r="L17" s="33">
        <f>BASE_SALARIALE!AG17</f>
        <v>17400689</v>
      </c>
    </row>
    <row r="18" spans="1:12" x14ac:dyDescent="0.3">
      <c r="A18" t="str">
        <f>BASE_SALARIALE!B18 &amp; "  " &amp; BASE_SALARIALE!C18</f>
        <v>HENRY  DIOUF</v>
      </c>
      <c r="B18" s="33">
        <f>BASE_SALARIALE!T18</f>
        <v>255020.05000000002</v>
      </c>
      <c r="C18" s="33">
        <f>BASE_SALARIALE!W18</f>
        <v>14281.122800000001</v>
      </c>
      <c r="D18" s="33">
        <f>BASE_SALARIALE!X18</f>
        <v>0</v>
      </c>
      <c r="E18" s="33">
        <f>BASE_SALARIALE!Y18</f>
        <v>0</v>
      </c>
      <c r="F18" s="33">
        <f>BASE_SALARIALE!Z18</f>
        <v>1800</v>
      </c>
      <c r="G18" s="33">
        <f>BASE_SALARIALE!AA18</f>
        <v>29166.666666666668</v>
      </c>
      <c r="H18" s="33">
        <f>BASE_SALARIALE!AB18</f>
        <v>20000</v>
      </c>
      <c r="I18" s="33">
        <f>BASE_SALARIALE!AC18</f>
        <v>0</v>
      </c>
      <c r="J18" s="33">
        <f>BASE_SALARIALE!AD18</f>
        <v>65247.789466666669</v>
      </c>
      <c r="K18" s="33">
        <f>BASE_SALARIALE!AF18</f>
        <v>0</v>
      </c>
      <c r="L18" s="33">
        <f>BASE_SALARIALE!AG18</f>
        <v>189772</v>
      </c>
    </row>
    <row r="19" spans="1:12" x14ac:dyDescent="0.3">
      <c r="A19" t="str">
        <f>BASE_SALARIALE!B19 &amp; "  " &amp; BASE_SALARIALE!C19</f>
        <v>ASSANE  DIOUM</v>
      </c>
      <c r="B19" s="33">
        <f>BASE_SALARIALE!T19</f>
        <v>479897.63000000006</v>
      </c>
      <c r="C19" s="33">
        <f>BASE_SALARIALE!W19</f>
        <v>20160</v>
      </c>
      <c r="D19" s="33">
        <f>BASE_SALARIALE!X19</f>
        <v>11517.543120000002</v>
      </c>
      <c r="E19" s="33">
        <f>BASE_SALARIALE!Y19</f>
        <v>15000</v>
      </c>
      <c r="F19" s="33">
        <f>BASE_SALARIALE!Z19</f>
        <v>2700</v>
      </c>
      <c r="G19" s="33">
        <f>BASE_SALARIALE!AA19</f>
        <v>50000</v>
      </c>
      <c r="H19" s="33">
        <f>BASE_SALARIALE!AB19</f>
        <v>0</v>
      </c>
      <c r="I19" s="33">
        <f>BASE_SALARIALE!AC19</f>
        <v>0</v>
      </c>
      <c r="J19" s="33">
        <f>BASE_SALARIALE!AD19</f>
        <v>99377.543120000002</v>
      </c>
      <c r="K19" s="33">
        <f>BASE_SALARIALE!AF19</f>
        <v>0</v>
      </c>
      <c r="L19" s="33">
        <f>BASE_SALARIALE!AG19</f>
        <v>445520</v>
      </c>
    </row>
    <row r="20" spans="1:12" x14ac:dyDescent="0.3">
      <c r="A20" t="str">
        <f>BASE_SALARIALE!B20 &amp; "  " &amp; BASE_SALARIALE!C20</f>
        <v>SENGANE  FALL</v>
      </c>
      <c r="B20" s="33">
        <f>BASE_SALARIALE!T20</f>
        <v>262222.05000000005</v>
      </c>
      <c r="C20" s="33">
        <f>BASE_SALARIALE!W20</f>
        <v>14684.434800000003</v>
      </c>
      <c r="D20" s="33">
        <f>BASE_SALARIALE!X20</f>
        <v>0</v>
      </c>
      <c r="E20" s="33">
        <f>BASE_SALARIALE!Y20</f>
        <v>3000</v>
      </c>
      <c r="F20" s="33">
        <f>BASE_SALARIALE!Z20</f>
        <v>1800</v>
      </c>
      <c r="G20" s="33">
        <f>BASE_SALARIALE!AA20</f>
        <v>45833.333333333336</v>
      </c>
      <c r="H20" s="33">
        <f>BASE_SALARIALE!AB20</f>
        <v>0</v>
      </c>
      <c r="I20" s="33">
        <f>BASE_SALARIALE!AC20</f>
        <v>0</v>
      </c>
      <c r="J20" s="33">
        <f>BASE_SALARIALE!AD20</f>
        <v>65317.768133333338</v>
      </c>
      <c r="K20" s="33">
        <f>BASE_SALARIALE!AF20</f>
        <v>0</v>
      </c>
      <c r="L20" s="33">
        <f>BASE_SALARIALE!AG20</f>
        <v>196904</v>
      </c>
    </row>
    <row r="21" spans="1:12" x14ac:dyDescent="0.3">
      <c r="A21" t="str">
        <f>BASE_SALARIALE!B21 &amp; "  " &amp; BASE_SALARIALE!C21</f>
        <v>LAMINE  FALL</v>
      </c>
      <c r="B21" s="33">
        <f>BASE_SALARIALE!T21</f>
        <v>390694.60000000003</v>
      </c>
      <c r="C21" s="33">
        <f>BASE_SALARIALE!W21</f>
        <v>20160</v>
      </c>
      <c r="D21" s="33">
        <f>BASE_SALARIALE!X21</f>
        <v>0</v>
      </c>
      <c r="E21" s="33">
        <f>BASE_SALARIALE!Y21</f>
        <v>2500</v>
      </c>
      <c r="F21" s="33">
        <f>BASE_SALARIALE!Z21</f>
        <v>1800</v>
      </c>
      <c r="G21" s="33">
        <f>BASE_SALARIALE!AA21</f>
        <v>29166.666666666668</v>
      </c>
      <c r="H21" s="33">
        <f>BASE_SALARIALE!AB21</f>
        <v>0</v>
      </c>
      <c r="I21" s="33">
        <f>BASE_SALARIALE!AC21</f>
        <v>0</v>
      </c>
      <c r="J21" s="33">
        <f>BASE_SALARIALE!AD21</f>
        <v>53626.666666666672</v>
      </c>
      <c r="K21" s="33">
        <f>BASE_SALARIALE!AF21</f>
        <v>0</v>
      </c>
      <c r="L21" s="33">
        <f>BASE_SALARIALE!AG21</f>
        <v>337068</v>
      </c>
    </row>
    <row r="22" spans="1:12" x14ac:dyDescent="0.3">
      <c r="A22" t="str">
        <f>BASE_SALARIALE!B22 &amp; "  " &amp; BASE_SALARIALE!C22</f>
        <v>%OUHAMED  FAYE</v>
      </c>
      <c r="B22" s="33">
        <f>BASE_SALARIALE!T22</f>
        <v>417190.60000000003</v>
      </c>
      <c r="C22" s="33">
        <f>BASE_SALARIALE!W22</f>
        <v>20160</v>
      </c>
      <c r="D22" s="33">
        <f>BASE_SALARIALE!X22</f>
        <v>0</v>
      </c>
      <c r="E22" s="33">
        <f>BASE_SALARIALE!Y22</f>
        <v>0</v>
      </c>
      <c r="F22" s="33">
        <f>BASE_SALARIALE!Z22</f>
        <v>2700</v>
      </c>
      <c r="G22" s="33">
        <f>BASE_SALARIALE!AA22</f>
        <v>75000</v>
      </c>
      <c r="H22" s="33">
        <f>BASE_SALARIALE!AB22</f>
        <v>0</v>
      </c>
      <c r="I22" s="33">
        <f>BASE_SALARIALE!AC22</f>
        <v>0</v>
      </c>
      <c r="J22" s="33">
        <f>BASE_SALARIALE!AD22</f>
        <v>97860</v>
      </c>
      <c r="K22" s="33">
        <f>BASE_SALARIALE!AF22</f>
        <v>20000</v>
      </c>
      <c r="L22" s="33">
        <f>BASE_SALARIALE!AG22</f>
        <v>339331</v>
      </c>
    </row>
    <row r="23" spans="1:12" x14ac:dyDescent="0.3">
      <c r="A23" t="str">
        <f>BASE_SALARIALE!B23 &amp; "  " &amp; BASE_SALARIALE!C23</f>
        <v>NDIAYA  FAYE</v>
      </c>
      <c r="B23" s="33">
        <f>BASE_SALARIALE!T23</f>
        <v>360126.60000000003</v>
      </c>
      <c r="C23" s="33">
        <f>BASE_SALARIALE!W23</f>
        <v>20160</v>
      </c>
      <c r="D23" s="33">
        <f>BASE_SALARIALE!X23</f>
        <v>0</v>
      </c>
      <c r="E23" s="33">
        <f>BASE_SALARIALE!Y23</f>
        <v>0</v>
      </c>
      <c r="F23" s="33">
        <f>BASE_SALARIALE!Z23</f>
        <v>900</v>
      </c>
      <c r="G23" s="33">
        <f>BASE_SALARIALE!AA23</f>
        <v>29166.666666666668</v>
      </c>
      <c r="H23" s="33">
        <f>BASE_SALARIALE!AB23</f>
        <v>0</v>
      </c>
      <c r="I23" s="33">
        <f>BASE_SALARIALE!AC23</f>
        <v>0</v>
      </c>
      <c r="J23" s="33">
        <f>BASE_SALARIALE!AD23</f>
        <v>50226.666666666672</v>
      </c>
      <c r="K23" s="33">
        <f>BASE_SALARIALE!AF23</f>
        <v>0</v>
      </c>
      <c r="L23" s="33">
        <f>BASE_SALARIALE!AG23</f>
        <v>309900</v>
      </c>
    </row>
    <row r="24" spans="1:12" x14ac:dyDescent="0.3">
      <c r="A24" t="str">
        <f>BASE_SALARIALE!B24 &amp; "  " &amp; BASE_SALARIALE!C24</f>
        <v>DAME  GNING</v>
      </c>
      <c r="B24" s="33">
        <f>BASE_SALARIALE!T24</f>
        <v>263330.05000000005</v>
      </c>
      <c r="C24" s="33">
        <f>BASE_SALARIALE!W24</f>
        <v>14746.482800000003</v>
      </c>
      <c r="D24" s="33">
        <f>BASE_SALARIALE!X24</f>
        <v>0</v>
      </c>
      <c r="E24" s="33">
        <f>BASE_SALARIALE!Y24</f>
        <v>0</v>
      </c>
      <c r="F24" s="33">
        <f>BASE_SALARIALE!Z24</f>
        <v>2700</v>
      </c>
      <c r="G24" s="33">
        <f>BASE_SALARIALE!AA24</f>
        <v>12500</v>
      </c>
      <c r="H24" s="33">
        <f>BASE_SALARIALE!AB24</f>
        <v>0</v>
      </c>
      <c r="I24" s="33">
        <f>BASE_SALARIALE!AC24</f>
        <v>0</v>
      </c>
      <c r="J24" s="33">
        <f>BASE_SALARIALE!AD24</f>
        <v>29946.482800000005</v>
      </c>
      <c r="K24" s="33">
        <f>BASE_SALARIALE!AF24</f>
        <v>0</v>
      </c>
      <c r="L24" s="33">
        <f>BASE_SALARIALE!AG24</f>
        <v>283384</v>
      </c>
    </row>
    <row r="25" spans="1:12" x14ac:dyDescent="0.3">
      <c r="A25" t="str">
        <f>BASE_SALARIALE!B25 &amp; "  " &amp; BASE_SALARIALE!C25</f>
        <v>BOUBA  GUEYE</v>
      </c>
      <c r="B25" s="33">
        <f>BASE_SALARIALE!T25</f>
        <v>276931.05</v>
      </c>
      <c r="C25" s="33">
        <f>BASE_SALARIALE!W25</f>
        <v>15508.138799999999</v>
      </c>
      <c r="D25" s="33">
        <f>BASE_SALARIALE!X25</f>
        <v>0</v>
      </c>
      <c r="E25" s="33">
        <f>BASE_SALARIALE!Y25</f>
        <v>2500</v>
      </c>
      <c r="F25" s="33">
        <f>BASE_SALARIALE!Z25</f>
        <v>1800</v>
      </c>
      <c r="G25" s="33">
        <f>BASE_SALARIALE!AA25</f>
        <v>54166.666666666664</v>
      </c>
      <c r="H25" s="33">
        <f>BASE_SALARIALE!AB25</f>
        <v>0</v>
      </c>
      <c r="I25" s="33">
        <f>BASE_SALARIALE!AC25</f>
        <v>0</v>
      </c>
      <c r="J25" s="33">
        <f>BASE_SALARIALE!AD25</f>
        <v>73974.805466666658</v>
      </c>
      <c r="K25" s="33">
        <f>BASE_SALARIALE!AF25</f>
        <v>0</v>
      </c>
      <c r="L25" s="33">
        <f>BASE_SALARIALE!AG25</f>
        <v>202956</v>
      </c>
    </row>
    <row r="26" spans="1:12" x14ac:dyDescent="0.3">
      <c r="A26" t="str">
        <f>BASE_SALARIALE!B26 &amp; "  " &amp; BASE_SALARIALE!C26</f>
        <v>KINE  GUEYE</v>
      </c>
      <c r="B26" s="33">
        <f>BASE_SALARIALE!T26</f>
        <v>253912.05000000002</v>
      </c>
      <c r="C26" s="33">
        <f>BASE_SALARIALE!W26</f>
        <v>14219.074800000002</v>
      </c>
      <c r="D26" s="33">
        <f>BASE_SALARIALE!X26</f>
        <v>0</v>
      </c>
      <c r="E26" s="33">
        <f>BASE_SALARIALE!Y26</f>
        <v>3000</v>
      </c>
      <c r="F26" s="33">
        <f>BASE_SALARIALE!Z26</f>
        <v>900</v>
      </c>
      <c r="G26" s="33">
        <f>BASE_SALARIALE!AA26</f>
        <v>62500</v>
      </c>
      <c r="H26" s="33">
        <f>BASE_SALARIALE!AB26</f>
        <v>30000</v>
      </c>
      <c r="I26" s="33">
        <f>BASE_SALARIALE!AC26</f>
        <v>0</v>
      </c>
      <c r="J26" s="33">
        <f>BASE_SALARIALE!AD26</f>
        <v>110619.0748</v>
      </c>
      <c r="K26" s="33">
        <f>BASE_SALARIALE!AF26</f>
        <v>0</v>
      </c>
      <c r="L26" s="33">
        <f>BASE_SALARIALE!AG26</f>
        <v>143293</v>
      </c>
    </row>
    <row r="27" spans="1:12" x14ac:dyDescent="0.3">
      <c r="A27" t="str">
        <f>BASE_SALARIALE!B27 &amp; "  " &amp; BASE_SALARIALE!C27</f>
        <v>MADIOP  KANDJ</v>
      </c>
      <c r="B27" s="33">
        <f>BASE_SALARIALE!T27</f>
        <v>303030.05</v>
      </c>
      <c r="C27" s="33">
        <f>BASE_SALARIALE!W27</f>
        <v>16969.682799999999</v>
      </c>
      <c r="D27" s="33">
        <f>BASE_SALARIALE!X27</f>
        <v>0</v>
      </c>
      <c r="E27" s="33">
        <f>BASE_SALARIALE!Y27</f>
        <v>0</v>
      </c>
      <c r="F27" s="33">
        <f>BASE_SALARIALE!Z27</f>
        <v>900</v>
      </c>
      <c r="G27" s="33">
        <f>BASE_SALARIALE!AA27</f>
        <v>62500</v>
      </c>
      <c r="H27" s="33">
        <f>BASE_SALARIALE!AB27</f>
        <v>0</v>
      </c>
      <c r="I27" s="33">
        <f>BASE_SALARIALE!AC27</f>
        <v>0</v>
      </c>
      <c r="J27" s="33">
        <f>BASE_SALARIALE!AD27</f>
        <v>80369.682799999995</v>
      </c>
      <c r="K27" s="33">
        <f>BASE_SALARIALE!AF27</f>
        <v>0</v>
      </c>
      <c r="L27" s="33">
        <f>BASE_SALARIALE!AG27</f>
        <v>222660</v>
      </c>
    </row>
    <row r="28" spans="1:12" x14ac:dyDescent="0.3">
      <c r="A28" t="str">
        <f>BASE_SALARIALE!B28 &amp; "  " &amp; BASE_SALARIALE!C28</f>
        <v>MODOU  KARE</v>
      </c>
      <c r="B28" s="33">
        <f>BASE_SALARIALE!T28</f>
        <v>469897.63000000006</v>
      </c>
      <c r="C28" s="33">
        <f>BASE_SALARIALE!W28</f>
        <v>20160</v>
      </c>
      <c r="D28" s="33">
        <f>BASE_SALARIALE!X28</f>
        <v>11277.543120000002</v>
      </c>
      <c r="E28" s="33">
        <f>BASE_SALARIALE!Y28</f>
        <v>3000</v>
      </c>
      <c r="F28" s="33">
        <f>BASE_SALARIALE!Z28</f>
        <v>900</v>
      </c>
      <c r="G28" s="33">
        <f>BASE_SALARIALE!AA28</f>
        <v>116666.66666666667</v>
      </c>
      <c r="H28" s="33">
        <f>BASE_SALARIALE!AB28</f>
        <v>0</v>
      </c>
      <c r="I28" s="33">
        <f>BASE_SALARIALE!AC28</f>
        <v>0</v>
      </c>
      <c r="J28" s="33">
        <f>BASE_SALARIALE!AD28</f>
        <v>152004.20978666667</v>
      </c>
      <c r="K28" s="33">
        <f>BASE_SALARIALE!AF28</f>
        <v>0</v>
      </c>
      <c r="L28" s="33">
        <f>BASE_SALARIALE!AG28</f>
        <v>332893</v>
      </c>
    </row>
    <row r="29" spans="1:12" x14ac:dyDescent="0.3">
      <c r="A29" t="str">
        <f>BASE_SALARIALE!B29 &amp; "  " &amp; BASE_SALARIALE!C29</f>
        <v>THOMAS  KEBE</v>
      </c>
      <c r="B29" s="33">
        <f>BASE_SALARIALE!T29</f>
        <v>394566.60000000003</v>
      </c>
      <c r="C29" s="33">
        <f>BASE_SALARIALE!W29</f>
        <v>20160</v>
      </c>
      <c r="D29" s="33">
        <f>BASE_SALARIALE!X29</f>
        <v>0</v>
      </c>
      <c r="E29" s="33">
        <f>BASE_SALARIALE!Y29</f>
        <v>2500</v>
      </c>
      <c r="F29" s="33">
        <f>BASE_SALARIALE!Z29</f>
        <v>900</v>
      </c>
      <c r="G29" s="33">
        <f>BASE_SALARIALE!AA29</f>
        <v>62500</v>
      </c>
      <c r="H29" s="33">
        <f>BASE_SALARIALE!AB29</f>
        <v>0</v>
      </c>
      <c r="I29" s="33">
        <f>BASE_SALARIALE!AC29</f>
        <v>0</v>
      </c>
      <c r="J29" s="33">
        <f>BASE_SALARIALE!AD29</f>
        <v>86060</v>
      </c>
      <c r="K29" s="33">
        <f>BASE_SALARIALE!AF29</f>
        <v>0</v>
      </c>
      <c r="L29" s="33">
        <f>BASE_SALARIALE!AG29</f>
        <v>308507</v>
      </c>
    </row>
    <row r="30" spans="1:12" x14ac:dyDescent="0.3">
      <c r="A30" t="str">
        <f>BASE_SALARIALE!B30 &amp; "  " &amp; BASE_SALARIALE!C30</f>
        <v>AMY  LAM</v>
      </c>
      <c r="B30" s="33">
        <f>BASE_SALARIALE!T30</f>
        <v>479897.63000000006</v>
      </c>
      <c r="C30" s="33">
        <f>BASE_SALARIALE!W30</f>
        <v>20160</v>
      </c>
      <c r="D30" s="33">
        <f>BASE_SALARIALE!X30</f>
        <v>11517.543120000002</v>
      </c>
      <c r="E30" s="33">
        <f>BASE_SALARIALE!Y30</f>
        <v>0</v>
      </c>
      <c r="F30" s="33">
        <f>BASE_SALARIALE!Z30</f>
        <v>900</v>
      </c>
      <c r="G30" s="33">
        <f>BASE_SALARIALE!AA30</f>
        <v>91666.666666666672</v>
      </c>
      <c r="H30" s="33">
        <f>BASE_SALARIALE!AB30</f>
        <v>0</v>
      </c>
      <c r="I30" s="33">
        <f>BASE_SALARIALE!AC30</f>
        <v>0</v>
      </c>
      <c r="J30" s="33">
        <f>BASE_SALARIALE!AD30</f>
        <v>124244.20978666667</v>
      </c>
      <c r="K30" s="33">
        <f>BASE_SALARIALE!AF30</f>
        <v>0</v>
      </c>
      <c r="L30" s="33">
        <f>BASE_SALARIALE!AG30</f>
        <v>373153</v>
      </c>
    </row>
    <row r="31" spans="1:12" x14ac:dyDescent="0.3">
      <c r="A31" t="str">
        <f>BASE_SALARIALE!B31 &amp; "  " &amp; BASE_SALARIALE!C31</f>
        <v>MOUSTAPHA DIOP  LO</v>
      </c>
      <c r="B31" s="33">
        <f>BASE_SALARIALE!T31</f>
        <v>477897.63000000006</v>
      </c>
      <c r="C31" s="33">
        <f>BASE_SALARIALE!W31</f>
        <v>20160</v>
      </c>
      <c r="D31" s="33">
        <f>BASE_SALARIALE!X31</f>
        <v>11469.543120000002</v>
      </c>
      <c r="E31" s="33">
        <f>BASE_SALARIALE!Y31</f>
        <v>3000</v>
      </c>
      <c r="F31" s="33">
        <f>BASE_SALARIALE!Z31</f>
        <v>3600</v>
      </c>
      <c r="G31" s="33">
        <f>BASE_SALARIALE!AA31</f>
        <v>50000</v>
      </c>
      <c r="H31" s="33">
        <f>BASE_SALARIALE!AB31</f>
        <v>12500</v>
      </c>
      <c r="I31" s="33">
        <f>BASE_SALARIALE!AC31</f>
        <v>0</v>
      </c>
      <c r="J31" s="33">
        <f>BASE_SALARIALE!AD31</f>
        <v>100729.54312</v>
      </c>
      <c r="K31" s="33">
        <f>BASE_SALARIALE!AF31</f>
        <v>0</v>
      </c>
      <c r="L31" s="33">
        <f>BASE_SALARIALE!AG31</f>
        <v>377168</v>
      </c>
    </row>
    <row r="32" spans="1:12" x14ac:dyDescent="0.3">
      <c r="A32" t="str">
        <f>BASE_SALARIALE!B32 &amp; "  " &amp; BASE_SALARIALE!C32</f>
        <v>ABDOULAYE MASSECK  LY</v>
      </c>
      <c r="B32" s="33">
        <f>BASE_SALARIALE!T32</f>
        <v>469897.63000000006</v>
      </c>
      <c r="C32" s="33">
        <f>BASE_SALARIALE!W32</f>
        <v>20160</v>
      </c>
      <c r="D32" s="33">
        <f>BASE_SALARIALE!X32</f>
        <v>11277.543120000002</v>
      </c>
      <c r="E32" s="33">
        <f>BASE_SALARIALE!Y32</f>
        <v>0</v>
      </c>
      <c r="F32" s="33">
        <f>BASE_SALARIALE!Z32</f>
        <v>1800</v>
      </c>
      <c r="G32" s="33">
        <f>BASE_SALARIALE!AA32</f>
        <v>66666.666666666672</v>
      </c>
      <c r="H32" s="33">
        <f>BASE_SALARIALE!AB32</f>
        <v>0</v>
      </c>
      <c r="I32" s="33">
        <f>BASE_SALARIALE!AC32</f>
        <v>0</v>
      </c>
      <c r="J32" s="33">
        <f>BASE_SALARIALE!AD32</f>
        <v>99904.209786666674</v>
      </c>
      <c r="K32" s="33">
        <f>BASE_SALARIALE!AF32</f>
        <v>20000</v>
      </c>
      <c r="L32" s="33">
        <f>BASE_SALARIALE!AG32</f>
        <v>399993</v>
      </c>
    </row>
    <row r="33" spans="1:12" x14ac:dyDescent="0.3">
      <c r="A33" t="str">
        <f>BASE_SALARIALE!B33 &amp; "  " &amp; BASE_SALARIALE!C33</f>
        <v>ABDOU  MBAYE</v>
      </c>
      <c r="B33" s="33">
        <f>BASE_SALARIALE!T33</f>
        <v>380842.60000000003</v>
      </c>
      <c r="C33" s="33">
        <f>BASE_SALARIALE!W33</f>
        <v>20160</v>
      </c>
      <c r="D33" s="33">
        <f>BASE_SALARIALE!X33</f>
        <v>0</v>
      </c>
      <c r="E33" s="33">
        <f>BASE_SALARIALE!Y33</f>
        <v>3000</v>
      </c>
      <c r="F33" s="33">
        <f>BASE_SALARIALE!Z33</f>
        <v>1800</v>
      </c>
      <c r="G33" s="33">
        <f>BASE_SALARIALE!AA33</f>
        <v>29166.666666666668</v>
      </c>
      <c r="H33" s="33">
        <f>BASE_SALARIALE!AB33</f>
        <v>0</v>
      </c>
      <c r="I33" s="33">
        <f>BASE_SALARIALE!AC33</f>
        <v>0</v>
      </c>
      <c r="J33" s="33">
        <f>BASE_SALARIALE!AD33</f>
        <v>54126.666666666672</v>
      </c>
      <c r="K33" s="33">
        <f>BASE_SALARIALE!AF33</f>
        <v>0</v>
      </c>
      <c r="L33" s="33">
        <f>BASE_SALARIALE!AG33</f>
        <v>326716</v>
      </c>
    </row>
    <row r="34" spans="1:12" x14ac:dyDescent="0.3">
      <c r="A34" t="str">
        <f>BASE_SALARIALE!B34 &amp; "  " &amp; BASE_SALARIALE!C34</f>
        <v>KARIM ABDEL   MBENGUE</v>
      </c>
      <c r="B34" s="33">
        <f>BASE_SALARIALE!T34</f>
        <v>374366.60000000003</v>
      </c>
      <c r="C34" s="33">
        <f>BASE_SALARIALE!W34</f>
        <v>20160</v>
      </c>
      <c r="D34" s="33">
        <f>BASE_SALARIALE!X34</f>
        <v>0</v>
      </c>
      <c r="E34" s="33">
        <f>BASE_SALARIALE!Y34</f>
        <v>3000</v>
      </c>
      <c r="F34" s="33">
        <f>BASE_SALARIALE!Z34</f>
        <v>1800</v>
      </c>
      <c r="G34" s="33">
        <f>BASE_SALARIALE!AA34</f>
        <v>20833.333333333332</v>
      </c>
      <c r="H34" s="33">
        <f>BASE_SALARIALE!AB34</f>
        <v>0</v>
      </c>
      <c r="I34" s="33">
        <f>BASE_SALARIALE!AC34</f>
        <v>0</v>
      </c>
      <c r="J34" s="33">
        <f>BASE_SALARIALE!AD34</f>
        <v>45793.333333333328</v>
      </c>
      <c r="K34" s="33">
        <f>BASE_SALARIALE!AF34</f>
        <v>0</v>
      </c>
      <c r="L34" s="33">
        <f>BASE_SALARIALE!AG34</f>
        <v>328573</v>
      </c>
    </row>
    <row r="35" spans="1:12" x14ac:dyDescent="0.3">
      <c r="A35" t="str">
        <f>BASE_SALARIALE!B35 &amp; "  " &amp; BASE_SALARIALE!C35</f>
        <v>FATIM  NDIAYE</v>
      </c>
      <c r="B35" s="33">
        <f>BASE_SALARIALE!T35</f>
        <v>368710.60000000003</v>
      </c>
      <c r="C35" s="33">
        <f>BASE_SALARIALE!W35</f>
        <v>20160</v>
      </c>
      <c r="D35" s="33">
        <f>BASE_SALARIALE!X35</f>
        <v>0</v>
      </c>
      <c r="E35" s="33">
        <f>BASE_SALARIALE!Y35</f>
        <v>0</v>
      </c>
      <c r="F35" s="33">
        <f>BASE_SALARIALE!Z35</f>
        <v>900</v>
      </c>
      <c r="G35" s="33">
        <f>BASE_SALARIALE!AA35</f>
        <v>37500</v>
      </c>
      <c r="H35" s="33">
        <f>BASE_SALARIALE!AB35</f>
        <v>10000</v>
      </c>
      <c r="I35" s="33">
        <f>BASE_SALARIALE!AC35</f>
        <v>0</v>
      </c>
      <c r="J35" s="33">
        <f>BASE_SALARIALE!AD35</f>
        <v>68560</v>
      </c>
      <c r="K35" s="33">
        <f>BASE_SALARIALE!AF35</f>
        <v>25000</v>
      </c>
      <c r="L35" s="33">
        <f>BASE_SALARIALE!AG35</f>
        <v>339651</v>
      </c>
    </row>
    <row r="36" spans="1:12" x14ac:dyDescent="0.3">
      <c r="A36" t="str">
        <f>BASE_SALARIALE!B36 &amp; "  " &amp; BASE_SALARIALE!C36</f>
        <v>YOUSSOU  NGOM</v>
      </c>
      <c r="B36" s="33">
        <f>BASE_SALARIALE!T36</f>
        <v>358206.60000000003</v>
      </c>
      <c r="C36" s="33">
        <f>BASE_SALARIALE!W36</f>
        <v>20059.569600000003</v>
      </c>
      <c r="D36" s="33">
        <f>BASE_SALARIALE!X36</f>
        <v>0</v>
      </c>
      <c r="E36" s="33">
        <f>BASE_SALARIALE!Y36</f>
        <v>0</v>
      </c>
      <c r="F36" s="33">
        <f>BASE_SALARIALE!Z36</f>
        <v>2700</v>
      </c>
      <c r="G36" s="33">
        <f>BASE_SALARIALE!AA36</f>
        <v>20833.333333333332</v>
      </c>
      <c r="H36" s="33">
        <f>BASE_SALARIALE!AB36</f>
        <v>0</v>
      </c>
      <c r="I36" s="33">
        <f>BASE_SALARIALE!AC36</f>
        <v>0</v>
      </c>
      <c r="J36" s="33">
        <f>BASE_SALARIALE!AD36</f>
        <v>43592.902933333331</v>
      </c>
      <c r="K36" s="33">
        <f>BASE_SALARIALE!AF36</f>
        <v>0</v>
      </c>
      <c r="L36" s="33">
        <f>BASE_SALARIALE!AG36</f>
        <v>314614</v>
      </c>
    </row>
    <row r="37" spans="1:12" x14ac:dyDescent="0.3">
      <c r="A37" t="str">
        <f>BASE_SALARIALE!B37 &amp; "  " &amp; BASE_SALARIALE!C37</f>
        <v>FRANCOIS  PREIRA</v>
      </c>
      <c r="B37" s="33">
        <f>BASE_SALARIALE!T37</f>
        <v>366286.60000000003</v>
      </c>
      <c r="C37" s="33">
        <f>BASE_SALARIALE!W37</f>
        <v>20160</v>
      </c>
      <c r="D37" s="33">
        <f>BASE_SALARIALE!X37</f>
        <v>0</v>
      </c>
      <c r="E37" s="33">
        <f>BASE_SALARIALE!Y37</f>
        <v>13000</v>
      </c>
      <c r="F37" s="33">
        <f>BASE_SALARIALE!Z37</f>
        <v>1800</v>
      </c>
      <c r="G37" s="33">
        <f>BASE_SALARIALE!AA37</f>
        <v>4166.666666666667</v>
      </c>
      <c r="H37" s="33">
        <f>BASE_SALARIALE!AB37</f>
        <v>0</v>
      </c>
      <c r="I37" s="33">
        <f>BASE_SALARIALE!AC37</f>
        <v>0</v>
      </c>
      <c r="J37" s="33">
        <f>BASE_SALARIALE!AD37</f>
        <v>39126.666666666664</v>
      </c>
      <c r="K37" s="33">
        <f>BASE_SALARIALE!AF37</f>
        <v>0</v>
      </c>
      <c r="L37" s="33">
        <f>BASE_SALARIALE!AG37</f>
        <v>327160</v>
      </c>
    </row>
    <row r="38" spans="1:12" x14ac:dyDescent="0.3">
      <c r="A38" t="str">
        <f>BASE_SALARIALE!B38 &amp; "  " &amp; BASE_SALARIALE!C38</f>
        <v>MBAYA  SAGNA</v>
      </c>
      <c r="B38" s="33">
        <f>BASE_SALARIALE!T38</f>
        <v>250062.05000000002</v>
      </c>
      <c r="C38" s="33">
        <f>BASE_SALARIALE!W38</f>
        <v>14003.474800000002</v>
      </c>
      <c r="D38" s="33">
        <f>BASE_SALARIALE!X38</f>
        <v>0</v>
      </c>
      <c r="E38" s="33">
        <f>BASE_SALARIALE!Y38</f>
        <v>3000</v>
      </c>
      <c r="F38" s="33">
        <f>BASE_SALARIALE!Z38</f>
        <v>900</v>
      </c>
      <c r="G38" s="33">
        <f>BASE_SALARIALE!AA38</f>
        <v>62500</v>
      </c>
      <c r="H38" s="33">
        <f>BASE_SALARIALE!AB38</f>
        <v>0</v>
      </c>
      <c r="I38" s="33">
        <f>BASE_SALARIALE!AC38</f>
        <v>0</v>
      </c>
      <c r="J38" s="33">
        <f>BASE_SALARIALE!AD38</f>
        <v>80403.474799999996</v>
      </c>
      <c r="K38" s="33">
        <f>BASE_SALARIALE!AF38</f>
        <v>0</v>
      </c>
      <c r="L38" s="33">
        <f>BASE_SALARIALE!AG38</f>
        <v>169659</v>
      </c>
    </row>
    <row r="39" spans="1:12" x14ac:dyDescent="0.3">
      <c r="A39" t="str">
        <f>BASE_SALARIALE!B39 &amp; "  " &amp; BASE_SALARIALE!C39</f>
        <v>FREDERIC  SAGNA</v>
      </c>
      <c r="B39" s="33">
        <f>BASE_SALARIALE!T39</f>
        <v>479897.63000000006</v>
      </c>
      <c r="C39" s="33">
        <f>BASE_SALARIALE!W39</f>
        <v>20160</v>
      </c>
      <c r="D39" s="33">
        <f>BASE_SALARIALE!X39</f>
        <v>11517.543120000002</v>
      </c>
      <c r="E39" s="33">
        <f>BASE_SALARIALE!Y39</f>
        <v>0</v>
      </c>
      <c r="F39" s="33">
        <f>BASE_SALARIALE!Z39</f>
        <v>900</v>
      </c>
      <c r="G39" s="33">
        <f>BASE_SALARIALE!AA39</f>
        <v>116666.66666666667</v>
      </c>
      <c r="H39" s="33">
        <f>BASE_SALARIALE!AB39</f>
        <v>10000</v>
      </c>
      <c r="I39" s="33">
        <f>BASE_SALARIALE!AC39</f>
        <v>0</v>
      </c>
      <c r="J39" s="33">
        <f>BASE_SALARIALE!AD39</f>
        <v>159244.20978666667</v>
      </c>
      <c r="K39" s="33">
        <f>BASE_SALARIALE!AF39</f>
        <v>0</v>
      </c>
      <c r="L39" s="33">
        <f>BASE_SALARIALE!AG39</f>
        <v>335653</v>
      </c>
    </row>
    <row r="40" spans="1:12" x14ac:dyDescent="0.3">
      <c r="A40" t="str">
        <f>BASE_SALARIALE!B40 &amp; "  " &amp; BASE_SALARIALE!C40</f>
        <v>ALIMATOU  SAMB</v>
      </c>
      <c r="B40" s="33">
        <f>BASE_SALARIALE!T40</f>
        <v>240062.05000000002</v>
      </c>
      <c r="C40" s="33">
        <f>BASE_SALARIALE!W40</f>
        <v>13443.474800000002</v>
      </c>
      <c r="D40" s="33">
        <f>BASE_SALARIALE!X40</f>
        <v>0</v>
      </c>
      <c r="E40" s="33">
        <f>BASE_SALARIALE!Y40</f>
        <v>0</v>
      </c>
      <c r="F40" s="33">
        <f>BASE_SALARIALE!Z40</f>
        <v>900</v>
      </c>
      <c r="G40" s="33">
        <f>BASE_SALARIALE!AA40</f>
        <v>62500</v>
      </c>
      <c r="H40" s="33">
        <f>BASE_SALARIALE!AB40</f>
        <v>0</v>
      </c>
      <c r="I40" s="33">
        <f>BASE_SALARIALE!AC40</f>
        <v>0</v>
      </c>
      <c r="J40" s="33">
        <f>BASE_SALARIALE!AD40</f>
        <v>76843.474799999996</v>
      </c>
      <c r="K40" s="33">
        <f>BASE_SALARIALE!AF40</f>
        <v>0</v>
      </c>
      <c r="L40" s="33">
        <f>BASE_SALARIALE!AG40</f>
        <v>163219</v>
      </c>
    </row>
    <row r="41" spans="1:12" x14ac:dyDescent="0.3">
      <c r="A41" t="str">
        <f>BASE_SALARIALE!B41 &amp; "  " &amp; BASE_SALARIALE!C41</f>
        <v>DIARRY  SAMB</v>
      </c>
      <c r="B41" s="33">
        <f>BASE_SALARIALE!T41</f>
        <v>262499.05</v>
      </c>
      <c r="C41" s="33">
        <f>BASE_SALARIALE!W41</f>
        <v>14699.9468</v>
      </c>
      <c r="D41" s="33">
        <f>BASE_SALARIALE!X41</f>
        <v>0</v>
      </c>
      <c r="E41" s="33">
        <f>BASE_SALARIALE!Y41</f>
        <v>5000</v>
      </c>
      <c r="F41" s="33">
        <f>BASE_SALARIALE!Z41</f>
        <v>900</v>
      </c>
      <c r="G41" s="33">
        <f>BASE_SALARIALE!AA41</f>
        <v>62500</v>
      </c>
      <c r="H41" s="33">
        <f>BASE_SALARIALE!AB41</f>
        <v>0</v>
      </c>
      <c r="I41" s="33">
        <f>BASE_SALARIALE!AC41</f>
        <v>0</v>
      </c>
      <c r="J41" s="33">
        <f>BASE_SALARIALE!AD41</f>
        <v>83099.946800000005</v>
      </c>
      <c r="K41" s="33">
        <f>BASE_SALARIALE!AF41</f>
        <v>0</v>
      </c>
      <c r="L41" s="33">
        <f>BASE_SALARIALE!AG41</f>
        <v>179399</v>
      </c>
    </row>
    <row r="42" spans="1:12" x14ac:dyDescent="0.3">
      <c r="A42" t="str">
        <f>BASE_SALARIALE!B42 &amp; "  " &amp; BASE_SALARIALE!C42</f>
        <v>OMAR  SARR</v>
      </c>
      <c r="B42" s="33">
        <f>BASE_SALARIALE!T42</f>
        <v>469897.63000000006</v>
      </c>
      <c r="C42" s="33">
        <f>BASE_SALARIALE!W42</f>
        <v>20160</v>
      </c>
      <c r="D42" s="33">
        <f>BASE_SALARIALE!X42</f>
        <v>11277.543120000002</v>
      </c>
      <c r="E42" s="33">
        <f>BASE_SALARIALE!Y42</f>
        <v>2500</v>
      </c>
      <c r="F42" s="33">
        <f>BASE_SALARIALE!Z42</f>
        <v>900</v>
      </c>
      <c r="G42" s="33">
        <f>BASE_SALARIALE!AA42</f>
        <v>105000</v>
      </c>
      <c r="H42" s="33">
        <f>BASE_SALARIALE!AB42</f>
        <v>0</v>
      </c>
      <c r="I42" s="33">
        <f>BASE_SALARIALE!AC42</f>
        <v>30000</v>
      </c>
      <c r="J42" s="33">
        <f>BASE_SALARIALE!AD42</f>
        <v>169837.54311999999</v>
      </c>
      <c r="K42" s="33">
        <f>BASE_SALARIALE!AF42</f>
        <v>0</v>
      </c>
      <c r="L42" s="33">
        <f>BASE_SALARIALE!AG42</f>
        <v>355060</v>
      </c>
    </row>
    <row r="43" spans="1:12" x14ac:dyDescent="0.3">
      <c r="A43" t="str">
        <f>BASE_SALARIALE!B43 &amp; "  " &amp; BASE_SALARIALE!C43</f>
        <v>MAURY  SECK</v>
      </c>
      <c r="B43" s="33">
        <f>BASE_SALARIALE!T43</f>
        <v>240062.05000000002</v>
      </c>
      <c r="C43" s="33">
        <f>BASE_SALARIALE!W43</f>
        <v>13443.474800000002</v>
      </c>
      <c r="D43" s="33">
        <f>BASE_SALARIALE!X43</f>
        <v>0</v>
      </c>
      <c r="E43" s="33">
        <f>BASE_SALARIALE!Y43</f>
        <v>0</v>
      </c>
      <c r="F43" s="33">
        <f>BASE_SALARIALE!Z43</f>
        <v>2700</v>
      </c>
      <c r="G43" s="33">
        <f>BASE_SALARIALE!AA43</f>
        <v>12500</v>
      </c>
      <c r="H43" s="33">
        <f>BASE_SALARIALE!AB43</f>
        <v>10000</v>
      </c>
      <c r="I43" s="33">
        <f>BASE_SALARIALE!AC43</f>
        <v>0</v>
      </c>
      <c r="J43" s="33">
        <f>BASE_SALARIALE!AD43</f>
        <v>38643.474800000004</v>
      </c>
      <c r="K43" s="33">
        <f>BASE_SALARIALE!AF43</f>
        <v>0</v>
      </c>
      <c r="L43" s="33">
        <f>BASE_SALARIALE!AG43</f>
        <v>201419</v>
      </c>
    </row>
    <row r="44" spans="1:12" x14ac:dyDescent="0.3">
      <c r="A44" t="str">
        <f>BASE_SALARIALE!B44 &amp; "  " &amp; BASE_SALARIALE!C44</f>
        <v>IBRAHIMA  SENE</v>
      </c>
      <c r="B44" s="33">
        <f>BASE_SALARIALE!T44</f>
        <v>270809.05</v>
      </c>
      <c r="C44" s="33">
        <f>BASE_SALARIALE!W44</f>
        <v>15165.3068</v>
      </c>
      <c r="D44" s="33">
        <f>BASE_SALARIALE!X44</f>
        <v>0</v>
      </c>
      <c r="E44" s="33">
        <f>BASE_SALARIALE!Y44</f>
        <v>0</v>
      </c>
      <c r="F44" s="33">
        <f>BASE_SALARIALE!Z44</f>
        <v>1800</v>
      </c>
      <c r="G44" s="33">
        <f>BASE_SALARIALE!AA44</f>
        <v>45833.333333333336</v>
      </c>
      <c r="H44" s="33">
        <f>BASE_SALARIALE!AB44</f>
        <v>0</v>
      </c>
      <c r="I44" s="33">
        <f>BASE_SALARIALE!AC44</f>
        <v>0</v>
      </c>
      <c r="J44" s="33">
        <f>BASE_SALARIALE!AD44</f>
        <v>62798.640133333334</v>
      </c>
      <c r="K44" s="33">
        <f>BASE_SALARIALE!AF44</f>
        <v>20000</v>
      </c>
      <c r="L44" s="33">
        <f>BASE_SALARIALE!AG44</f>
        <v>228010</v>
      </c>
    </row>
    <row r="45" spans="1:12" x14ac:dyDescent="0.3">
      <c r="A45" t="str">
        <f>BASE_SALARIALE!B45 &amp; "  " &amp; BASE_SALARIALE!C45</f>
        <v>MOUSSA  SEYDI</v>
      </c>
      <c r="B45" s="33">
        <f>BASE_SALARIALE!T45</f>
        <v>366706.60000000003</v>
      </c>
      <c r="C45" s="33">
        <f>BASE_SALARIALE!W45</f>
        <v>20160</v>
      </c>
      <c r="D45" s="33">
        <f>BASE_SALARIALE!X45</f>
        <v>0</v>
      </c>
      <c r="E45" s="33">
        <f>BASE_SALARIALE!Y45</f>
        <v>2500</v>
      </c>
      <c r="F45" s="33">
        <f>BASE_SALARIALE!Z45</f>
        <v>1800</v>
      </c>
      <c r="G45" s="33">
        <f>BASE_SALARIALE!AA45</f>
        <v>45833.333333333336</v>
      </c>
      <c r="H45" s="33">
        <f>BASE_SALARIALE!AB45</f>
        <v>0</v>
      </c>
      <c r="I45" s="33">
        <f>BASE_SALARIALE!AC45</f>
        <v>0</v>
      </c>
      <c r="J45" s="33">
        <f>BASE_SALARIALE!AD45</f>
        <v>70293.333333333343</v>
      </c>
      <c r="K45" s="33">
        <f>BASE_SALARIALE!AF45</f>
        <v>0</v>
      </c>
      <c r="L45" s="33">
        <f>BASE_SALARIALE!AG45</f>
        <v>296413</v>
      </c>
    </row>
    <row r="46" spans="1:12" x14ac:dyDescent="0.3">
      <c r="A46" t="str">
        <f>BASE_SALARIALE!B46 &amp; "  " &amp; BASE_SALARIALE!C46</f>
        <v>KHADY  SOW</v>
      </c>
      <c r="B46" s="33">
        <f>BASE_SALARIALE!T46</f>
        <v>365126.60000000003</v>
      </c>
      <c r="C46" s="33">
        <f>BASE_SALARIALE!W46</f>
        <v>20160</v>
      </c>
      <c r="D46" s="33">
        <f>BASE_SALARIALE!X46</f>
        <v>0</v>
      </c>
      <c r="E46" s="33">
        <f>BASE_SALARIALE!Y46</f>
        <v>0</v>
      </c>
      <c r="F46" s="33">
        <f>BASE_SALARIALE!Z46</f>
        <v>900</v>
      </c>
      <c r="G46" s="33">
        <f>BASE_SALARIALE!AA46</f>
        <v>37500</v>
      </c>
      <c r="H46" s="33">
        <f>BASE_SALARIALE!AB46</f>
        <v>0</v>
      </c>
      <c r="I46" s="33">
        <f>BASE_SALARIALE!AC46</f>
        <v>0</v>
      </c>
      <c r="J46" s="33">
        <f>BASE_SALARIALE!AD46</f>
        <v>58560</v>
      </c>
      <c r="K46" s="33">
        <f>BASE_SALARIALE!AF46</f>
        <v>0</v>
      </c>
      <c r="L46" s="33">
        <f>BASE_SALARIALE!AG46</f>
        <v>338067</v>
      </c>
    </row>
    <row r="47" spans="1:12" x14ac:dyDescent="0.3">
      <c r="A47" t="str">
        <f>BASE_SALARIALE!B47 &amp; "  " &amp; BASE_SALARIALE!C47</f>
        <v>ALPHA  SY</v>
      </c>
      <c r="B47" s="33">
        <f>BASE_SALARIALE!T47</f>
        <v>399010.60000000003</v>
      </c>
      <c r="C47" s="33">
        <f>BASE_SALARIALE!W47</f>
        <v>20160</v>
      </c>
      <c r="D47" s="33">
        <f>BASE_SALARIALE!X47</f>
        <v>0</v>
      </c>
      <c r="E47" s="33">
        <f>BASE_SALARIALE!Y47</f>
        <v>0</v>
      </c>
      <c r="F47" s="33">
        <f>BASE_SALARIALE!Z47</f>
        <v>1800</v>
      </c>
      <c r="G47" s="33">
        <f>BASE_SALARIALE!AA47</f>
        <v>45833.333333333336</v>
      </c>
      <c r="H47" s="33">
        <f>BASE_SALARIALE!AB47</f>
        <v>15000</v>
      </c>
      <c r="I47" s="33">
        <f>BASE_SALARIALE!AC47</f>
        <v>0</v>
      </c>
      <c r="J47" s="33">
        <f>BASE_SALARIALE!AD47</f>
        <v>82793.333333333343</v>
      </c>
      <c r="K47" s="33">
        <f>BASE_SALARIALE!AF47</f>
        <v>0</v>
      </c>
      <c r="L47" s="33">
        <f>BASE_SALARIALE!AG47</f>
        <v>316217</v>
      </c>
    </row>
    <row r="48" spans="1:12" x14ac:dyDescent="0.3">
      <c r="A48" t="str">
        <f>BASE_SALARIALE!B48 &amp; "  " &amp; BASE_SALARIALE!C48</f>
        <v>MOUSTAPHA  TALL</v>
      </c>
      <c r="B48" s="33">
        <f>BASE_SALARIALE!T48</f>
        <v>378406.60000000003</v>
      </c>
      <c r="C48" s="33">
        <f>BASE_SALARIALE!W48</f>
        <v>20160</v>
      </c>
      <c r="D48" s="33">
        <f>BASE_SALARIALE!X48</f>
        <v>0</v>
      </c>
      <c r="E48" s="33">
        <f>BASE_SALARIALE!Y48</f>
        <v>0</v>
      </c>
      <c r="F48" s="33">
        <f>BASE_SALARIALE!Z48</f>
        <v>2700</v>
      </c>
      <c r="G48" s="33">
        <f>BASE_SALARIALE!AA48</f>
        <v>12500</v>
      </c>
      <c r="H48" s="33">
        <f>BASE_SALARIALE!AB48</f>
        <v>0</v>
      </c>
      <c r="I48" s="33">
        <f>BASE_SALARIALE!AC48</f>
        <v>0</v>
      </c>
      <c r="J48" s="33">
        <f>BASE_SALARIALE!AD48</f>
        <v>35360</v>
      </c>
      <c r="K48" s="33">
        <f>BASE_SALARIALE!AF48</f>
        <v>0</v>
      </c>
      <c r="L48" s="33">
        <f>BASE_SALARIALE!AG48</f>
        <v>368047</v>
      </c>
    </row>
    <row r="49" spans="1:12" x14ac:dyDescent="0.3">
      <c r="A49" t="str">
        <f>BASE_SALARIALE!B49 &amp; "  " &amp; BASE_SALARIALE!C49</f>
        <v>NDEYE  TALL</v>
      </c>
      <c r="B49" s="33">
        <f>BASE_SALARIALE!T49</f>
        <v>364626.60000000003</v>
      </c>
      <c r="C49" s="33">
        <f>BASE_SALARIALE!W49</f>
        <v>20160</v>
      </c>
      <c r="D49" s="33">
        <f>BASE_SALARIALE!X49</f>
        <v>0</v>
      </c>
      <c r="E49" s="33">
        <f>BASE_SALARIALE!Y49</f>
        <v>3000</v>
      </c>
      <c r="F49" s="33">
        <f>BASE_SALARIALE!Z49</f>
        <v>900</v>
      </c>
      <c r="G49" s="33">
        <f>BASE_SALARIALE!AA49</f>
        <v>37500</v>
      </c>
      <c r="H49" s="33">
        <f>BASE_SALARIALE!AB49</f>
        <v>14500</v>
      </c>
      <c r="I49" s="33">
        <f>BASE_SALARIALE!AC49</f>
        <v>0</v>
      </c>
      <c r="J49" s="33">
        <f>BASE_SALARIALE!AD49</f>
        <v>76060</v>
      </c>
      <c r="K49" s="33">
        <f>BASE_SALARIALE!AF49</f>
        <v>25000</v>
      </c>
      <c r="L49" s="33">
        <f>BASE_SALARIALE!AG49</f>
        <v>313567</v>
      </c>
    </row>
    <row r="50" spans="1:12" x14ac:dyDescent="0.3">
      <c r="A50" t="str">
        <f>BASE_SALARIALE!B50 &amp; "  " &amp; BASE_SALARIALE!C50</f>
        <v>PHILIPPE MODOU  TAVARES</v>
      </c>
      <c r="B50" s="33">
        <f>BASE_SALARIALE!T50</f>
        <v>368710.60000000003</v>
      </c>
      <c r="C50" s="33">
        <f>BASE_SALARIALE!W50</f>
        <v>20160</v>
      </c>
      <c r="D50" s="33">
        <f>BASE_SALARIALE!X50</f>
        <v>0</v>
      </c>
      <c r="E50" s="33">
        <f>BASE_SALARIALE!Y50</f>
        <v>0</v>
      </c>
      <c r="F50" s="33">
        <f>BASE_SALARIALE!Z50</f>
        <v>2700</v>
      </c>
      <c r="G50" s="33">
        <f>BASE_SALARIALE!AA50</f>
        <v>12500</v>
      </c>
      <c r="H50" s="33">
        <f>BASE_SALARIALE!AB50</f>
        <v>0</v>
      </c>
      <c r="I50" s="33">
        <f>BASE_SALARIALE!AC50</f>
        <v>0</v>
      </c>
      <c r="J50" s="33">
        <f>BASE_SALARIALE!AD50</f>
        <v>35360</v>
      </c>
      <c r="K50" s="33">
        <f>BASE_SALARIALE!AF50</f>
        <v>0</v>
      </c>
      <c r="L50" s="33">
        <f>BASE_SALARIALE!AG50</f>
        <v>333351</v>
      </c>
    </row>
    <row r="51" spans="1:12" x14ac:dyDescent="0.3">
      <c r="A51" t="str">
        <f>BASE_SALARIALE!B51 &amp; "  " &amp; BASE_SALARIALE!C51</f>
        <v>KHADIM  THIAM</v>
      </c>
      <c r="B51" s="33">
        <f>BASE_SALARIALE!T51</f>
        <v>391062.60000000003</v>
      </c>
      <c r="C51" s="33">
        <f>BASE_SALARIALE!W51</f>
        <v>20160</v>
      </c>
      <c r="D51" s="33">
        <f>BASE_SALARIALE!X51</f>
        <v>0</v>
      </c>
      <c r="E51" s="33">
        <f>BASE_SALARIALE!Y51</f>
        <v>3000</v>
      </c>
      <c r="F51" s="33">
        <f>BASE_SALARIALE!Z51</f>
        <v>900</v>
      </c>
      <c r="G51" s="33">
        <f>BASE_SALARIALE!AA51</f>
        <v>62500</v>
      </c>
      <c r="H51" s="33">
        <f>BASE_SALARIALE!AB51</f>
        <v>13500</v>
      </c>
      <c r="I51" s="33">
        <f>BASE_SALARIALE!AC51</f>
        <v>0</v>
      </c>
      <c r="J51" s="33">
        <f>BASE_SALARIALE!AD51</f>
        <v>100060</v>
      </c>
      <c r="K51" s="33">
        <f>BASE_SALARIALE!AF51</f>
        <v>0</v>
      </c>
      <c r="L51" s="33">
        <f>BASE_SALARIALE!AG51</f>
        <v>291003</v>
      </c>
    </row>
  </sheetData>
  <conditionalFormatting sqref="N5:V5">
    <cfRule type="containsText" dxfId="0" priority="1" operator="containsText" text="SBS">
      <formula>NOT(ISERROR(SEARCH("SBS",N5)))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13</xdr:col>
                <xdr:colOff>7620</xdr:colOff>
                <xdr:row>0</xdr:row>
                <xdr:rowOff>175260</xdr:rowOff>
              </from>
              <to>
                <xdr:col>16</xdr:col>
                <xdr:colOff>0</xdr:colOff>
                <xdr:row>3</xdr:row>
                <xdr:rowOff>22860</xdr:rowOff>
              </to>
            </anchor>
          </controlPr>
        </control>
      </mc:Choice>
      <mc:Fallback>
        <control shapeId="10241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9FE5-077C-47B2-9FCC-136A3C2CD0F5}">
  <sheetPr codeName="Feuil5"/>
  <dimension ref="C4:K37"/>
  <sheetViews>
    <sheetView workbookViewId="0">
      <selection activeCell="I34" sqref="I34"/>
    </sheetView>
  </sheetViews>
  <sheetFormatPr baseColWidth="10" defaultRowHeight="14.4" x14ac:dyDescent="0.3"/>
  <cols>
    <col min="2" max="2" width="16.5546875" customWidth="1"/>
    <col min="4" max="4" width="18.33203125" customWidth="1"/>
    <col min="5" max="5" width="20.33203125" customWidth="1"/>
    <col min="6" max="6" width="11.5546875" customWidth="1"/>
    <col min="7" max="7" width="20.6640625" customWidth="1"/>
    <col min="8" max="8" width="14.6640625" customWidth="1"/>
    <col min="9" max="9" width="28.6640625" customWidth="1"/>
  </cols>
  <sheetData>
    <row r="4" spans="3:10" ht="15.6" x14ac:dyDescent="0.3">
      <c r="C4" s="3"/>
      <c r="D4" s="4"/>
      <c r="E4" s="4"/>
      <c r="F4" s="4"/>
      <c r="G4" s="4"/>
      <c r="H4" s="4"/>
      <c r="I4" s="4"/>
      <c r="J4" s="5"/>
    </row>
    <row r="5" spans="3:10" ht="15.6" x14ac:dyDescent="0.3">
      <c r="C5" s="6"/>
      <c r="D5" s="7"/>
      <c r="E5" s="7"/>
      <c r="F5" s="7"/>
      <c r="G5" s="7"/>
      <c r="H5" s="7"/>
      <c r="I5" s="7"/>
      <c r="J5" s="8"/>
    </row>
    <row r="6" spans="3:10" ht="15.6" x14ac:dyDescent="0.3">
      <c r="C6" s="6"/>
      <c r="D6" s="18" t="s">
        <v>69</v>
      </c>
      <c r="E6" s="20" t="s">
        <v>52</v>
      </c>
      <c r="F6" s="7"/>
      <c r="G6" s="7"/>
      <c r="H6" s="21" t="s">
        <v>97</v>
      </c>
      <c r="I6" s="20" t="s">
        <v>12</v>
      </c>
      <c r="J6" s="8"/>
    </row>
    <row r="7" spans="3:10" ht="15.6" x14ac:dyDescent="0.3">
      <c r="C7" s="6"/>
      <c r="D7" s="18" t="s">
        <v>70</v>
      </c>
      <c r="E7" s="20" t="s">
        <v>53</v>
      </c>
      <c r="F7" s="7"/>
      <c r="G7" s="7"/>
      <c r="H7" s="21" t="s">
        <v>73</v>
      </c>
      <c r="I7" s="20" t="s">
        <v>46</v>
      </c>
      <c r="J7" s="8"/>
    </row>
    <row r="8" spans="3:10" ht="15.6" x14ac:dyDescent="0.3">
      <c r="C8" s="6"/>
      <c r="D8" s="18" t="s">
        <v>71</v>
      </c>
      <c r="E8" s="20" t="s">
        <v>54</v>
      </c>
      <c r="F8" s="7"/>
      <c r="G8" s="7"/>
      <c r="H8" s="21" t="s">
        <v>72</v>
      </c>
      <c r="I8" s="23">
        <v>44</v>
      </c>
      <c r="J8" s="8"/>
    </row>
    <row r="9" spans="3:10" ht="15.6" x14ac:dyDescent="0.3">
      <c r="C9" s="6"/>
      <c r="D9" s="18" t="s">
        <v>94</v>
      </c>
      <c r="E9" s="25" t="s">
        <v>308</v>
      </c>
      <c r="F9" s="7"/>
      <c r="G9" s="7"/>
      <c r="H9" s="21" t="s">
        <v>74</v>
      </c>
      <c r="I9" s="20">
        <v>0</v>
      </c>
      <c r="J9" s="8"/>
    </row>
    <row r="10" spans="3:10" ht="15.6" x14ac:dyDescent="0.3">
      <c r="C10" s="17"/>
      <c r="D10" s="19" t="s">
        <v>95</v>
      </c>
      <c r="E10" s="20" t="s">
        <v>55</v>
      </c>
      <c r="F10" s="7"/>
      <c r="G10" s="7"/>
      <c r="H10" s="18" t="s">
        <v>75</v>
      </c>
      <c r="I10" s="24">
        <v>0</v>
      </c>
      <c r="J10" s="8"/>
    </row>
    <row r="11" spans="3:10" ht="15.6" x14ac:dyDescent="0.3">
      <c r="C11" s="6"/>
      <c r="D11" s="18" t="s">
        <v>96</v>
      </c>
      <c r="E11" s="19" t="s">
        <v>9</v>
      </c>
      <c r="F11" s="6"/>
      <c r="G11" s="7"/>
      <c r="H11" s="22" t="s">
        <v>98</v>
      </c>
      <c r="I11" s="20" t="s">
        <v>99</v>
      </c>
      <c r="J11" s="8"/>
    </row>
    <row r="12" spans="3:10" ht="15.6" x14ac:dyDescent="0.3">
      <c r="C12" s="6"/>
      <c r="D12" s="7"/>
      <c r="E12" s="4"/>
      <c r="F12" s="7"/>
      <c r="G12" s="7"/>
      <c r="H12" s="7"/>
      <c r="I12" s="7"/>
      <c r="J12" s="8"/>
    </row>
    <row r="13" spans="3:10" ht="15.6" x14ac:dyDescent="0.3">
      <c r="C13" s="6"/>
      <c r="D13" s="7"/>
      <c r="E13" s="7"/>
      <c r="F13" s="7"/>
      <c r="G13" s="7"/>
      <c r="H13" s="7"/>
      <c r="I13" s="7"/>
      <c r="J13" s="8"/>
    </row>
    <row r="14" spans="3:10" ht="15.6" x14ac:dyDescent="0.3">
      <c r="C14" s="6"/>
      <c r="D14" s="3" t="s">
        <v>76</v>
      </c>
      <c r="E14" s="4"/>
      <c r="F14" s="4"/>
      <c r="G14" s="4"/>
      <c r="H14" s="5"/>
      <c r="I14" s="26" t="s">
        <v>307</v>
      </c>
      <c r="J14" s="8"/>
    </row>
    <row r="15" spans="3:10" ht="15.6" x14ac:dyDescent="0.3">
      <c r="C15" s="6"/>
      <c r="D15" s="6" t="s">
        <v>79</v>
      </c>
      <c r="E15" s="7"/>
      <c r="F15" s="7"/>
      <c r="G15" s="7"/>
      <c r="H15" s="8"/>
      <c r="I15" s="26">
        <v>0</v>
      </c>
      <c r="J15" s="8"/>
    </row>
    <row r="16" spans="3:10" ht="15.6" x14ac:dyDescent="0.3">
      <c r="C16" s="6"/>
      <c r="D16" s="6" t="s">
        <v>100</v>
      </c>
      <c r="E16" s="7"/>
      <c r="F16" s="7"/>
      <c r="G16" s="7"/>
      <c r="H16" s="8"/>
      <c r="I16" s="26">
        <v>18584</v>
      </c>
      <c r="J16" s="8"/>
    </row>
    <row r="17" spans="3:10" ht="15.6" x14ac:dyDescent="0.3">
      <c r="C17" s="6"/>
      <c r="D17" s="6" t="s">
        <v>101</v>
      </c>
      <c r="E17" s="7"/>
      <c r="F17" s="7"/>
      <c r="G17" s="7"/>
      <c r="H17" s="8"/>
      <c r="I17" s="26">
        <v>11312</v>
      </c>
      <c r="J17" s="8"/>
    </row>
    <row r="18" spans="3:10" ht="15.6" x14ac:dyDescent="0.3">
      <c r="C18" s="6"/>
      <c r="D18" s="6" t="s">
        <v>102</v>
      </c>
      <c r="E18" s="7"/>
      <c r="F18" s="7"/>
      <c r="G18" s="7"/>
      <c r="H18" s="8"/>
      <c r="I18" s="26">
        <v>0</v>
      </c>
      <c r="J18" s="8"/>
    </row>
    <row r="19" spans="3:10" ht="15.6" x14ac:dyDescent="0.3">
      <c r="C19" s="6"/>
      <c r="D19" s="6" t="s">
        <v>103</v>
      </c>
      <c r="E19" s="7"/>
      <c r="F19" s="7"/>
      <c r="G19" s="7"/>
      <c r="H19" s="8"/>
      <c r="I19" s="26">
        <v>12120</v>
      </c>
      <c r="J19" s="8"/>
    </row>
    <row r="20" spans="3:10" ht="15.6" x14ac:dyDescent="0.3">
      <c r="C20" s="6"/>
      <c r="D20" s="6" t="s">
        <v>77</v>
      </c>
      <c r="E20" s="7"/>
      <c r="F20" s="7"/>
      <c r="G20" s="7"/>
      <c r="H20" s="8"/>
      <c r="I20" s="26">
        <v>15000</v>
      </c>
      <c r="J20" s="8"/>
    </row>
    <row r="21" spans="3:10" ht="15.6" x14ac:dyDescent="0.3">
      <c r="C21" s="6"/>
      <c r="D21" s="6" t="s">
        <v>78</v>
      </c>
      <c r="E21" s="7"/>
      <c r="F21" s="7"/>
      <c r="G21" s="7"/>
      <c r="H21" s="8"/>
      <c r="I21" s="26" t="s">
        <v>309</v>
      </c>
      <c r="J21" s="8"/>
    </row>
    <row r="22" spans="3:10" ht="15.6" x14ac:dyDescent="0.3">
      <c r="C22" s="6"/>
      <c r="D22" s="6" t="s">
        <v>80</v>
      </c>
      <c r="E22" s="7"/>
      <c r="F22" s="12"/>
      <c r="G22" s="12"/>
      <c r="H22" s="11"/>
      <c r="I22" s="26">
        <v>0</v>
      </c>
      <c r="J22" s="8"/>
    </row>
    <row r="23" spans="3:10" ht="15.6" x14ac:dyDescent="0.3">
      <c r="C23" s="6"/>
      <c r="D23" s="9"/>
      <c r="E23" s="13"/>
      <c r="F23" s="13"/>
      <c r="G23" s="29" t="s">
        <v>81</v>
      </c>
      <c r="H23" s="12"/>
      <c r="I23" s="27" t="s">
        <v>309</v>
      </c>
      <c r="J23" s="8"/>
    </row>
    <row r="24" spans="3:10" ht="15.6" x14ac:dyDescent="0.3">
      <c r="C24" s="6"/>
      <c r="D24" s="3"/>
      <c r="E24" s="4"/>
      <c r="F24" s="3" t="s">
        <v>84</v>
      </c>
      <c r="G24" s="4"/>
      <c r="H24" s="4"/>
      <c r="I24" s="26">
        <v>20160</v>
      </c>
      <c r="J24" s="8"/>
    </row>
    <row r="25" spans="3:10" ht="15.6" x14ac:dyDescent="0.3">
      <c r="C25" s="6"/>
      <c r="D25" s="6"/>
      <c r="E25" s="7"/>
      <c r="F25" s="6" t="s">
        <v>85</v>
      </c>
      <c r="G25" s="7"/>
      <c r="H25" s="8"/>
      <c r="I25" s="26">
        <v>0</v>
      </c>
      <c r="J25" s="8"/>
    </row>
    <row r="26" spans="3:10" ht="15.6" x14ac:dyDescent="0.3">
      <c r="C26" s="6"/>
      <c r="D26" s="6"/>
      <c r="E26" s="7"/>
      <c r="F26" s="6" t="s">
        <v>86</v>
      </c>
      <c r="G26" s="7"/>
      <c r="H26" s="8"/>
      <c r="I26" s="26">
        <v>0</v>
      </c>
      <c r="J26" s="8"/>
    </row>
    <row r="27" spans="3:10" ht="15.6" x14ac:dyDescent="0.3">
      <c r="C27" s="6"/>
      <c r="D27" s="6" t="s">
        <v>20</v>
      </c>
      <c r="E27" s="7"/>
      <c r="F27" s="6" t="s">
        <v>87</v>
      </c>
      <c r="G27" s="7"/>
      <c r="H27" s="7"/>
      <c r="I27" s="26">
        <v>900</v>
      </c>
      <c r="J27" s="8"/>
    </row>
    <row r="28" spans="3:10" ht="15.6" x14ac:dyDescent="0.3">
      <c r="C28" s="6"/>
      <c r="D28" s="6"/>
      <c r="E28" s="7"/>
      <c r="F28" s="6" t="s">
        <v>88</v>
      </c>
      <c r="G28" s="7"/>
      <c r="H28" s="8"/>
      <c r="I28" s="26">
        <v>62500</v>
      </c>
      <c r="J28" s="8"/>
    </row>
    <row r="29" spans="3:10" ht="15.6" x14ac:dyDescent="0.3">
      <c r="C29" s="6"/>
      <c r="D29" s="6"/>
      <c r="E29" s="7"/>
      <c r="F29" s="6" t="s">
        <v>82</v>
      </c>
      <c r="G29" s="7"/>
      <c r="H29" s="7"/>
      <c r="I29" s="26">
        <v>0</v>
      </c>
      <c r="J29" s="8"/>
    </row>
    <row r="30" spans="3:10" ht="15.6" x14ac:dyDescent="0.3">
      <c r="C30" s="6"/>
      <c r="D30" s="6"/>
      <c r="E30" s="7"/>
      <c r="F30" s="6" t="s">
        <v>83</v>
      </c>
      <c r="G30" s="7"/>
      <c r="H30" s="7"/>
      <c r="I30" s="26">
        <v>0</v>
      </c>
      <c r="J30" s="8"/>
    </row>
    <row r="31" spans="3:10" ht="15.6" x14ac:dyDescent="0.3">
      <c r="C31" s="6"/>
      <c r="D31" s="4"/>
      <c r="E31" s="4"/>
      <c r="F31" s="5"/>
      <c r="G31" s="28" t="s">
        <v>89</v>
      </c>
      <c r="H31" s="13"/>
      <c r="I31" s="26">
        <v>83560</v>
      </c>
      <c r="J31" s="8"/>
    </row>
    <row r="32" spans="3:10" ht="15.6" x14ac:dyDescent="0.3">
      <c r="C32" s="6"/>
      <c r="D32" s="7"/>
      <c r="E32" s="7"/>
      <c r="F32" s="7"/>
      <c r="G32" s="30" t="s">
        <v>90</v>
      </c>
      <c r="H32" s="7"/>
      <c r="I32" s="26" t="s">
        <v>310</v>
      </c>
      <c r="J32" s="8"/>
    </row>
    <row r="33" spans="3:11" ht="15.6" x14ac:dyDescent="0.3">
      <c r="C33" s="6"/>
      <c r="D33" s="7"/>
      <c r="E33" s="7"/>
      <c r="F33" s="8"/>
      <c r="G33" s="9" t="s">
        <v>91</v>
      </c>
      <c r="H33" s="13"/>
      <c r="I33" s="26">
        <v>12500</v>
      </c>
      <c r="J33" s="8"/>
    </row>
    <row r="34" spans="3:11" ht="15.6" x14ac:dyDescent="0.3">
      <c r="C34" s="6"/>
      <c r="D34" s="7"/>
      <c r="E34" s="7"/>
      <c r="F34" s="8"/>
      <c r="G34" s="30" t="s">
        <v>104</v>
      </c>
      <c r="H34" s="13"/>
      <c r="I34" s="26" t="s">
        <v>311</v>
      </c>
      <c r="J34" s="8"/>
    </row>
    <row r="35" spans="3:11" ht="15.6" x14ac:dyDescent="0.3">
      <c r="C35" s="6"/>
      <c r="D35" s="36" t="s">
        <v>92</v>
      </c>
      <c r="E35" s="36"/>
      <c r="F35" s="36"/>
      <c r="G35" s="36"/>
      <c r="H35" s="36"/>
      <c r="I35" s="36"/>
      <c r="J35" s="14"/>
      <c r="K35" s="1"/>
    </row>
    <row r="36" spans="3:11" ht="15.6" x14ac:dyDescent="0.3">
      <c r="C36" s="6"/>
      <c r="D36" s="36" t="s">
        <v>93</v>
      </c>
      <c r="E36" s="36"/>
      <c r="F36" s="36"/>
      <c r="G36" s="36"/>
      <c r="H36" s="36"/>
      <c r="I36" s="36"/>
      <c r="J36" s="14"/>
      <c r="K36" s="1"/>
    </row>
    <row r="37" spans="3:11" ht="15.6" x14ac:dyDescent="0.3">
      <c r="C37" s="10"/>
      <c r="D37" s="15"/>
      <c r="E37" s="15"/>
      <c r="F37" s="15"/>
      <c r="G37" s="15"/>
      <c r="H37" s="15"/>
      <c r="I37" s="15"/>
      <c r="J37" s="16"/>
      <c r="K37" s="1"/>
    </row>
  </sheetData>
  <mergeCells count="2">
    <mergeCell ref="D35:I35"/>
    <mergeCell ref="D36:I3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print="0" autoLine="0" r:id="rId4">
            <anchor moveWithCells="1">
              <from>
                <xdr:col>11</xdr:col>
                <xdr:colOff>0</xdr:colOff>
                <xdr:row>3</xdr:row>
                <xdr:rowOff>175260</xdr:rowOff>
              </from>
              <to>
                <xdr:col>13</xdr:col>
                <xdr:colOff>15240</xdr:colOff>
                <xdr:row>6</xdr:row>
                <xdr:rowOff>53340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33E11-C802-46E6-BEDF-5A57D22E23A1}">
  <sheetPr codeName="Feuil10"/>
  <dimension ref="A1:B3"/>
  <sheetViews>
    <sheetView workbookViewId="0">
      <selection activeCell="I20" sqref="I20"/>
    </sheetView>
  </sheetViews>
  <sheetFormatPr baseColWidth="10" defaultRowHeight="14.4" x14ac:dyDescent="0.3"/>
  <cols>
    <col min="1" max="1" width="19.5546875" customWidth="1"/>
  </cols>
  <sheetData>
    <row r="1" spans="1:2" x14ac:dyDescent="0.3">
      <c r="A1" t="s">
        <v>108</v>
      </c>
      <c r="B1">
        <v>30</v>
      </c>
    </row>
    <row r="2" spans="1:2" x14ac:dyDescent="0.3">
      <c r="A2" t="s">
        <v>109</v>
      </c>
      <c r="B2">
        <v>20</v>
      </c>
    </row>
    <row r="3" spans="1:2" x14ac:dyDescent="0.3">
      <c r="A3" t="s">
        <v>105</v>
      </c>
      <c r="B3">
        <v>50</v>
      </c>
    </row>
  </sheetData>
  <conditionalFormatting sqref="B1:B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62883-A40D-49E6-A3F3-E0D14C5F0459}">
  <sheetPr codeName="Feuil9"/>
  <dimension ref="A1:B3"/>
  <sheetViews>
    <sheetView workbookViewId="0">
      <selection activeCell="M16" sqref="M16"/>
    </sheetView>
  </sheetViews>
  <sheetFormatPr baseColWidth="10" defaultRowHeight="14.4" x14ac:dyDescent="0.3"/>
  <cols>
    <col min="1" max="1" width="30.109375" customWidth="1"/>
  </cols>
  <sheetData>
    <row r="1" spans="1:2" x14ac:dyDescent="0.3">
      <c r="A1" t="s">
        <v>107</v>
      </c>
      <c r="B1">
        <v>38</v>
      </c>
    </row>
    <row r="2" spans="1:2" x14ac:dyDescent="0.3">
      <c r="A2" t="s">
        <v>106</v>
      </c>
      <c r="B2">
        <v>12</v>
      </c>
    </row>
    <row r="3" spans="1:2" x14ac:dyDescent="0.3">
      <c r="A3" t="s">
        <v>105</v>
      </c>
      <c r="B3">
        <v>50</v>
      </c>
    </row>
  </sheetData>
  <conditionalFormatting sqref="B1:B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9065C-C48C-4C7A-9B39-BE725C9BAF04}">
  <sheetPr codeName="Feuil11"/>
  <dimension ref="A1:B4"/>
  <sheetViews>
    <sheetView workbookViewId="0">
      <selection activeCell="L20" sqref="L20"/>
    </sheetView>
  </sheetViews>
  <sheetFormatPr baseColWidth="10" defaultRowHeight="14.4" x14ac:dyDescent="0.3"/>
  <sheetData>
    <row r="1" spans="1:2" x14ac:dyDescent="0.3">
      <c r="A1" t="s">
        <v>110</v>
      </c>
      <c r="B1">
        <v>10</v>
      </c>
    </row>
    <row r="2" spans="1:2" x14ac:dyDescent="0.3">
      <c r="A2" t="s">
        <v>111</v>
      </c>
      <c r="B2">
        <v>38</v>
      </c>
    </row>
    <row r="3" spans="1:2" x14ac:dyDescent="0.3">
      <c r="A3" t="s">
        <v>112</v>
      </c>
      <c r="B3">
        <v>2</v>
      </c>
    </row>
    <row r="4" spans="1:2" x14ac:dyDescent="0.3">
      <c r="A4" t="s">
        <v>105</v>
      </c>
      <c r="B4">
        <v>50</v>
      </c>
    </row>
  </sheetData>
  <conditionalFormatting sqref="B1:B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22860</xdr:colOff>
                <xdr:row>3</xdr:row>
                <xdr:rowOff>15240</xdr:rowOff>
              </to>
            </anchor>
          </controlPr>
        </control>
      </mc:Choice>
      <mc:Fallback>
        <control shapeId="20481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B9E4F-B388-4DD6-B92F-21256B9CC62F}">
  <sheetPr codeName="Feuil12"/>
  <dimension ref="A1:B3"/>
  <sheetViews>
    <sheetView workbookViewId="0">
      <selection activeCell="L13" sqref="L13"/>
    </sheetView>
  </sheetViews>
  <sheetFormatPr baseColWidth="10" defaultRowHeight="14.4" x14ac:dyDescent="0.3"/>
  <cols>
    <col min="1" max="1" width="35.6640625" customWidth="1"/>
  </cols>
  <sheetData>
    <row r="1" spans="1:2" x14ac:dyDescent="0.3">
      <c r="A1" t="s">
        <v>115</v>
      </c>
      <c r="B1">
        <v>88.011795698249202</v>
      </c>
    </row>
    <row r="2" spans="1:2" x14ac:dyDescent="0.3">
      <c r="A2" t="s">
        <v>116</v>
      </c>
      <c r="B2">
        <v>11.988204301750793</v>
      </c>
    </row>
    <row r="3" spans="1:2" x14ac:dyDescent="0.3">
      <c r="A3" t="s">
        <v>117</v>
      </c>
      <c r="B3">
        <v>1044401.4063200001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autoLine="0" r:id="rId4">
            <anchor moveWithCells="1">
              <from>
                <xdr:col>5</xdr:col>
                <xdr:colOff>22860</xdr:colOff>
                <xdr:row>0</xdr:row>
                <xdr:rowOff>175260</xdr:rowOff>
              </from>
              <to>
                <xdr:col>7</xdr:col>
                <xdr:colOff>22860</xdr:colOff>
                <xdr:row>2</xdr:row>
                <xdr:rowOff>175260</xdr:rowOff>
              </to>
            </anchor>
          </controlPr>
        </control>
      </mc:Choice>
      <mc:Fallback>
        <control shapeId="2150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35D01-CD02-435B-8FE0-16E34C220009}">
  <sheetPr codeName="Feuil6"/>
  <dimension ref="A2:H28"/>
  <sheetViews>
    <sheetView topLeftCell="A3" workbookViewId="0">
      <selection activeCell="D14" sqref="D14"/>
    </sheetView>
  </sheetViews>
  <sheetFormatPr baseColWidth="10" defaultRowHeight="14.4" x14ac:dyDescent="0.3"/>
  <cols>
    <col min="1" max="1" width="14.109375" customWidth="1"/>
    <col min="2" max="2" width="13.33203125" customWidth="1"/>
    <col min="3" max="3" width="47.33203125" customWidth="1"/>
    <col min="4" max="4" width="10.5546875" customWidth="1"/>
    <col min="5" max="5" width="17.6640625" customWidth="1"/>
    <col min="6" max="6" width="16.6640625" customWidth="1"/>
  </cols>
  <sheetData>
    <row r="2" spans="1:8" x14ac:dyDescent="0.3">
      <c r="C2" t="s">
        <v>26</v>
      </c>
    </row>
    <row r="4" spans="1:8" x14ac:dyDescent="0.3">
      <c r="A4" t="s">
        <v>27</v>
      </c>
      <c r="B4" t="s">
        <v>30</v>
      </c>
      <c r="C4" s="1" t="s">
        <v>22</v>
      </c>
      <c r="D4" t="s">
        <v>28</v>
      </c>
      <c r="E4" t="s">
        <v>29</v>
      </c>
    </row>
    <row r="5" spans="1:8" x14ac:dyDescent="0.3">
      <c r="A5">
        <v>421</v>
      </c>
      <c r="C5" s="1" t="s">
        <v>31</v>
      </c>
      <c r="D5" s="1">
        <f>Tableau1[AV_AC]</f>
        <v>13124454.933333332</v>
      </c>
      <c r="E5" s="1"/>
    </row>
    <row r="6" spans="1:8" x14ac:dyDescent="0.3">
      <c r="B6">
        <v>521</v>
      </c>
      <c r="C6" s="2" t="s">
        <v>32</v>
      </c>
      <c r="D6" s="1"/>
      <c r="E6" s="1">
        <f>D5</f>
        <v>13124454.933333332</v>
      </c>
    </row>
    <row r="7" spans="1:8" x14ac:dyDescent="0.3">
      <c r="C7" s="1" t="s">
        <v>37</v>
      </c>
      <c r="D7" s="1"/>
      <c r="E7" s="1"/>
      <c r="G7">
        <f>SUM(D5+D9+D10+D14+D22+D23)</f>
        <v>118320941.82666668</v>
      </c>
      <c r="H7">
        <f>SUM(E6+E11+E15+E16+E17+E18+E19+E20+E24)</f>
        <v>118320941.82666668</v>
      </c>
    </row>
    <row r="9" spans="1:8" x14ac:dyDescent="0.3">
      <c r="A9">
        <v>661</v>
      </c>
      <c r="C9" s="1" t="s">
        <v>33</v>
      </c>
      <c r="D9" s="1">
        <f>Tableau1[SBS]</f>
        <v>45692515.980000012</v>
      </c>
      <c r="E9" s="1"/>
    </row>
    <row r="10" spans="1:8" x14ac:dyDescent="0.3">
      <c r="A10">
        <v>663</v>
      </c>
      <c r="C10" s="1" t="s">
        <v>34</v>
      </c>
      <c r="D10" s="1">
        <f>Tableau1[IND.]</f>
        <v>202000</v>
      </c>
      <c r="E10" s="1"/>
    </row>
    <row r="11" spans="1:8" x14ac:dyDescent="0.3">
      <c r="B11">
        <v>422</v>
      </c>
      <c r="C11" s="1" t="s">
        <v>35</v>
      </c>
      <c r="D11" s="1"/>
      <c r="E11" s="1">
        <f>SUM(D9,D10)</f>
        <v>45894515.980000012</v>
      </c>
    </row>
    <row r="12" spans="1:8" x14ac:dyDescent="0.3">
      <c r="C12" s="1" t="s">
        <v>38</v>
      </c>
      <c r="D12" s="1"/>
      <c r="E12" s="1"/>
    </row>
    <row r="14" spans="1:8" x14ac:dyDescent="0.3">
      <c r="A14">
        <v>422</v>
      </c>
      <c r="C14" s="1" t="s">
        <v>36</v>
      </c>
      <c r="D14" s="1">
        <f>SUM(E15:E20)</f>
        <v>27536411.272986665</v>
      </c>
      <c r="E14" s="1"/>
    </row>
    <row r="15" spans="1:8" x14ac:dyDescent="0.3">
      <c r="B15">
        <v>421</v>
      </c>
      <c r="C15" s="2" t="s">
        <v>31</v>
      </c>
      <c r="D15" s="1"/>
      <c r="E15" s="1">
        <f>D5</f>
        <v>13124454.933333332</v>
      </c>
    </row>
    <row r="16" spans="1:8" x14ac:dyDescent="0.3">
      <c r="B16">
        <v>4313</v>
      </c>
      <c r="C16" s="2" t="s">
        <v>39</v>
      </c>
      <c r="D16" s="1"/>
      <c r="E16" s="1">
        <f>Tableau1[RG]</f>
        <v>919196.43200000003</v>
      </c>
    </row>
    <row r="17" spans="1:5" x14ac:dyDescent="0.3">
      <c r="B17">
        <v>4314</v>
      </c>
      <c r="C17" s="2" t="s">
        <v>40</v>
      </c>
      <c r="D17" s="1"/>
      <c r="E17" s="1">
        <f>Tableau1[RC]</f>
        <v>125204.97432000002</v>
      </c>
    </row>
    <row r="18" spans="1:5" x14ac:dyDescent="0.3">
      <c r="B18">
        <v>4331</v>
      </c>
      <c r="C18" s="2" t="s">
        <v>41</v>
      </c>
      <c r="D18" s="1"/>
      <c r="E18" s="1">
        <f>Tableau1[IPM]</f>
        <v>102500</v>
      </c>
    </row>
    <row r="19" spans="1:5" x14ac:dyDescent="0.3">
      <c r="B19">
        <v>447</v>
      </c>
      <c r="C19" s="2" t="s">
        <v>42</v>
      </c>
      <c r="D19" s="1"/>
      <c r="E19" s="1">
        <f>Tableau1[TRIMF]+Tableau1[IR]</f>
        <v>13200054.933333332</v>
      </c>
    </row>
    <row r="20" spans="1:5" x14ac:dyDescent="0.3">
      <c r="B20">
        <v>423</v>
      </c>
      <c r="C20" s="2" t="s">
        <v>43</v>
      </c>
      <c r="D20" s="1"/>
      <c r="E20" s="1">
        <f>Tableau1[OPP]</f>
        <v>65000</v>
      </c>
    </row>
    <row r="21" spans="1:5" x14ac:dyDescent="0.3">
      <c r="C21" s="1" t="s">
        <v>44</v>
      </c>
      <c r="D21" s="1"/>
      <c r="E21" s="1"/>
    </row>
    <row r="22" spans="1:5" x14ac:dyDescent="0.3">
      <c r="A22">
        <v>422</v>
      </c>
      <c r="C22" s="1" t="s">
        <v>36</v>
      </c>
      <c r="D22">
        <f>Tableau1[NAP]</f>
        <v>31700559.640346676</v>
      </c>
    </row>
    <row r="23" spans="1:5" x14ac:dyDescent="0.3">
      <c r="A23">
        <v>423</v>
      </c>
      <c r="C23" s="1" t="s">
        <v>43</v>
      </c>
      <c r="D23" s="1">
        <f>Tableau1[OPP]</f>
        <v>65000</v>
      </c>
      <c r="E23" s="1"/>
    </row>
    <row r="24" spans="1:5" x14ac:dyDescent="0.3">
      <c r="B24">
        <v>5</v>
      </c>
      <c r="C24" s="2" t="s">
        <v>32</v>
      </c>
      <c r="D24" s="1"/>
      <c r="E24" s="1">
        <f>D22+D23</f>
        <v>31765559.640346676</v>
      </c>
    </row>
    <row r="25" spans="1:5" x14ac:dyDescent="0.3">
      <c r="C25" s="1"/>
      <c r="D25" s="1"/>
      <c r="E25" s="1"/>
    </row>
    <row r="26" spans="1:5" x14ac:dyDescent="0.3">
      <c r="C26" s="1"/>
      <c r="D26" s="1"/>
      <c r="E26" s="1"/>
    </row>
    <row r="27" spans="1:5" x14ac:dyDescent="0.3">
      <c r="C27" s="1"/>
    </row>
    <row r="28" spans="1:5" x14ac:dyDescent="0.3">
      <c r="C28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728-F7E5-4BF1-8E54-76A44AD5D1B0}">
  <sheetPr codeName="Feuil8"/>
  <dimension ref="A1:B3"/>
  <sheetViews>
    <sheetView workbookViewId="0">
      <selection activeCell="G4" sqref="G4"/>
    </sheetView>
  </sheetViews>
  <sheetFormatPr baseColWidth="10" defaultRowHeight="14.4" x14ac:dyDescent="0.3"/>
  <sheetData>
    <row r="1" spans="1:2" x14ac:dyDescent="0.3">
      <c r="A1" t="s">
        <v>113</v>
      </c>
      <c r="B1">
        <v>11</v>
      </c>
    </row>
    <row r="2" spans="1:2" x14ac:dyDescent="0.3">
      <c r="A2" t="s">
        <v>114</v>
      </c>
      <c r="B2">
        <v>39</v>
      </c>
    </row>
    <row r="3" spans="1:2" x14ac:dyDescent="0.3">
      <c r="A3" t="s">
        <v>105</v>
      </c>
      <c r="B3">
        <v>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autoLine="0" r:id="rId4">
            <anchor moveWithCells="1">
              <from>
                <xdr:col>3</xdr:col>
                <xdr:colOff>746760</xdr:colOff>
                <xdr:row>1</xdr:row>
                <xdr:rowOff>7620</xdr:rowOff>
              </from>
              <to>
                <xdr:col>5</xdr:col>
                <xdr:colOff>777240</xdr:colOff>
                <xdr:row>2</xdr:row>
                <xdr:rowOff>175260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04566-00F4-497B-AF2D-D8D6D9642A0A}">
  <sheetPr codeName="Feuil7"/>
  <dimension ref="A1:C4"/>
  <sheetViews>
    <sheetView workbookViewId="0">
      <selection activeCell="C14" sqref="C14"/>
    </sheetView>
  </sheetViews>
  <sheetFormatPr baseColWidth="10" defaultRowHeight="14.4" x14ac:dyDescent="0.3"/>
  <sheetData>
    <row r="1" spans="1:3" x14ac:dyDescent="0.3">
      <c r="A1" t="s">
        <v>3</v>
      </c>
      <c r="B1" t="s">
        <v>4</v>
      </c>
      <c r="C1" t="s">
        <v>45</v>
      </c>
    </row>
    <row r="2" spans="1:3" x14ac:dyDescent="0.3">
      <c r="A2" t="s">
        <v>9</v>
      </c>
      <c r="B2" t="s">
        <v>11</v>
      </c>
      <c r="C2" t="s">
        <v>10</v>
      </c>
    </row>
    <row r="3" spans="1:3" x14ac:dyDescent="0.3">
      <c r="A3" t="s">
        <v>47</v>
      </c>
      <c r="B3" t="s">
        <v>12</v>
      </c>
      <c r="C3" t="s">
        <v>46</v>
      </c>
    </row>
    <row r="4" spans="1:3" x14ac:dyDescent="0.3">
      <c r="B4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ACCEUIL</vt:lpstr>
      <vt:lpstr>BASE_DONNEES_GP</vt:lpstr>
      <vt:lpstr>BASE_SALARIALE</vt:lpstr>
      <vt:lpstr>LIVRE</vt:lpstr>
      <vt:lpstr>Bultin</vt:lpstr>
      <vt:lpstr>ETAT CIVIL</vt:lpstr>
      <vt:lpstr>SEXE</vt:lpstr>
      <vt:lpstr>AGE</vt:lpstr>
      <vt:lpstr>IPRESS</vt:lpstr>
      <vt:lpstr>Book</vt:lpstr>
      <vt:lpstr>CATEGORIE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lenovo T540p</cp:lastModifiedBy>
  <dcterms:created xsi:type="dcterms:W3CDTF">2020-04-22T12:18:36Z</dcterms:created>
  <dcterms:modified xsi:type="dcterms:W3CDTF">2020-05-31T08:34:43Z</dcterms:modified>
</cp:coreProperties>
</file>