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9.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1.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2.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3.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4.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5.xml" ContentType="application/vnd.openxmlformats-officedocument.themeOverrid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6.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7.xml" ContentType="application/vnd.openxmlformats-officedocument.themeOverrid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18.xml" ContentType="application/vnd.openxmlformats-officedocument.themeOverrid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19.xml" ContentType="application/vnd.openxmlformats-officedocument.themeOverrid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theme/themeOverride20.xml" ContentType="application/vnd.openxmlformats-officedocument.themeOverrid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21.xml" ContentType="application/vnd.openxmlformats-officedocument.themeOverrid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22.xml" ContentType="application/vnd.openxmlformats-officedocument.themeOverrid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23.xml" ContentType="application/vnd.openxmlformats-officedocument.themeOverrid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4.xml" ContentType="application/vnd.openxmlformats-officedocument.themeOverrid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25.xml" ContentType="application/vnd.openxmlformats-officedocument.themeOverrid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26.xml" ContentType="application/vnd.openxmlformats-officedocument.themeOverrid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27.xml" ContentType="application/vnd.openxmlformats-officedocument.themeOverrid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28.xml" ContentType="application/vnd.openxmlformats-officedocument.themeOverrid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29.xml" ContentType="application/vnd.openxmlformats-officedocument.themeOverrid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30.xml" ContentType="application/vnd.openxmlformats-officedocument.themeOverrid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31.xml" ContentType="application/vnd.openxmlformats-officedocument.themeOverrid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32.xml" ContentType="application/vnd.openxmlformats-officedocument.themeOverrid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33.xml" ContentType="application/vnd.openxmlformats-officedocument.themeOverrid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34.xml" ContentType="application/vnd.openxmlformats-officedocument.themeOverrid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theme/themeOverride35.xml" ContentType="application/vnd.openxmlformats-officedocument.themeOverrid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36.xml" ContentType="application/vnd.openxmlformats-officedocument.themeOverrid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theme/themeOverride37.xml" ContentType="application/vnd.openxmlformats-officedocument.themeOverrid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theme/themeOverride38.xml" ContentType="application/vnd.openxmlformats-officedocument.themeOverrid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theme/themeOverride39.xml" ContentType="application/vnd.openxmlformats-officedocument.themeOverrid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theme/themeOverride40.xml" ContentType="application/vnd.openxmlformats-officedocument.themeOverrid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theme/themeOverride41.xml" ContentType="application/vnd.openxmlformats-officedocument.themeOverrid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theme/themeOverride42.xml" ContentType="application/vnd.openxmlformats-officedocument.themeOverrid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theme/themeOverride43.xml" ContentType="application/vnd.openxmlformats-officedocument.themeOverrid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theme/themeOverride44.xml" ContentType="application/vnd.openxmlformats-officedocument.themeOverrid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theme/themeOverride45.xml" ContentType="application/vnd.openxmlformats-officedocument.themeOverrid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V:\"/>
    </mc:Choice>
  </mc:AlternateContent>
  <xr:revisionPtr revIDLastSave="0" documentId="13_ncr:1_{62551FC1-D112-441A-B744-FD6AEC01C8E9}" xr6:coauthVersionLast="47" xr6:coauthVersionMax="47" xr10:uidLastSave="{00000000-0000-0000-0000-000000000000}"/>
  <bookViews>
    <workbookView xWindow="-120" yWindow="-120" windowWidth="29040" windowHeight="15720" tabRatio="884" xr2:uid="{00000000-000D-0000-FFFF-FFFF00000000}"/>
  </bookViews>
  <sheets>
    <sheet name="BDD_saisies" sheetId="4" r:id="rId1"/>
    <sheet name="Analyse flux entrant" sheetId="10" r:id="rId2"/>
    <sheet name="Analyse flux sortant" sheetId="12" r:id="rId3"/>
    <sheet name="Analyse sorties TO" sheetId="15" r:id="rId4"/>
    <sheet name="Analyse flux tables de tri" sheetId="23" r:id="rId5"/>
    <sheet name="TCD sortants série 1 (novembre)" sheetId="11" state="hidden" r:id="rId6"/>
    <sheet name="TCD sortants série 2 (décembre)" sheetId="16" state="hidden" r:id="rId7"/>
    <sheet name="TCD sortants série 3 (janvier)" sheetId="17" state="hidden" r:id="rId8"/>
    <sheet name="TCD sortants série 4 (février)" sheetId="19" state="hidden" r:id="rId9"/>
    <sheet name="TCD TO série 1" sheetId="14" state="hidden" r:id="rId10"/>
    <sheet name="TCD TO série 3" sheetId="18" state="hidden" r:id="rId11"/>
    <sheet name="TCD TO série 4" sheetId="21" state="hidden" r:id="rId12"/>
    <sheet name="TCD tables" sheetId="22" state="hidden" r:id="rId13"/>
    <sheet name="Imprimable" sheetId="3" state="hidden" r:id="rId14"/>
    <sheet name="Bacs-caissettes" sheetId="5" state="hidden" r:id="rId15"/>
  </sheets>
  <externalReferences>
    <externalReference r:id="rId16"/>
    <externalReference r:id="rId17"/>
    <externalReference r:id="rId18"/>
    <externalReference r:id="rId19"/>
    <externalReference r:id="rId20"/>
    <externalReference r:id="rId21"/>
  </externalReferences>
  <definedNames>
    <definedName name="__ci1" localSheetId="4">#REF!</definedName>
    <definedName name="__ci1" localSheetId="3">#REF!</definedName>
    <definedName name="__ci1" localSheetId="12">#REF!</definedName>
    <definedName name="__ci1">#REF!</definedName>
    <definedName name="__ci2" localSheetId="4">#REF!</definedName>
    <definedName name="__ci2" localSheetId="3">#REF!</definedName>
    <definedName name="__ci2" localSheetId="12">#REF!</definedName>
    <definedName name="__ci2">#REF!</definedName>
    <definedName name="__CON1" localSheetId="4">#REF!</definedName>
    <definedName name="__CON1" localSheetId="3">#REF!</definedName>
    <definedName name="__CON1" localSheetId="12">#REF!</definedName>
    <definedName name="__CON1">#REF!</definedName>
    <definedName name="__CON2" localSheetId="4">#REF!</definedName>
    <definedName name="__CON2" localSheetId="3">#REF!</definedName>
    <definedName name="__CON2" localSheetId="12">#REF!</definedName>
    <definedName name="__CON2">#REF!</definedName>
    <definedName name="__ni1" localSheetId="4">#REF!</definedName>
    <definedName name="__ni1" localSheetId="3">#REF!</definedName>
    <definedName name="__ni1" localSheetId="12">#REF!</definedName>
    <definedName name="__ni1">#REF!</definedName>
    <definedName name="__ni2" localSheetId="4">#REF!</definedName>
    <definedName name="__ni2" localSheetId="3">#REF!</definedName>
    <definedName name="__ni2" localSheetId="12">#REF!</definedName>
    <definedName name="__ni2">#REF!</definedName>
    <definedName name="__pff1" localSheetId="4">#REF!</definedName>
    <definedName name="__pff1" localSheetId="3">#REF!</definedName>
    <definedName name="__pff1" localSheetId="12">#REF!</definedName>
    <definedName name="__pff1">#REF!</definedName>
    <definedName name="__pff2" localSheetId="4">#REF!</definedName>
    <definedName name="__pff2" localSheetId="3">#REF!</definedName>
    <definedName name="__pff2" localSheetId="12">#REF!</definedName>
    <definedName name="__pff2">#REF!</definedName>
    <definedName name="__pfi1" localSheetId="4">#REF!</definedName>
    <definedName name="__pfi1" localSheetId="3">#REF!</definedName>
    <definedName name="__pfi1" localSheetId="12">#REF!</definedName>
    <definedName name="__pfi1">#REF!</definedName>
    <definedName name="__pfi2" localSheetId="4">#REF!</definedName>
    <definedName name="__pfi2" localSheetId="3">#REF!</definedName>
    <definedName name="__pfi2" localSheetId="12">#REF!</definedName>
    <definedName name="__pfi2">#REF!</definedName>
    <definedName name="__SAL97" localSheetId="4">#REF!</definedName>
    <definedName name="__SAL97" localSheetId="3">#REF!</definedName>
    <definedName name="__SAL97" localSheetId="12">#REF!</definedName>
    <definedName name="__SAL97">#REF!</definedName>
    <definedName name="__SAL98" localSheetId="4">#REF!</definedName>
    <definedName name="__SAL98" localSheetId="3">#REF!</definedName>
    <definedName name="__SAL98" localSheetId="12">#REF!</definedName>
    <definedName name="__SAL98">#REF!</definedName>
    <definedName name="__SAL99" localSheetId="4">#REF!</definedName>
    <definedName name="__SAL99" localSheetId="3">#REF!</definedName>
    <definedName name="__SAL99" localSheetId="12">#REF!</definedName>
    <definedName name="__SAL99">#REF!</definedName>
    <definedName name="__tri1" localSheetId="4">#REF!</definedName>
    <definedName name="__tri1" localSheetId="3">#REF!</definedName>
    <definedName name="__tri1" localSheetId="12">#REF!</definedName>
    <definedName name="__tri1">#REF!</definedName>
    <definedName name="__tri2" localSheetId="4">#REF!</definedName>
    <definedName name="__tri2" localSheetId="3">#REF!</definedName>
    <definedName name="__tri2" localSheetId="12">#REF!</definedName>
    <definedName name="__tri2">#REF!</definedName>
    <definedName name="_ci1" localSheetId="4">#REF!</definedName>
    <definedName name="_ci1" localSheetId="3">#REF!</definedName>
    <definedName name="_ci1" localSheetId="12">#REF!</definedName>
    <definedName name="_ci1">#REF!</definedName>
    <definedName name="_ci2" localSheetId="4">#REF!</definedName>
    <definedName name="_ci2" localSheetId="3">#REF!</definedName>
    <definedName name="_ci2" localSheetId="12">#REF!</definedName>
    <definedName name="_ci2">#REF!</definedName>
    <definedName name="_CON1" localSheetId="4">#REF!</definedName>
    <definedName name="_CON1" localSheetId="3">#REF!</definedName>
    <definedName name="_CON1" localSheetId="12">#REF!</definedName>
    <definedName name="_CON1">#REF!</definedName>
    <definedName name="_CON2" localSheetId="4">#REF!</definedName>
    <definedName name="_CON2" localSheetId="3">#REF!</definedName>
    <definedName name="_CON2" localSheetId="12">#REF!</definedName>
    <definedName name="_CON2">#REF!</definedName>
    <definedName name="_xlnm._FilterDatabase" localSheetId="0" hidden="1">BDD_saisies!$C$1:$N$1777</definedName>
    <definedName name="_ni1" localSheetId="4">#REF!</definedName>
    <definedName name="_ni1" localSheetId="3">#REF!</definedName>
    <definedName name="_ni1" localSheetId="12">#REF!</definedName>
    <definedName name="_ni1">#REF!</definedName>
    <definedName name="_ni2" localSheetId="4">#REF!</definedName>
    <definedName name="_ni2" localSheetId="3">#REF!</definedName>
    <definedName name="_ni2" localSheetId="12">#REF!</definedName>
    <definedName name="_ni2">#REF!</definedName>
    <definedName name="_pff1" localSheetId="4">#REF!</definedName>
    <definedName name="_pff1" localSheetId="3">#REF!</definedName>
    <definedName name="_pff1" localSheetId="12">#REF!</definedName>
    <definedName name="_pff1">#REF!</definedName>
    <definedName name="_pff2" localSheetId="4">#REF!</definedName>
    <definedName name="_pff2" localSheetId="3">#REF!</definedName>
    <definedName name="_pff2" localSheetId="12">#REF!</definedName>
    <definedName name="_pff2">#REF!</definedName>
    <definedName name="_pfi1" localSheetId="4">#REF!</definedName>
    <definedName name="_pfi1" localSheetId="3">#REF!</definedName>
    <definedName name="_pfi1" localSheetId="12">#REF!</definedName>
    <definedName name="_pfi1">#REF!</definedName>
    <definedName name="_pfi2" localSheetId="4">#REF!</definedName>
    <definedName name="_pfi2" localSheetId="3">#REF!</definedName>
    <definedName name="_pfi2" localSheetId="12">#REF!</definedName>
    <definedName name="_pfi2">#REF!</definedName>
    <definedName name="_SAL97" localSheetId="4">#REF!</definedName>
    <definedName name="_SAL97" localSheetId="3">#REF!</definedName>
    <definedName name="_SAL97" localSheetId="12">#REF!</definedName>
    <definedName name="_SAL97">#REF!</definedName>
    <definedName name="_SAL98" localSheetId="4">#REF!</definedName>
    <definedName name="_SAL98" localSheetId="3">#REF!</definedName>
    <definedName name="_SAL98" localSheetId="12">#REF!</definedName>
    <definedName name="_SAL98">#REF!</definedName>
    <definedName name="_SAL99" localSheetId="4">#REF!</definedName>
    <definedName name="_SAL99" localSheetId="3">#REF!</definedName>
    <definedName name="_SAL99" localSheetId="12">#REF!</definedName>
    <definedName name="_SAL99">#REF!</definedName>
    <definedName name="_tri1" localSheetId="4">#REF!</definedName>
    <definedName name="_tri1" localSheetId="3">#REF!</definedName>
    <definedName name="_tri1" localSheetId="12">#REF!</definedName>
    <definedName name="_tri1">#REF!</definedName>
    <definedName name="_tri2" localSheetId="4">#REF!</definedName>
    <definedName name="_tri2" localSheetId="3">#REF!</definedName>
    <definedName name="_tri2" localSheetId="12">#REF!</definedName>
    <definedName name="_tri2">#REF!</definedName>
    <definedName name="_xlnm.Database" localSheetId="4">#REF!</definedName>
    <definedName name="_xlnm.Database" localSheetId="3">#REF!</definedName>
    <definedName name="_xlnm.Database" localSheetId="12">#REF!</definedName>
    <definedName name="_xlnm.Database">#REF!</definedName>
    <definedName name="bd" localSheetId="4">#REF!</definedName>
    <definedName name="bd" localSheetId="3">#REF!</definedName>
    <definedName name="bd" localSheetId="12">#REF!</definedName>
    <definedName name="bd">#REF!</definedName>
    <definedName name="CaO" localSheetId="4">[1]Planning!#REF!</definedName>
    <definedName name="CaO" localSheetId="3">[1]Planning!#REF!</definedName>
    <definedName name="CaO" localSheetId="12">[1]Planning!#REF!</definedName>
    <definedName name="CaO">[1]Planning!#REF!</definedName>
    <definedName name="CaOH2" localSheetId="4">[1]Planning!#REF!</definedName>
    <definedName name="CaOH2" localSheetId="3">[1]Planning!#REF!</definedName>
    <definedName name="CaOH2" localSheetId="12">[1]Planning!#REF!</definedName>
    <definedName name="CaOH2">[1]Planning!#REF!</definedName>
    <definedName name="CD" localSheetId="4">#REF!</definedName>
    <definedName name="CD" localSheetId="3">#REF!</definedName>
    <definedName name="CD" localSheetId="12">#REF!</definedName>
    <definedName name="CD">#REF!</definedName>
    <definedName name="cnt" localSheetId="4">#REF!</definedName>
    <definedName name="cnt" localSheetId="3">#REF!</definedName>
    <definedName name="cnt" localSheetId="12">#REF!</definedName>
    <definedName name="cnt">#REF!</definedName>
    <definedName name="cot" localSheetId="4">[1]Planning!#REF!</definedName>
    <definedName name="cot" localSheetId="3">[1]Planning!#REF!</definedName>
    <definedName name="cot" localSheetId="12">[1]Planning!#REF!</definedName>
    <definedName name="cot">[1]Planning!#REF!</definedName>
    <definedName name="cp" localSheetId="4">#REF!</definedName>
    <definedName name="cp" localSheetId="3">#REF!</definedName>
    <definedName name="cp" localSheetId="12">#REF!</definedName>
    <definedName name="cp">#REF!</definedName>
    <definedName name="crd" localSheetId="4">#REF!</definedName>
    <definedName name="crd" localSheetId="3">#REF!</definedName>
    <definedName name="crd" localSheetId="12">#REF!</definedName>
    <definedName name="crd">#REF!</definedName>
    <definedName name="crit" localSheetId="4">#REF!</definedName>
    <definedName name="crit" localSheetId="3">#REF!</definedName>
    <definedName name="crit" localSheetId="12">#REF!</definedName>
    <definedName name="crit">#REF!</definedName>
    <definedName name="_xlnm.Criteria" localSheetId="4">#REF!</definedName>
    <definedName name="_xlnm.Criteria" localSheetId="3">#REF!</definedName>
    <definedName name="_xlnm.Criteria" localSheetId="12">#REF!</definedName>
    <definedName name="_xlnm.Criteria">#REF!</definedName>
    <definedName name="DD" localSheetId="4">#REF!</definedName>
    <definedName name="DD" localSheetId="3">#REF!</definedName>
    <definedName name="DD" localSheetId="12">#REF!</definedName>
    <definedName name="DD">#REF!</definedName>
    <definedName name="deb_centrifug" localSheetId="4">#REF!</definedName>
    <definedName name="deb_centrifug" localSheetId="3">#REF!</definedName>
    <definedName name="deb_centrifug" localSheetId="12">#REF!</definedName>
    <definedName name="deb_centrifug">#REF!</definedName>
    <definedName name="deb_chaud_tph" localSheetId="4">#REF!</definedName>
    <definedName name="deb_chaud_tph" localSheetId="3">#REF!</definedName>
    <definedName name="deb_chaud_tph" localSheetId="12">#REF!</definedName>
    <definedName name="deb_chaud_tph">#REF!</definedName>
    <definedName name="deb_compress" localSheetId="4">#REF!</definedName>
    <definedName name="deb_compress" localSheetId="3">#REF!</definedName>
    <definedName name="deb_compress" localSheetId="12">#REF!</definedName>
    <definedName name="deb_compress">#REF!</definedName>
    <definedName name="deb_gr_el_kW" localSheetId="4">#REF!</definedName>
    <definedName name="deb_gr_el_kW" localSheetId="3">#REF!</definedName>
    <definedName name="deb_gr_el_kW" localSheetId="12">#REF!</definedName>
    <definedName name="deb_gr_el_kW">#REF!</definedName>
    <definedName name="deb_pomp_dil" localSheetId="4">#REF!</definedName>
    <definedName name="deb_pomp_dil" localSheetId="3">#REF!</definedName>
    <definedName name="deb_pomp_dil" localSheetId="12">#REF!</definedName>
    <definedName name="deb_pomp_dil">#REF!</definedName>
    <definedName name="deb_pomp_exc" localSheetId="4">#REF!</definedName>
    <definedName name="deb_pomp_exc" localSheetId="3">#REF!</definedName>
    <definedName name="deb_pomp_exc" localSheetId="12">#REF!</definedName>
    <definedName name="deb_pomp_exc">#REF!</definedName>
    <definedName name="deb_pomp_exced">[2]Dimension.!$H$31</definedName>
    <definedName name="deb_pomp_peri" localSheetId="4">#REF!</definedName>
    <definedName name="deb_pomp_peri" localSheetId="3">#REF!</definedName>
    <definedName name="deb_pomp_peri" localSheetId="12">#REF!</definedName>
    <definedName name="deb_pomp_peri">#REF!</definedName>
    <definedName name="deb_presse" localSheetId="4">#REF!</definedName>
    <definedName name="deb_presse" localSheetId="3">#REF!</definedName>
    <definedName name="deb_presse" localSheetId="12">#REF!</definedName>
    <definedName name="deb_presse">#REF!</definedName>
    <definedName name="deb_putz" localSheetId="4">#REF!</definedName>
    <definedName name="deb_putz" localSheetId="3">#REF!</definedName>
    <definedName name="deb_putz" localSheetId="12">#REF!</definedName>
    <definedName name="deb_putz">#REF!</definedName>
    <definedName name="deb_reci" localSheetId="4">#REF!</definedName>
    <definedName name="deb_reci" localSheetId="3">#REF!</definedName>
    <definedName name="deb_reci" localSheetId="12">#REF!</definedName>
    <definedName name="deb_reci">#REF!</definedName>
    <definedName name="deb_surpress">[2]Dimension.!$N$44</definedName>
    <definedName name="deb_surpress_chaud" localSheetId="4">#REF!</definedName>
    <definedName name="deb_surpress_chaud" localSheetId="3">#REF!</definedName>
    <definedName name="deb_surpress_chaud" localSheetId="12">#REF!</definedName>
    <definedName name="deb_surpress_chaud">#REF!</definedName>
    <definedName name="deb_surpress_torch" localSheetId="4">#REF!</definedName>
    <definedName name="deb_surpress_torch" localSheetId="3">#REF!</definedName>
    <definedName name="deb_surpress_torch" localSheetId="12">#REF!</definedName>
    <definedName name="deb_surpress_torch">#REF!</definedName>
    <definedName name="deb_triage" localSheetId="4">#REF!</definedName>
    <definedName name="deb_triage" localSheetId="3">#REF!</definedName>
    <definedName name="deb_triage" localSheetId="12">#REF!</definedName>
    <definedName name="deb_triage">#REF!</definedName>
    <definedName name="densite" localSheetId="4">#REF!</definedName>
    <definedName name="densite" localSheetId="3">#REF!</definedName>
    <definedName name="densite" localSheetId="12">#REF!</definedName>
    <definedName name="densite">#REF!</definedName>
    <definedName name="densiteverre" localSheetId="4">#REF!</definedName>
    <definedName name="densiteverre" localSheetId="3">#REF!</definedName>
    <definedName name="densiteverre" localSheetId="12">#REF!</definedName>
    <definedName name="densiteverre">#REF!</definedName>
    <definedName name="DTi" localSheetId="4">#REF!</definedName>
    <definedName name="DTi" localSheetId="3">#REF!</definedName>
    <definedName name="DTi" localSheetId="12">#REF!</definedName>
    <definedName name="DTi">#REF!</definedName>
    <definedName name="EAU" localSheetId="4">#REF!</definedName>
    <definedName name="EAU" localSheetId="3">#REF!</definedName>
    <definedName name="EAU" localSheetId="12">#REF!</definedName>
    <definedName name="EAU">#REF!</definedName>
    <definedName name="fracPFi" localSheetId="4">#REF!</definedName>
    <definedName name="fracPFi" localSheetId="3">#REF!</definedName>
    <definedName name="fracPFi" localSheetId="12">#REF!</definedName>
    <definedName name="fracPFi">#REF!</definedName>
    <definedName name="fraction1pf" localSheetId="4">#REF!</definedName>
    <definedName name="fraction1pf" localSheetId="3">#REF!</definedName>
    <definedName name="fraction1pf" localSheetId="12">#REF!</definedName>
    <definedName name="fraction1pf">#REF!</definedName>
    <definedName name="fraction2pf" localSheetId="4">#REF!</definedName>
    <definedName name="fraction2pf" localSheetId="3">#REF!</definedName>
    <definedName name="fraction2pf" localSheetId="12">#REF!</definedName>
    <definedName name="fraction2pf">#REF!</definedName>
    <definedName name="fractionPFDT" localSheetId="4">#REF!</definedName>
    <definedName name="fractionPFDT" localSheetId="3">#REF!</definedName>
    <definedName name="fractionPFDT" localSheetId="12">#REF!</definedName>
    <definedName name="fractionPFDT">#REF!</definedName>
    <definedName name="g1pf" localSheetId="4">#REF!</definedName>
    <definedName name="g1pf" localSheetId="3">#REF!</definedName>
    <definedName name="g1pf" localSheetId="12">#REF!</definedName>
    <definedName name="g1pf">#REF!</definedName>
    <definedName name="g2pf" localSheetId="4">#REF!</definedName>
    <definedName name="g2pf" localSheetId="3">#REF!</definedName>
    <definedName name="g2pf" localSheetId="12">#REF!</definedName>
    <definedName name="g2pf">#REF!</definedName>
    <definedName name="GG" localSheetId="4">#REF!</definedName>
    <definedName name="GG" localSheetId="3">#REF!</definedName>
    <definedName name="GG" localSheetId="12">#REF!</definedName>
    <definedName name="GG">#REF!</definedName>
    <definedName name="hauteur" localSheetId="4">#REF!</definedName>
    <definedName name="hauteur" localSheetId="3">#REF!</definedName>
    <definedName name="hauteur" localSheetId="12">#REF!</definedName>
    <definedName name="hauteur">#REF!</definedName>
    <definedName name="HH" localSheetId="4">#REF!</definedName>
    <definedName name="HH" localSheetId="3">#REF!</definedName>
    <definedName name="HH" localSheetId="12">#REF!</definedName>
    <definedName name="HH">#REF!</definedName>
    <definedName name="hSR" localSheetId="4">#REF!</definedName>
    <definedName name="hSR" localSheetId="3">#REF!</definedName>
    <definedName name="hSR" localSheetId="12">#REF!</definedName>
    <definedName name="hSR">#REF!</definedName>
    <definedName name="hSV" localSheetId="4">#REF!</definedName>
    <definedName name="hSV" localSheetId="3">#REF!</definedName>
    <definedName name="hSV" localSheetId="12">#REF!</definedName>
    <definedName name="hSV">#REF!</definedName>
    <definedName name="jld" localSheetId="4">#REF!</definedName>
    <definedName name="jld" localSheetId="3">#REF!</definedName>
    <definedName name="jld" localSheetId="12">#REF!</definedName>
    <definedName name="jld">#REF!</definedName>
    <definedName name="M" localSheetId="4">#REF!</definedName>
    <definedName name="M" localSheetId="3">#REF!</definedName>
    <definedName name="M" localSheetId="12">#REF!</definedName>
    <definedName name="M">#REF!</definedName>
    <definedName name="Mmair" localSheetId="4">#REF!</definedName>
    <definedName name="Mmair" localSheetId="3">#REF!</definedName>
    <definedName name="Mmair" localSheetId="12">#REF!</definedName>
    <definedName name="Mmair">#REF!</definedName>
    <definedName name="MS" localSheetId="4">#REF!</definedName>
    <definedName name="MS" localSheetId="3">#REF!</definedName>
    <definedName name="MS" localSheetId="12">#REF!</definedName>
    <definedName name="MS">#REF!</definedName>
    <definedName name="msdil" localSheetId="4">#REF!</definedName>
    <definedName name="msdil" localSheetId="3">#REF!</definedName>
    <definedName name="msdil" localSheetId="12">#REF!</definedName>
    <definedName name="msdil">#REF!</definedName>
    <definedName name="msf" localSheetId="4">#REF!</definedName>
    <definedName name="msf" localSheetId="3">#REF!</definedName>
    <definedName name="msf" localSheetId="12">#REF!</definedName>
    <definedName name="msf">#REF!</definedName>
    <definedName name="msfraction1" localSheetId="4">#REF!</definedName>
    <definedName name="msfraction1" localSheetId="3">#REF!</definedName>
    <definedName name="msfraction1" localSheetId="12">#REF!</definedName>
    <definedName name="msfraction1">#REF!</definedName>
    <definedName name="msfraction2" localSheetId="4">#REF!</definedName>
    <definedName name="msfraction2" localSheetId="3">#REF!</definedName>
    <definedName name="msfraction2" localSheetId="12">#REF!</definedName>
    <definedName name="msfraction2">#REF!</definedName>
    <definedName name="MSfractionT" localSheetId="4">#REF!</definedName>
    <definedName name="MSfractionT" localSheetId="3">#REF!</definedName>
    <definedName name="MSfractionT" localSheetId="12">#REF!</definedName>
    <definedName name="MSfractionT">#REF!</definedName>
    <definedName name="msi" localSheetId="4">#REF!</definedName>
    <definedName name="msi" localSheetId="3">#REF!</definedName>
    <definedName name="msi" localSheetId="12">#REF!</definedName>
    <definedName name="msi">#REF!</definedName>
    <definedName name="MSiad" localSheetId="4">#REF!</definedName>
    <definedName name="MSiad" localSheetId="3">#REF!</definedName>
    <definedName name="MSiad" localSheetId="12">#REF!</definedName>
    <definedName name="MSiad">#REF!</definedName>
    <definedName name="MSiadmoy" localSheetId="4">#REF!</definedName>
    <definedName name="MSiadmoy" localSheetId="3">#REF!</definedName>
    <definedName name="MSiadmoy" localSheetId="12">#REF!</definedName>
    <definedName name="MSiadmoy">#REF!</definedName>
    <definedName name="MSicalc" localSheetId="4">#REF!</definedName>
    <definedName name="MSicalc" localSheetId="3">#REF!</definedName>
    <definedName name="MSicalc" localSheetId="12">#REF!</definedName>
    <definedName name="MSicalc">#REF!</definedName>
    <definedName name="MSiforcee" localSheetId="4">#REF!</definedName>
    <definedName name="MSiforcee" localSheetId="3">#REF!</definedName>
    <definedName name="MSiforcee" localSheetId="12">#REF!</definedName>
    <definedName name="MSiforcee">#REF!</definedName>
    <definedName name="MSprod" localSheetId="4">#REF!</definedName>
    <definedName name="MSprod" localSheetId="3">#REF!</definedName>
    <definedName name="MSprod" localSheetId="12">#REF!</definedName>
    <definedName name="MSprod">#REF!</definedName>
    <definedName name="MSV" localSheetId="4">#REF!</definedName>
    <definedName name="MSV" localSheetId="3">#REF!</definedName>
    <definedName name="MSV" localSheetId="12">#REF!</definedName>
    <definedName name="MSV">#REF!</definedName>
    <definedName name="msvf" localSheetId="4">#REF!</definedName>
    <definedName name="msvf" localSheetId="3">#REF!</definedName>
    <definedName name="msvf" localSheetId="12">#REF!</definedName>
    <definedName name="msvf">#REF!</definedName>
    <definedName name="msvfraction1" localSheetId="4">#REF!</definedName>
    <definedName name="msvfraction1" localSheetId="3">#REF!</definedName>
    <definedName name="msvfraction1" localSheetId="12">#REF!</definedName>
    <definedName name="msvfraction1">#REF!</definedName>
    <definedName name="msvfraction2" localSheetId="4">#REF!</definedName>
    <definedName name="msvfraction2" localSheetId="3">#REF!</definedName>
    <definedName name="msvfraction2" localSheetId="12">#REF!</definedName>
    <definedName name="msvfraction2">#REF!</definedName>
    <definedName name="msvfractionT" localSheetId="4">#REF!</definedName>
    <definedName name="msvfractionT" localSheetId="3">#REF!</definedName>
    <definedName name="msvfractionT" localSheetId="12">#REF!</definedName>
    <definedName name="msvfractionT">#REF!</definedName>
    <definedName name="msvi" localSheetId="4">#REF!</definedName>
    <definedName name="msvi" localSheetId="3">#REF!</definedName>
    <definedName name="msvi" localSheetId="12">#REF!</definedName>
    <definedName name="msvi">#REF!</definedName>
    <definedName name="Mvair" localSheetId="4">[3]EAU!#REF!</definedName>
    <definedName name="Mvair" localSheetId="3">[3]EAU!#REF!</definedName>
    <definedName name="Mvair" localSheetId="12">[3]EAU!#REF!</definedName>
    <definedName name="Mvair">[3]EAU!#REF!</definedName>
    <definedName name="mvdil" localSheetId="4">#REF!</definedName>
    <definedName name="mvdil" localSheetId="3">#REF!</definedName>
    <definedName name="mvdil" localSheetId="12">#REF!</definedName>
    <definedName name="mvdil">#REF!</definedName>
    <definedName name="n" localSheetId="4">#REF!</definedName>
    <definedName name="n" localSheetId="3">#REF!</definedName>
    <definedName name="n" localSheetId="12">#REF!</definedName>
    <definedName name="n">#REF!</definedName>
    <definedName name="NDigesteurs" localSheetId="4">#REF!</definedName>
    <definedName name="NDigesteurs" localSheetId="3">#REF!</definedName>
    <definedName name="NDigesteurs" localSheetId="12">#REF!</definedName>
    <definedName name="NDigesteurs">#REF!</definedName>
    <definedName name="pct" localSheetId="4">#REF!</definedName>
    <definedName name="pct" localSheetId="3">#REF!</definedName>
    <definedName name="pct" localSheetId="12">#REF!</definedName>
    <definedName name="pct">#REF!</definedName>
    <definedName name="Pgazan" localSheetId="4">#REF!</definedName>
    <definedName name="Pgazan" localSheetId="3">#REF!</definedName>
    <definedName name="Pgazan" localSheetId="12">#REF!</definedName>
    <definedName name="Pgazan">#REF!</definedName>
    <definedName name="pmsf1" localSheetId="4">#REF!</definedName>
    <definedName name="pmsf1" localSheetId="3">#REF!</definedName>
    <definedName name="pmsf1" localSheetId="12">#REF!</definedName>
    <definedName name="pmsf1">#REF!</definedName>
    <definedName name="pmsf2" localSheetId="4">#REF!</definedName>
    <definedName name="pmsf2" localSheetId="3">#REF!</definedName>
    <definedName name="pmsf2" localSheetId="12">#REF!</definedName>
    <definedName name="pmsf2">#REF!</definedName>
    <definedName name="pmsi1" localSheetId="4">#REF!</definedName>
    <definedName name="pmsi1" localSheetId="3">#REF!</definedName>
    <definedName name="pmsi1" localSheetId="12">#REF!</definedName>
    <definedName name="pmsi1">#REF!</definedName>
    <definedName name="pmsi2" localSheetId="4">#REF!</definedName>
    <definedName name="pmsi2" localSheetId="3">#REF!</definedName>
    <definedName name="pmsi2" localSheetId="12">#REF!</definedName>
    <definedName name="pmsi2">#REF!</definedName>
    <definedName name="PMSVF1" localSheetId="4">#REF!</definedName>
    <definedName name="PMSVF1" localSheetId="3">#REF!</definedName>
    <definedName name="PMSVF1" localSheetId="12">#REF!</definedName>
    <definedName name="PMSVF1">#REF!</definedName>
    <definedName name="PMSVF2" localSheetId="4">#REF!</definedName>
    <definedName name="PMSVF2" localSheetId="3">#REF!</definedName>
    <definedName name="PMSVF2" localSheetId="12">#REF!</definedName>
    <definedName name="PMSVF2">#REF!</definedName>
    <definedName name="pmsvi1" localSheetId="4">#REF!</definedName>
    <definedName name="pmsvi1" localSheetId="3">#REF!</definedName>
    <definedName name="pmsvi1" localSheetId="12">#REF!</definedName>
    <definedName name="pmsvi1">#REF!</definedName>
    <definedName name="pmsvi2" localSheetId="4">#REF!</definedName>
    <definedName name="pmsvi2" localSheetId="3">#REF!</definedName>
    <definedName name="pmsvi2" localSheetId="12">#REF!</definedName>
    <definedName name="pmsvi2">#REF!</definedName>
    <definedName name="pnt" localSheetId="4">#REF!</definedName>
    <definedName name="pnt" localSheetId="3">#REF!</definedName>
    <definedName name="pnt" localSheetId="12">#REF!</definedName>
    <definedName name="pnt">#REF!</definedName>
    <definedName name="puissanceventilation" localSheetId="4">#REF!</definedName>
    <definedName name="puissanceventilation" localSheetId="3">#REF!</definedName>
    <definedName name="puissanceventilation" localSheetId="12">#REF!</definedName>
    <definedName name="puissanceventilation">#REF!</definedName>
    <definedName name="QMSi" localSheetId="4">#REF!</definedName>
    <definedName name="QMSi" localSheetId="3">#REF!</definedName>
    <definedName name="QMSi" localSheetId="12">#REF!</definedName>
    <definedName name="QMSi">#REF!</definedName>
    <definedName name="QMSVnsi" localSheetId="4">#REF!</definedName>
    <definedName name="QMSVnsi" localSheetId="3">#REF!</definedName>
    <definedName name="QMSVnsi" localSheetId="12">#REF!</definedName>
    <definedName name="QMSVnsi">#REF!</definedName>
    <definedName name="QPFi" localSheetId="4">#REF!</definedName>
    <definedName name="QPFi" localSheetId="3">#REF!</definedName>
    <definedName name="QPFi" localSheetId="12">#REF!</definedName>
    <definedName name="QPFi">#REF!</definedName>
    <definedName name="QPSitot" localSheetId="4">#REF!</definedName>
    <definedName name="QPSitot" localSheetId="3">#REF!</definedName>
    <definedName name="QPSitot" localSheetId="12">#REF!</definedName>
    <definedName name="QPSitot">#REF!</definedName>
    <definedName name="SAL00" localSheetId="4">#REF!</definedName>
    <definedName name="SAL00" localSheetId="3">#REF!</definedName>
    <definedName name="SAL00" localSheetId="12">#REF!</definedName>
    <definedName name="SAL00">#REF!</definedName>
    <definedName name="solvmsdil" localSheetId="4">#REF!</definedName>
    <definedName name="solvmsdil" localSheetId="3">#REF!</definedName>
    <definedName name="solvmsdil" localSheetId="12">#REF!</definedName>
    <definedName name="solvmsdil">#REF!</definedName>
    <definedName name="SOLVMVDIL" localSheetId="4">#REF!</definedName>
    <definedName name="SOLVMVDIL" localSheetId="3">#REF!</definedName>
    <definedName name="SOLVMVDIL" localSheetId="12">#REF!</definedName>
    <definedName name="SOLVMVDIL">#REF!</definedName>
    <definedName name="SSC" localSheetId="4">#REF!</definedName>
    <definedName name="SSC" localSheetId="3">#REF!</definedName>
    <definedName name="SSC" localSheetId="12">#REF!</definedName>
    <definedName name="SSC">#REF!</definedName>
    <definedName name="SSQ" localSheetId="4">#REF!</definedName>
    <definedName name="SSQ" localSheetId="3">#REF!</definedName>
    <definedName name="SSQ" localSheetId="12">#REF!</definedName>
    <definedName name="SSQ">#REF!</definedName>
    <definedName name="t" localSheetId="4">#REF!</definedName>
    <definedName name="t" localSheetId="3">#REF!</definedName>
    <definedName name="t" localSheetId="12">#REF!</definedName>
    <definedName name="t">#REF!</definedName>
    <definedName name="t_an" localSheetId="4">'[4]B Exploit'!#REF!</definedName>
    <definedName name="t_an" localSheetId="3">'[4]B Exploit'!#REF!</definedName>
    <definedName name="t_an" localSheetId="12">'[4]B Exploit'!#REF!</definedName>
    <definedName name="t_an">'[4]B Exploit'!#REF!</definedName>
    <definedName name="tapis" localSheetId="4">#REF!</definedName>
    <definedName name="tapis" localSheetId="3">#REF!</definedName>
    <definedName name="tapis" localSheetId="12">#REF!</definedName>
    <definedName name="tapis">#REF!</definedName>
    <definedName name="TD" localSheetId="4">#REF!</definedName>
    <definedName name="TD" localSheetId="3">#REF!</definedName>
    <definedName name="TD" localSheetId="12">#REF!</definedName>
    <definedName name="TD">#REF!</definedName>
    <definedName name="TDG" localSheetId="4">#REF!</definedName>
    <definedName name="TDG" localSheetId="3">#REF!</definedName>
    <definedName name="TDG" localSheetId="12">#REF!</definedName>
    <definedName name="TDG">#REF!</definedName>
    <definedName name="Text" localSheetId="4">#REF!</definedName>
    <definedName name="Text" localSheetId="3">#REF!</definedName>
    <definedName name="Text" localSheetId="12">#REF!</definedName>
    <definedName name="Text">#REF!</definedName>
    <definedName name="to" localSheetId="4">'[5]B Exploit'!#REF!</definedName>
    <definedName name="to" localSheetId="3">'[5]B Exploit'!#REF!</definedName>
    <definedName name="to" localSheetId="12">'[5]B Exploit'!#REF!</definedName>
    <definedName name="to">'[5]B Exploit'!#REF!</definedName>
    <definedName name="to_an" localSheetId="4">'[5]B Exploit'!#REF!</definedName>
    <definedName name="to_an" localSheetId="3">'[5]B Exploit'!#REF!</definedName>
    <definedName name="to_an" localSheetId="12">'[5]B Exploit'!#REF!</definedName>
    <definedName name="to_an">'[5]B Exploit'!#REF!</definedName>
    <definedName name="ton" localSheetId="4">#REF!</definedName>
    <definedName name="ton" localSheetId="3">#REF!</definedName>
    <definedName name="ton" localSheetId="12">#REF!</definedName>
    <definedName name="ton">#REF!</definedName>
    <definedName name="tonn" localSheetId="4">'[5]B Exploit'!#REF!</definedName>
    <definedName name="tonn" localSheetId="3">'[5]B Exploit'!#REF!</definedName>
    <definedName name="tonn" localSheetId="12">'[5]B Exploit'!#REF!</definedName>
    <definedName name="tonn">'[5]B Exploit'!#REF!</definedName>
    <definedName name="tonn_an" localSheetId="4">'[5]B Exploit'!#REF!</definedName>
    <definedName name="tonn_an" localSheetId="3">'[5]B Exploit'!#REF!</definedName>
    <definedName name="tonn_an" localSheetId="12">'[5]B Exploit'!#REF!</definedName>
    <definedName name="tonn_an">'[5]B Exploit'!#REF!</definedName>
    <definedName name="TONNES_AN" localSheetId="4">#REF!</definedName>
    <definedName name="TONNES_AN" localSheetId="3">#REF!</definedName>
    <definedName name="TONNES_AN" localSheetId="12">#REF!</definedName>
    <definedName name="TONNES_AN">#REF!</definedName>
    <definedName name="totf" localSheetId="4">#REF!</definedName>
    <definedName name="totf" localSheetId="3">#REF!</definedName>
    <definedName name="totf" localSheetId="12">#REF!</definedName>
    <definedName name="totf">#REF!</definedName>
    <definedName name="toti" localSheetId="4">#REF!</definedName>
    <definedName name="toti" localSheetId="3">#REF!</definedName>
    <definedName name="toti" localSheetId="12">#REF!</definedName>
    <definedName name="toti">#REF!</definedName>
    <definedName name="totpf1" localSheetId="4">#REF!</definedName>
    <definedName name="totpf1" localSheetId="3">#REF!</definedName>
    <definedName name="totpf1" localSheetId="12">#REF!</definedName>
    <definedName name="totpf1">#REF!</definedName>
    <definedName name="totpf2" localSheetId="4">#REF!</definedName>
    <definedName name="totpf2" localSheetId="3">#REF!</definedName>
    <definedName name="totpf2" localSheetId="12">#REF!</definedName>
    <definedName name="totpf2">#REF!</definedName>
    <definedName name="totref" localSheetId="4">#REF!</definedName>
    <definedName name="totref" localSheetId="3">#REF!</definedName>
    <definedName name="totref" localSheetId="12">#REF!</definedName>
    <definedName name="totref">#REF!</definedName>
    <definedName name="tpaboues" localSheetId="4">'[6]Compo dechets'!#REF!</definedName>
    <definedName name="tpaboues" localSheetId="3">'[6]Compo dechets'!#REF!</definedName>
    <definedName name="tpaboues" localSheetId="12">'[6]Compo dechets'!#REF!</definedName>
    <definedName name="tpaboues">'[6]Compo dechets'!#REF!</definedName>
    <definedName name="trieur" localSheetId="4">#REF!</definedName>
    <definedName name="trieur" localSheetId="3">#REF!</definedName>
    <definedName name="trieur" localSheetId="12">#REF!</definedName>
    <definedName name="trieur">#REF!</definedName>
    <definedName name="TSlim" localSheetId="4">#REF!</definedName>
    <definedName name="TSlim" localSheetId="3">#REF!</definedName>
    <definedName name="TSlim" localSheetId="12">#REF!</definedName>
    <definedName name="TSlim">#REF!</definedName>
    <definedName name="VDGtot" localSheetId="4">#REF!</definedName>
    <definedName name="VDGtot" localSheetId="3">#REF!</definedName>
    <definedName name="VDGtot" localSheetId="12">#REF!</definedName>
    <definedName name="VDGtot">#REF!</definedName>
    <definedName name="VUCOV" localSheetId="4">#REF!</definedName>
    <definedName name="VUCOV" localSheetId="3">#REF!</definedName>
    <definedName name="VUCOV" localSheetId="12">#REF!</definedName>
    <definedName name="VUCOV">#REF!</definedName>
    <definedName name="VUTS" localSheetId="4">#REF!</definedName>
    <definedName name="VUTS" localSheetId="3">#REF!</definedName>
    <definedName name="VUTS" localSheetId="12">#REF!</definedName>
    <definedName name="VUTS">#REF!</definedName>
    <definedName name="z" localSheetId="4">#REF!</definedName>
    <definedName name="z" localSheetId="3">#REF!</definedName>
    <definedName name="z" localSheetId="12">#REF!</definedName>
    <definedName name="z">#REF!</definedName>
    <definedName name="_xlnm.Print_Area" localSheetId="13">Imprimable!$A$1:$C$67</definedName>
    <definedName name="zonemsdil" localSheetId="4">#REF!</definedName>
    <definedName name="zonemsdil" localSheetId="3">#REF!</definedName>
    <definedName name="zonemsdil" localSheetId="12">#REF!</definedName>
    <definedName name="zonemsdil">#REF!</definedName>
    <definedName name="zonemsvdil" localSheetId="4">#REF!</definedName>
    <definedName name="zonemsvdil" localSheetId="3">#REF!</definedName>
    <definedName name="zonemsvdil" localSheetId="12">#REF!</definedName>
    <definedName name="zonemsvdil">#REF!</definedName>
  </definedName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23" l="1"/>
  <c r="K15" i="23"/>
  <c r="K20" i="23" s="1"/>
  <c r="K21" i="23" s="1"/>
  <c r="J15" i="23"/>
  <c r="J20" i="23" s="1"/>
  <c r="I15" i="23"/>
  <c r="I20" i="23" s="1"/>
  <c r="H15" i="23"/>
  <c r="H20" i="23" s="1"/>
  <c r="G15" i="23"/>
  <c r="F15" i="23"/>
  <c r="F20" i="23" s="1"/>
  <c r="E15" i="23"/>
  <c r="E20" i="23" s="1"/>
  <c r="D15" i="23"/>
  <c r="D20" i="23" s="1"/>
  <c r="C15" i="23"/>
  <c r="C20" i="23" s="1"/>
  <c r="C21" i="23" s="1"/>
  <c r="K14" i="23"/>
  <c r="J14" i="23"/>
  <c r="J22" i="23" s="1"/>
  <c r="I14" i="23"/>
  <c r="H14" i="23"/>
  <c r="G14" i="23"/>
  <c r="F14" i="23"/>
  <c r="E14" i="23"/>
  <c r="D14" i="23"/>
  <c r="C14" i="23"/>
  <c r="K13" i="23"/>
  <c r="J13" i="23"/>
  <c r="I13" i="23"/>
  <c r="I22" i="23" s="1"/>
  <c r="H13" i="23"/>
  <c r="G13" i="23"/>
  <c r="F13" i="23"/>
  <c r="E13" i="23"/>
  <c r="D13" i="23"/>
  <c r="C13" i="23"/>
  <c r="K12" i="23"/>
  <c r="J12" i="23"/>
  <c r="I12" i="23"/>
  <c r="H12" i="23"/>
  <c r="H22" i="23" s="1"/>
  <c r="G12" i="23"/>
  <c r="F12" i="23"/>
  <c r="E12" i="23"/>
  <c r="D12" i="23"/>
  <c r="C12" i="23"/>
  <c r="K11" i="23"/>
  <c r="J11" i="23"/>
  <c r="I11" i="23"/>
  <c r="H11" i="23"/>
  <c r="G11" i="23"/>
  <c r="G22" i="23" s="1"/>
  <c r="F11" i="23"/>
  <c r="F22" i="23" s="1"/>
  <c r="E11" i="23"/>
  <c r="D11" i="23"/>
  <c r="C11" i="23"/>
  <c r="K10" i="23"/>
  <c r="J10" i="23"/>
  <c r="I10" i="23"/>
  <c r="H10" i="23"/>
  <c r="G10" i="23"/>
  <c r="F10" i="23"/>
  <c r="E10" i="23"/>
  <c r="E22" i="23" s="1"/>
  <c r="D10" i="23"/>
  <c r="C10" i="23"/>
  <c r="K9" i="23"/>
  <c r="J9" i="23"/>
  <c r="I9" i="23"/>
  <c r="H9" i="23"/>
  <c r="G9" i="23"/>
  <c r="F9" i="23"/>
  <c r="E9" i="23"/>
  <c r="D9" i="23"/>
  <c r="C9" i="23"/>
  <c r="K8" i="23"/>
  <c r="J8" i="23"/>
  <c r="I8" i="23"/>
  <c r="H8" i="23"/>
  <c r="G8" i="23"/>
  <c r="F8" i="23"/>
  <c r="E8" i="23"/>
  <c r="D8" i="23"/>
  <c r="C8" i="23"/>
  <c r="C22" i="23" s="1"/>
  <c r="K7" i="23"/>
  <c r="J7" i="23"/>
  <c r="I7" i="23"/>
  <c r="H7" i="23"/>
  <c r="G7" i="23"/>
  <c r="F7" i="23"/>
  <c r="E7" i="23"/>
  <c r="D7" i="23"/>
  <c r="C7" i="23"/>
  <c r="K6" i="23"/>
  <c r="J6" i="23"/>
  <c r="I6" i="23"/>
  <c r="H6" i="23"/>
  <c r="G6" i="23"/>
  <c r="F6" i="23"/>
  <c r="E6" i="23"/>
  <c r="D6" i="23"/>
  <c r="C6" i="23"/>
  <c r="K5" i="23"/>
  <c r="J5" i="23"/>
  <c r="I5" i="23"/>
  <c r="H5" i="23"/>
  <c r="G5" i="23"/>
  <c r="F5" i="23"/>
  <c r="E5" i="23"/>
  <c r="D5" i="23"/>
  <c r="C5" i="23"/>
  <c r="K4" i="23"/>
  <c r="J4" i="23"/>
  <c r="I4" i="23"/>
  <c r="H4" i="23"/>
  <c r="G4" i="23"/>
  <c r="F4" i="23"/>
  <c r="E4" i="23"/>
  <c r="D4" i="23"/>
  <c r="C4" i="23"/>
  <c r="B15" i="23"/>
  <c r="B20" i="23" s="1"/>
  <c r="B14" i="23"/>
  <c r="B13" i="23"/>
  <c r="B12" i="23"/>
  <c r="B11" i="23"/>
  <c r="B10" i="23"/>
  <c r="B9" i="23"/>
  <c r="B8" i="23"/>
  <c r="B7" i="23"/>
  <c r="B22" i="23" s="1"/>
  <c r="B6" i="23"/>
  <c r="B5" i="23"/>
  <c r="B4" i="23"/>
  <c r="I3" i="23"/>
  <c r="I19" i="23" s="1"/>
  <c r="J3" i="23"/>
  <c r="J19" i="23" s="1"/>
  <c r="K3" i="23"/>
  <c r="K19" i="23" s="1"/>
  <c r="C3" i="23"/>
  <c r="C19" i="23" s="1"/>
  <c r="D3" i="23"/>
  <c r="D19" i="23" s="1"/>
  <c r="E3" i="23"/>
  <c r="E19" i="23" s="1"/>
  <c r="F3" i="23"/>
  <c r="F19" i="23" s="1"/>
  <c r="G3" i="23"/>
  <c r="G19" i="23" s="1"/>
  <c r="H3" i="23"/>
  <c r="H19" i="23" s="1"/>
  <c r="B3" i="23"/>
  <c r="B19" i="23" s="1"/>
  <c r="G20" i="23"/>
  <c r="E2738" i="4"/>
  <c r="K2747" i="4"/>
  <c r="J2747" i="4"/>
  <c r="K2749" i="4"/>
  <c r="J2749" i="4"/>
  <c r="K2740" i="4"/>
  <c r="J2740" i="4"/>
  <c r="J2742" i="4"/>
  <c r="K2739" i="4"/>
  <c r="J2739" i="4"/>
  <c r="K2745" i="4"/>
  <c r="J2745" i="4"/>
  <c r="K2748" i="4"/>
  <c r="J2748" i="4"/>
  <c r="K2737" i="4"/>
  <c r="J2737" i="4"/>
  <c r="J2733" i="4"/>
  <c r="K2735" i="4"/>
  <c r="J2735" i="4"/>
  <c r="K2733" i="4"/>
  <c r="K2732" i="4"/>
  <c r="J2732" i="4"/>
  <c r="E2727" i="4"/>
  <c r="J2725" i="4"/>
  <c r="K2723" i="4"/>
  <c r="J2723" i="4"/>
  <c r="K2725" i="4"/>
  <c r="K2721" i="4"/>
  <c r="J2721" i="4"/>
  <c r="E2714" i="4"/>
  <c r="K2713" i="4"/>
  <c r="J2713" i="4"/>
  <c r="K2711" i="4"/>
  <c r="J2711" i="4"/>
  <c r="K2709" i="4"/>
  <c r="J2709" i="4"/>
  <c r="E2702" i="4"/>
  <c r="K2699" i="4"/>
  <c r="J2699" i="4"/>
  <c r="K2697" i="4"/>
  <c r="J2697" i="4"/>
  <c r="K2701" i="4"/>
  <c r="J2701" i="4"/>
  <c r="E2690" i="4"/>
  <c r="E2691" i="4" s="1"/>
  <c r="J2679" i="4"/>
  <c r="K2689" i="4"/>
  <c r="J2689" i="4"/>
  <c r="K2679" i="4"/>
  <c r="E2678" i="4"/>
  <c r="K2669" i="4"/>
  <c r="J2669" i="4"/>
  <c r="K2675" i="4"/>
  <c r="J2675" i="4"/>
  <c r="J2677" i="4"/>
  <c r="K2677" i="4"/>
  <c r="K2676" i="4"/>
  <c r="J2676" i="4"/>
  <c r="E2666" i="4"/>
  <c r="E2654" i="4"/>
  <c r="E2655" i="4" s="1"/>
  <c r="K2665" i="4"/>
  <c r="J2665" i="4"/>
  <c r="K2655" i="4"/>
  <c r="J2655" i="4"/>
  <c r="J2664" i="4"/>
  <c r="K2656" i="4"/>
  <c r="J2656" i="4"/>
  <c r="K2652" i="4"/>
  <c r="J2652" i="4"/>
  <c r="K2653" i="4"/>
  <c r="J2653" i="4"/>
  <c r="E2642" i="4"/>
  <c r="E2643" i="4" s="1"/>
  <c r="J2630" i="4"/>
  <c r="J2631" i="4"/>
  <c r="K2641" i="4"/>
  <c r="J2641" i="4"/>
  <c r="K2630" i="4"/>
  <c r="E2630" i="4"/>
  <c r="L2785" i="4"/>
  <c r="M2785" i="4" s="1"/>
  <c r="G2785" i="4"/>
  <c r="L2784" i="4"/>
  <c r="M2784" i="4" s="1"/>
  <c r="L2783" i="4"/>
  <c r="M2783" i="4" s="1"/>
  <c r="L2782" i="4"/>
  <c r="M2782" i="4" s="1"/>
  <c r="L2781" i="4"/>
  <c r="M2781" i="4" s="1"/>
  <c r="L2780" i="4"/>
  <c r="M2780" i="4" s="1"/>
  <c r="L2779" i="4"/>
  <c r="M2779" i="4" s="1"/>
  <c r="L2778" i="4"/>
  <c r="M2778" i="4" s="1"/>
  <c r="L2777" i="4"/>
  <c r="M2777" i="4" s="1"/>
  <c r="E2777" i="4"/>
  <c r="E2778" i="4" s="1"/>
  <c r="E2779" i="4" s="1"/>
  <c r="E2780" i="4" s="1"/>
  <c r="E2781" i="4" s="1"/>
  <c r="E2782" i="4" s="1"/>
  <c r="E2783" i="4" s="1"/>
  <c r="E2784" i="4" s="1"/>
  <c r="E2785" i="4" s="1"/>
  <c r="L2776" i="4"/>
  <c r="M2776" i="4" s="1"/>
  <c r="F2776" i="4"/>
  <c r="F2777" i="4" s="1"/>
  <c r="F2778" i="4" s="1"/>
  <c r="F2779" i="4" s="1"/>
  <c r="F2780" i="4" s="1"/>
  <c r="F2781" i="4" s="1"/>
  <c r="F2782" i="4" s="1"/>
  <c r="F2783" i="4" s="1"/>
  <c r="F2784" i="4" s="1"/>
  <c r="F2785" i="4" s="1"/>
  <c r="E2776" i="4"/>
  <c r="L2775" i="4"/>
  <c r="M2775" i="4" s="1"/>
  <c r="E2775" i="4"/>
  <c r="M2774" i="4"/>
  <c r="L2774" i="4"/>
  <c r="L2773" i="4"/>
  <c r="M2773" i="4" s="1"/>
  <c r="G2773" i="4"/>
  <c r="L2772" i="4"/>
  <c r="M2772" i="4" s="1"/>
  <c r="L2771" i="4"/>
  <c r="M2771" i="4" s="1"/>
  <c r="L2770" i="4"/>
  <c r="M2770" i="4" s="1"/>
  <c r="L2769" i="4"/>
  <c r="M2769" i="4" s="1"/>
  <c r="L2768" i="4"/>
  <c r="M2768" i="4" s="1"/>
  <c r="L2767" i="4"/>
  <c r="M2767" i="4" s="1"/>
  <c r="L2766" i="4"/>
  <c r="M2766" i="4" s="1"/>
  <c r="L2765" i="4"/>
  <c r="M2765" i="4" s="1"/>
  <c r="L2764" i="4"/>
  <c r="M2764" i="4" s="1"/>
  <c r="F2764" i="4"/>
  <c r="F2765" i="4" s="1"/>
  <c r="F2766" i="4" s="1"/>
  <c r="F2767" i="4" s="1"/>
  <c r="F2768" i="4" s="1"/>
  <c r="F2769" i="4" s="1"/>
  <c r="F2770" i="4" s="1"/>
  <c r="F2771" i="4" s="1"/>
  <c r="F2772" i="4" s="1"/>
  <c r="F2773" i="4" s="1"/>
  <c r="E2764" i="4"/>
  <c r="E2765" i="4" s="1"/>
  <c r="E2766" i="4" s="1"/>
  <c r="E2767" i="4" s="1"/>
  <c r="E2768" i="4" s="1"/>
  <c r="E2769" i="4" s="1"/>
  <c r="E2770" i="4" s="1"/>
  <c r="E2771" i="4" s="1"/>
  <c r="E2772" i="4" s="1"/>
  <c r="E2773" i="4" s="1"/>
  <c r="L2763" i="4"/>
  <c r="M2763" i="4" s="1"/>
  <c r="E2763" i="4"/>
  <c r="L2762" i="4"/>
  <c r="M2762" i="4" s="1"/>
  <c r="L2761" i="4"/>
  <c r="M2761" i="4" s="1"/>
  <c r="G2761" i="4"/>
  <c r="L2760" i="4"/>
  <c r="M2760" i="4" s="1"/>
  <c r="L2759" i="4"/>
  <c r="M2759" i="4" s="1"/>
  <c r="L2758" i="4"/>
  <c r="M2758" i="4" s="1"/>
  <c r="M2757" i="4"/>
  <c r="L2757" i="4"/>
  <c r="L2756" i="4"/>
  <c r="M2756" i="4" s="1"/>
  <c r="M2755" i="4"/>
  <c r="L2755" i="4"/>
  <c r="L2754" i="4"/>
  <c r="M2754" i="4" s="1"/>
  <c r="L2753" i="4"/>
  <c r="M2753" i="4" s="1"/>
  <c r="L2752" i="4"/>
  <c r="M2752" i="4" s="1"/>
  <c r="F2752" i="4"/>
  <c r="F2753" i="4" s="1"/>
  <c r="F2754" i="4" s="1"/>
  <c r="F2755" i="4" s="1"/>
  <c r="F2756" i="4" s="1"/>
  <c r="F2757" i="4" s="1"/>
  <c r="F2758" i="4" s="1"/>
  <c r="F2759" i="4" s="1"/>
  <c r="F2760" i="4" s="1"/>
  <c r="F2761" i="4" s="1"/>
  <c r="E2752" i="4"/>
  <c r="E2753" i="4" s="1"/>
  <c r="E2754" i="4" s="1"/>
  <c r="E2755" i="4" s="1"/>
  <c r="E2756" i="4" s="1"/>
  <c r="E2757" i="4" s="1"/>
  <c r="E2758" i="4" s="1"/>
  <c r="E2759" i="4" s="1"/>
  <c r="E2760" i="4" s="1"/>
  <c r="E2761" i="4" s="1"/>
  <c r="L2751" i="4"/>
  <c r="M2751" i="4" s="1"/>
  <c r="E2751" i="4"/>
  <c r="L2750" i="4"/>
  <c r="M2750" i="4" s="1"/>
  <c r="L2749" i="4"/>
  <c r="G2749" i="4"/>
  <c r="L2748" i="4"/>
  <c r="L2747" i="4"/>
  <c r="L2746" i="4"/>
  <c r="L2745" i="4"/>
  <c r="L2744" i="4"/>
  <c r="L2743" i="4"/>
  <c r="L2742" i="4"/>
  <c r="L2741" i="4"/>
  <c r="F2741" i="4"/>
  <c r="F2742" i="4" s="1"/>
  <c r="F2743" i="4" s="1"/>
  <c r="F2744" i="4" s="1"/>
  <c r="F2745" i="4" s="1"/>
  <c r="F2746" i="4" s="1"/>
  <c r="F2747" i="4" s="1"/>
  <c r="F2748" i="4" s="1"/>
  <c r="F2749" i="4" s="1"/>
  <c r="L2740" i="4"/>
  <c r="F2740" i="4"/>
  <c r="E2740" i="4"/>
  <c r="E2741" i="4" s="1"/>
  <c r="E2742" i="4" s="1"/>
  <c r="E2743" i="4" s="1"/>
  <c r="E2744" i="4" s="1"/>
  <c r="E2745" i="4" s="1"/>
  <c r="E2746" i="4" s="1"/>
  <c r="E2747" i="4" s="1"/>
  <c r="E2748" i="4" s="1"/>
  <c r="E2749" i="4" s="1"/>
  <c r="L2739" i="4"/>
  <c r="L2738" i="4"/>
  <c r="L2737" i="4"/>
  <c r="G2737" i="4"/>
  <c r="L2736" i="4"/>
  <c r="L2735" i="4"/>
  <c r="L2734" i="4"/>
  <c r="L2733" i="4"/>
  <c r="L2732" i="4"/>
  <c r="L2731" i="4"/>
  <c r="L2730" i="4"/>
  <c r="L2729" i="4"/>
  <c r="L2728" i="4"/>
  <c r="F2728" i="4"/>
  <c r="F2729" i="4" s="1"/>
  <c r="F2730" i="4" s="1"/>
  <c r="F2731" i="4" s="1"/>
  <c r="F2732" i="4" s="1"/>
  <c r="F2733" i="4" s="1"/>
  <c r="F2734" i="4" s="1"/>
  <c r="F2735" i="4" s="1"/>
  <c r="F2736" i="4" s="1"/>
  <c r="F2737" i="4" s="1"/>
  <c r="E2728" i="4"/>
  <c r="E2729" i="4" s="1"/>
  <c r="E2730" i="4" s="1"/>
  <c r="E2731" i="4" s="1"/>
  <c r="E2732" i="4" s="1"/>
  <c r="E2733" i="4" s="1"/>
  <c r="E2734" i="4" s="1"/>
  <c r="E2735" i="4" s="1"/>
  <c r="E2736" i="4" s="1"/>
  <c r="E2737" i="4" s="1"/>
  <c r="L2727" i="4"/>
  <c r="L2726" i="4"/>
  <c r="L2725" i="4"/>
  <c r="G2725" i="4"/>
  <c r="L2724" i="4"/>
  <c r="L2723" i="4"/>
  <c r="L2722" i="4"/>
  <c r="L2721" i="4"/>
  <c r="L2720" i="4"/>
  <c r="L2719" i="4"/>
  <c r="L2718" i="4"/>
  <c r="L2717" i="4"/>
  <c r="L2716" i="4"/>
  <c r="F2716" i="4"/>
  <c r="F2717" i="4" s="1"/>
  <c r="F2718" i="4" s="1"/>
  <c r="F2719" i="4" s="1"/>
  <c r="F2720" i="4" s="1"/>
  <c r="F2721" i="4" s="1"/>
  <c r="F2722" i="4" s="1"/>
  <c r="F2723" i="4" s="1"/>
  <c r="F2724" i="4" s="1"/>
  <c r="F2725" i="4" s="1"/>
  <c r="E2716" i="4"/>
  <c r="E2717" i="4" s="1"/>
  <c r="E2718" i="4" s="1"/>
  <c r="E2719" i="4" s="1"/>
  <c r="E2720" i="4" s="1"/>
  <c r="E2721" i="4" s="1"/>
  <c r="E2722" i="4" s="1"/>
  <c r="E2723" i="4" s="1"/>
  <c r="E2724" i="4" s="1"/>
  <c r="E2725" i="4" s="1"/>
  <c r="L2715" i="4"/>
  <c r="E2715" i="4"/>
  <c r="L2714" i="4"/>
  <c r="L2713" i="4"/>
  <c r="G2713" i="4"/>
  <c r="L2712" i="4"/>
  <c r="L2711" i="4"/>
  <c r="L2710" i="4"/>
  <c r="L2709" i="4"/>
  <c r="L2708" i="4"/>
  <c r="L2707" i="4"/>
  <c r="L2706" i="4"/>
  <c r="L2705" i="4"/>
  <c r="L2704" i="4"/>
  <c r="F2704" i="4"/>
  <c r="F2705" i="4" s="1"/>
  <c r="F2706" i="4" s="1"/>
  <c r="F2707" i="4" s="1"/>
  <c r="F2708" i="4" s="1"/>
  <c r="F2709" i="4" s="1"/>
  <c r="F2710" i="4" s="1"/>
  <c r="F2711" i="4" s="1"/>
  <c r="F2712" i="4" s="1"/>
  <c r="F2713" i="4" s="1"/>
  <c r="E2704" i="4"/>
  <c r="E2705" i="4" s="1"/>
  <c r="E2706" i="4" s="1"/>
  <c r="E2707" i="4" s="1"/>
  <c r="E2708" i="4" s="1"/>
  <c r="E2709" i="4" s="1"/>
  <c r="E2710" i="4" s="1"/>
  <c r="E2711" i="4" s="1"/>
  <c r="E2712" i="4" s="1"/>
  <c r="E2713" i="4" s="1"/>
  <c r="L2703" i="4"/>
  <c r="E2703" i="4"/>
  <c r="L2702" i="4"/>
  <c r="L2701" i="4"/>
  <c r="G2701" i="4"/>
  <c r="L2700" i="4"/>
  <c r="L2699" i="4"/>
  <c r="L2698" i="4"/>
  <c r="L2697" i="4"/>
  <c r="L2696" i="4"/>
  <c r="L2695" i="4"/>
  <c r="L2694" i="4"/>
  <c r="L2693" i="4"/>
  <c r="F2693" i="4"/>
  <c r="F2694" i="4" s="1"/>
  <c r="F2695" i="4" s="1"/>
  <c r="F2696" i="4" s="1"/>
  <c r="F2697" i="4" s="1"/>
  <c r="F2698" i="4" s="1"/>
  <c r="F2699" i="4" s="1"/>
  <c r="F2700" i="4" s="1"/>
  <c r="F2701" i="4" s="1"/>
  <c r="L2692" i="4"/>
  <c r="F2692" i="4"/>
  <c r="E2692" i="4"/>
  <c r="E2693" i="4" s="1"/>
  <c r="E2694" i="4" s="1"/>
  <c r="E2695" i="4" s="1"/>
  <c r="E2696" i="4" s="1"/>
  <c r="E2697" i="4" s="1"/>
  <c r="E2698" i="4" s="1"/>
  <c r="E2699" i="4" s="1"/>
  <c r="E2700" i="4" s="1"/>
  <c r="E2701" i="4" s="1"/>
  <c r="L2691" i="4"/>
  <c r="L2690" i="4"/>
  <c r="L2689" i="4"/>
  <c r="G2689" i="4"/>
  <c r="L2688" i="4"/>
  <c r="L2687" i="4"/>
  <c r="L2686" i="4"/>
  <c r="L2685" i="4"/>
  <c r="L2684" i="4"/>
  <c r="L2683" i="4"/>
  <c r="L2682" i="4"/>
  <c r="L2681" i="4"/>
  <c r="L2680" i="4"/>
  <c r="F2680" i="4"/>
  <c r="F2681" i="4" s="1"/>
  <c r="F2682" i="4" s="1"/>
  <c r="F2683" i="4" s="1"/>
  <c r="F2684" i="4" s="1"/>
  <c r="F2685" i="4" s="1"/>
  <c r="F2686" i="4" s="1"/>
  <c r="F2687" i="4" s="1"/>
  <c r="F2688" i="4" s="1"/>
  <c r="F2689" i="4" s="1"/>
  <c r="E2680" i="4"/>
  <c r="E2681" i="4" s="1"/>
  <c r="E2682" i="4" s="1"/>
  <c r="E2683" i="4" s="1"/>
  <c r="E2684" i="4" s="1"/>
  <c r="E2685" i="4" s="1"/>
  <c r="E2686" i="4" s="1"/>
  <c r="E2687" i="4" s="1"/>
  <c r="E2688" i="4" s="1"/>
  <c r="E2689" i="4" s="1"/>
  <c r="L2679" i="4"/>
  <c r="E2679" i="4"/>
  <c r="L2678" i="4"/>
  <c r="L2677" i="4"/>
  <c r="G2677" i="4"/>
  <c r="L2676" i="4"/>
  <c r="L2675" i="4"/>
  <c r="L2674" i="4"/>
  <c r="L2673" i="4"/>
  <c r="L2672" i="4"/>
  <c r="L2671" i="4"/>
  <c r="L2670" i="4"/>
  <c r="L2669" i="4"/>
  <c r="L2668" i="4"/>
  <c r="F2668" i="4"/>
  <c r="F2669" i="4" s="1"/>
  <c r="F2670" i="4" s="1"/>
  <c r="F2671" i="4" s="1"/>
  <c r="F2672" i="4" s="1"/>
  <c r="F2673" i="4" s="1"/>
  <c r="F2674" i="4" s="1"/>
  <c r="F2675" i="4" s="1"/>
  <c r="F2676" i="4" s="1"/>
  <c r="F2677" i="4" s="1"/>
  <c r="E2668" i="4"/>
  <c r="E2669" i="4" s="1"/>
  <c r="E2670" i="4" s="1"/>
  <c r="E2671" i="4" s="1"/>
  <c r="E2672" i="4" s="1"/>
  <c r="E2673" i="4" s="1"/>
  <c r="E2674" i="4" s="1"/>
  <c r="E2675" i="4" s="1"/>
  <c r="E2676" i="4" s="1"/>
  <c r="E2677" i="4" s="1"/>
  <c r="L2667" i="4"/>
  <c r="E2667" i="4"/>
  <c r="L2666" i="4"/>
  <c r="L2665" i="4"/>
  <c r="G2665" i="4"/>
  <c r="L2664" i="4"/>
  <c r="L2663" i="4"/>
  <c r="L2662" i="4"/>
  <c r="L2661" i="4"/>
  <c r="L2660" i="4"/>
  <c r="L2659" i="4"/>
  <c r="L2658" i="4"/>
  <c r="L2657" i="4"/>
  <c r="L2656" i="4"/>
  <c r="F2656" i="4"/>
  <c r="F2657" i="4" s="1"/>
  <c r="F2658" i="4" s="1"/>
  <c r="F2659" i="4" s="1"/>
  <c r="F2660" i="4" s="1"/>
  <c r="F2661" i="4" s="1"/>
  <c r="F2662" i="4" s="1"/>
  <c r="F2663" i="4" s="1"/>
  <c r="F2664" i="4" s="1"/>
  <c r="F2665" i="4" s="1"/>
  <c r="E2656" i="4"/>
  <c r="E2657" i="4" s="1"/>
  <c r="E2658" i="4" s="1"/>
  <c r="E2659" i="4" s="1"/>
  <c r="E2660" i="4" s="1"/>
  <c r="E2661" i="4" s="1"/>
  <c r="E2662" i="4" s="1"/>
  <c r="E2663" i="4" s="1"/>
  <c r="E2664" i="4" s="1"/>
  <c r="E2665" i="4" s="1"/>
  <c r="L2655" i="4"/>
  <c r="L2654" i="4"/>
  <c r="L2653" i="4"/>
  <c r="G2653" i="4"/>
  <c r="L2652" i="4"/>
  <c r="L2651" i="4"/>
  <c r="L2650" i="4"/>
  <c r="L2649" i="4"/>
  <c r="L2648" i="4"/>
  <c r="L2647" i="4"/>
  <c r="L2646" i="4"/>
  <c r="L2645" i="4"/>
  <c r="F2645" i="4"/>
  <c r="F2646" i="4" s="1"/>
  <c r="F2647" i="4" s="1"/>
  <c r="F2648" i="4" s="1"/>
  <c r="F2649" i="4" s="1"/>
  <c r="F2650" i="4" s="1"/>
  <c r="F2651" i="4" s="1"/>
  <c r="F2652" i="4" s="1"/>
  <c r="F2653" i="4" s="1"/>
  <c r="L2644" i="4"/>
  <c r="F2644" i="4"/>
  <c r="E2644" i="4"/>
  <c r="E2645" i="4" s="1"/>
  <c r="E2646" i="4" s="1"/>
  <c r="E2647" i="4" s="1"/>
  <c r="E2648" i="4" s="1"/>
  <c r="E2649" i="4" s="1"/>
  <c r="E2650" i="4" s="1"/>
  <c r="E2651" i="4" s="1"/>
  <c r="E2652" i="4" s="1"/>
  <c r="E2653" i="4" s="1"/>
  <c r="L2643" i="4"/>
  <c r="L2642" i="4"/>
  <c r="L2641" i="4"/>
  <c r="G2641" i="4"/>
  <c r="L2640" i="4"/>
  <c r="L2639" i="4"/>
  <c r="L2638" i="4"/>
  <c r="L2637" i="4"/>
  <c r="L2636" i="4"/>
  <c r="L2635" i="4"/>
  <c r="L2634" i="4"/>
  <c r="L2633" i="4"/>
  <c r="L2632" i="4"/>
  <c r="F2632" i="4"/>
  <c r="F2633" i="4" s="1"/>
  <c r="F2634" i="4" s="1"/>
  <c r="F2635" i="4" s="1"/>
  <c r="F2636" i="4" s="1"/>
  <c r="F2637" i="4" s="1"/>
  <c r="F2638" i="4" s="1"/>
  <c r="F2639" i="4" s="1"/>
  <c r="F2640" i="4" s="1"/>
  <c r="F2641" i="4" s="1"/>
  <c r="E2632" i="4"/>
  <c r="E2633" i="4" s="1"/>
  <c r="E2634" i="4" s="1"/>
  <c r="E2635" i="4" s="1"/>
  <c r="E2636" i="4" s="1"/>
  <c r="E2637" i="4" s="1"/>
  <c r="E2638" i="4" s="1"/>
  <c r="E2639" i="4" s="1"/>
  <c r="E2640" i="4" s="1"/>
  <c r="E2641" i="4" s="1"/>
  <c r="L2631" i="4"/>
  <c r="L2630" i="4"/>
  <c r="E2631" i="4"/>
  <c r="B21" i="23" l="1"/>
  <c r="M2712" i="4"/>
  <c r="M2705" i="4"/>
  <c r="M2703" i="4"/>
  <c r="C16" i="23"/>
  <c r="G16" i="23"/>
  <c r="K16" i="23"/>
  <c r="F16" i="23"/>
  <c r="J16" i="23"/>
  <c r="M2710" i="4"/>
  <c r="B16" i="23"/>
  <c r="M2691" i="4"/>
  <c r="M2713" i="4"/>
  <c r="F2774" i="4"/>
  <c r="F2775" i="4" s="1"/>
  <c r="M2708" i="4"/>
  <c r="D21" i="23"/>
  <c r="E21" i="23"/>
  <c r="D16" i="23"/>
  <c r="E16" i="23"/>
  <c r="H16" i="23"/>
  <c r="I16" i="23"/>
  <c r="H21" i="23"/>
  <c r="I21" i="23"/>
  <c r="F21" i="23"/>
  <c r="G21" i="23"/>
  <c r="J21" i="23"/>
  <c r="M2738" i="4"/>
  <c r="M2748" i="4"/>
  <c r="M2749" i="4"/>
  <c r="M2739" i="4"/>
  <c r="M2741" i="4"/>
  <c r="M2744" i="4"/>
  <c r="M2745" i="4"/>
  <c r="M2740" i="4"/>
  <c r="M2742" i="4"/>
  <c r="M2743" i="4"/>
  <c r="M2746" i="4"/>
  <c r="M2747" i="4"/>
  <c r="M2732" i="4"/>
  <c r="M2729" i="4"/>
  <c r="M2726" i="4"/>
  <c r="M2727" i="4"/>
  <c r="M2728" i="4"/>
  <c r="M2730" i="4"/>
  <c r="M2731" i="4"/>
  <c r="M2734" i="4"/>
  <c r="M2735" i="4"/>
  <c r="M2733" i="4"/>
  <c r="M2736" i="4"/>
  <c r="M2737" i="4"/>
  <c r="M2719" i="4"/>
  <c r="M2723" i="4"/>
  <c r="M2716" i="4"/>
  <c r="M2717" i="4"/>
  <c r="M2721" i="4"/>
  <c r="F2714" i="4"/>
  <c r="M2714" i="4"/>
  <c r="M2715" i="4"/>
  <c r="M2718" i="4"/>
  <c r="M2720" i="4"/>
  <c r="M2722" i="4"/>
  <c r="M2724" i="4"/>
  <c r="M2725" i="4"/>
  <c r="F2715" i="4"/>
  <c r="M2702" i="4"/>
  <c r="M2704" i="4"/>
  <c r="M2706" i="4"/>
  <c r="M2707" i="4"/>
  <c r="M2709" i="4"/>
  <c r="M2711" i="4"/>
  <c r="M2696" i="4"/>
  <c r="M2701" i="4"/>
  <c r="M2694" i="4"/>
  <c r="M2693" i="4"/>
  <c r="F2690" i="4"/>
  <c r="F2691" i="4" s="1"/>
  <c r="M2690" i="4"/>
  <c r="M2692" i="4"/>
  <c r="M2695" i="4"/>
  <c r="M2697" i="4"/>
  <c r="M2699" i="4"/>
  <c r="M2698" i="4"/>
  <c r="M2700" i="4"/>
  <c r="M2678" i="4"/>
  <c r="M2681" i="4"/>
  <c r="M2679" i="4"/>
  <c r="M2687" i="4"/>
  <c r="M2688" i="4"/>
  <c r="M2689" i="4"/>
  <c r="M2684" i="4"/>
  <c r="M2685" i="4"/>
  <c r="M2680" i="4"/>
  <c r="M2682" i="4"/>
  <c r="M2683" i="4"/>
  <c r="M2686" i="4"/>
  <c r="M2668" i="4"/>
  <c r="M2671" i="4"/>
  <c r="M2669" i="4"/>
  <c r="M2673" i="4"/>
  <c r="M2675" i="4"/>
  <c r="M2677" i="4"/>
  <c r="F2666" i="4"/>
  <c r="F2667" i="4" s="1"/>
  <c r="M2666" i="4"/>
  <c r="M2667" i="4"/>
  <c r="M2670" i="4"/>
  <c r="M2672" i="4"/>
  <c r="M2674" i="4"/>
  <c r="M2676" i="4"/>
  <c r="M2656" i="4"/>
  <c r="M2654" i="4"/>
  <c r="M2658" i="4"/>
  <c r="M2659" i="4"/>
  <c r="M2662" i="4"/>
  <c r="M2663" i="4"/>
  <c r="M2655" i="4"/>
  <c r="M2657" i="4"/>
  <c r="M2660" i="4"/>
  <c r="M2661" i="4"/>
  <c r="M2664" i="4"/>
  <c r="M2665" i="4"/>
  <c r="M2647" i="4"/>
  <c r="M2649" i="4"/>
  <c r="M2648" i="4"/>
  <c r="M2645" i="4"/>
  <c r="M2642" i="4"/>
  <c r="M2643" i="4"/>
  <c r="M2644" i="4"/>
  <c r="M2646" i="4"/>
  <c r="M2652" i="4"/>
  <c r="M2653" i="4"/>
  <c r="M2650" i="4"/>
  <c r="M2651" i="4"/>
  <c r="M2631" i="4"/>
  <c r="F2762" i="4"/>
  <c r="F2763" i="4" s="1"/>
  <c r="F2750" i="4"/>
  <c r="F2751" i="4" s="1"/>
  <c r="F2738" i="4"/>
  <c r="F2739" i="4" s="1"/>
  <c r="F2726" i="4"/>
  <c r="F2727" i="4" s="1"/>
  <c r="F2702" i="4"/>
  <c r="F2703" i="4" s="1"/>
  <c r="F2678" i="4"/>
  <c r="F2679" i="4" s="1"/>
  <c r="F2654" i="4"/>
  <c r="F2655" i="4" s="1"/>
  <c r="F2642" i="4"/>
  <c r="F2643" i="4" s="1"/>
  <c r="M2632" i="4"/>
  <c r="M2635" i="4"/>
  <c r="M2639" i="4"/>
  <c r="M2630" i="4"/>
  <c r="F2630" i="4"/>
  <c r="F2631" i="4" s="1"/>
  <c r="M2638" i="4"/>
  <c r="M2636" i="4"/>
  <c r="M2640" i="4"/>
  <c r="M2634" i="4"/>
  <c r="M2633" i="4"/>
  <c r="M2637" i="4"/>
  <c r="M2641" i="4"/>
  <c r="AR16" i="10"/>
  <c r="AR22" i="10" s="1"/>
  <c r="AR23" i="10" s="1"/>
  <c r="AQ16" i="10"/>
  <c r="AQ22" i="10" s="1"/>
  <c r="AQ23" i="10" s="1"/>
  <c r="AP16" i="10"/>
  <c r="AR15" i="10"/>
  <c r="AQ15" i="10"/>
  <c r="AP15" i="10"/>
  <c r="AR14" i="10"/>
  <c r="AQ14" i="10"/>
  <c r="AP14" i="10"/>
  <c r="AR13" i="10"/>
  <c r="AQ13" i="10"/>
  <c r="AP13" i="10"/>
  <c r="AR12" i="10"/>
  <c r="AQ12" i="10"/>
  <c r="AP12" i="10"/>
  <c r="AR11" i="10"/>
  <c r="AQ11" i="10"/>
  <c r="AP11" i="10"/>
  <c r="AR10" i="10"/>
  <c r="AQ10" i="10"/>
  <c r="AR9" i="10"/>
  <c r="AQ9" i="10"/>
  <c r="AP9" i="10"/>
  <c r="AR8" i="10"/>
  <c r="AQ8" i="10"/>
  <c r="AP8" i="10"/>
  <c r="AR7" i="10"/>
  <c r="AQ7" i="10"/>
  <c r="AP7" i="10"/>
  <c r="AR6" i="10"/>
  <c r="AQ6" i="10"/>
  <c r="AP6" i="10"/>
  <c r="AR5" i="10"/>
  <c r="AQ5" i="10"/>
  <c r="AP5" i="10"/>
  <c r="AR4" i="10"/>
  <c r="AR21" i="10" s="1"/>
  <c r="AQ4" i="10"/>
  <c r="AQ21" i="10" s="1"/>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I56" i="15"/>
  <c r="H56" i="15"/>
  <c r="G56" i="15"/>
  <c r="F56"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I55" i="15"/>
  <c r="H55" i="15"/>
  <c r="G55" i="15"/>
  <c r="F55"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I54" i="15"/>
  <c r="H54" i="15"/>
  <c r="G54" i="15"/>
  <c r="F54"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I53" i="15"/>
  <c r="H53" i="15"/>
  <c r="G53" i="15"/>
  <c r="F53"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I52" i="15"/>
  <c r="H52" i="15"/>
  <c r="G52" i="15"/>
  <c r="F52"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I51" i="15"/>
  <c r="H51" i="15"/>
  <c r="G51" i="15"/>
  <c r="F51"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I50" i="15"/>
  <c r="H50" i="15"/>
  <c r="G50" i="15"/>
  <c r="F50"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I49" i="15"/>
  <c r="H49" i="15"/>
  <c r="G49" i="15"/>
  <c r="F49"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I48" i="15"/>
  <c r="H48" i="15"/>
  <c r="G48" i="15"/>
  <c r="F48"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I47" i="15"/>
  <c r="H47" i="15"/>
  <c r="G47" i="15"/>
  <c r="F47"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I46" i="15"/>
  <c r="H46" i="15"/>
  <c r="G46" i="15"/>
  <c r="F46"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I45" i="15"/>
  <c r="H45" i="15"/>
  <c r="G45" i="15"/>
  <c r="F45" i="15"/>
  <c r="G44" i="15"/>
  <c r="H44" i="15"/>
  <c r="I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AQ44" i="15"/>
  <c r="AR44" i="15"/>
  <c r="AS44" i="15"/>
  <c r="AT44" i="15"/>
  <c r="AQ17" i="10" l="1"/>
  <c r="AR17" i="10"/>
  <c r="F44" i="15"/>
  <c r="B24" i="15"/>
  <c r="AQ57" i="15"/>
  <c r="AI57" i="15"/>
  <c r="AA57" i="15"/>
  <c r="S57" i="15"/>
  <c r="AP57" i="15"/>
  <c r="AN57" i="15"/>
  <c r="AH57" i="15"/>
  <c r="AF57" i="15"/>
  <c r="Z57" i="15"/>
  <c r="X57" i="15"/>
  <c r="R57" i="15"/>
  <c r="H57" i="15"/>
  <c r="AT57" i="15"/>
  <c r="AS57" i="15"/>
  <c r="AR57" i="15"/>
  <c r="AO57" i="15"/>
  <c r="AM57" i="15"/>
  <c r="AL57" i="15"/>
  <c r="AK57" i="15"/>
  <c r="AJ57" i="15"/>
  <c r="AG57" i="15"/>
  <c r="AE57" i="15"/>
  <c r="AD57" i="15"/>
  <c r="AC57" i="15"/>
  <c r="AB57" i="15"/>
  <c r="Y57" i="15"/>
  <c r="W57" i="15"/>
  <c r="V57" i="15"/>
  <c r="U57" i="15"/>
  <c r="T57" i="15"/>
  <c r="I57" i="15"/>
  <c r="G57" i="15"/>
  <c r="F57" i="15"/>
  <c r="K2629" i="4"/>
  <c r="J2629" i="4"/>
  <c r="K2618" i="4"/>
  <c r="J2618" i="4"/>
  <c r="K2627" i="4"/>
  <c r="J2627" i="4"/>
  <c r="J2619" i="4"/>
  <c r="K2620" i="4"/>
  <c r="J2620" i="4"/>
  <c r="K2619" i="4"/>
  <c r="J2621" i="4"/>
  <c r="L2621" i="4" s="1"/>
  <c r="K2607" i="4"/>
  <c r="J2607" i="4"/>
  <c r="K2617" i="4"/>
  <c r="J2617" i="4"/>
  <c r="E2618" i="4"/>
  <c r="E2619" i="4" s="1"/>
  <c r="K2608" i="4"/>
  <c r="J2608" i="4"/>
  <c r="K2615" i="4"/>
  <c r="J2615" i="4"/>
  <c r="E2606" i="4"/>
  <c r="E2607" i="4" s="1"/>
  <c r="G2629" i="4"/>
  <c r="L2628" i="4"/>
  <c r="L2626" i="4"/>
  <c r="L2625" i="4"/>
  <c r="L2624" i="4"/>
  <c r="L2623" i="4"/>
  <c r="L2622" i="4"/>
  <c r="F2620" i="4"/>
  <c r="F2621" i="4" s="1"/>
  <c r="F2622" i="4" s="1"/>
  <c r="F2623" i="4" s="1"/>
  <c r="F2624" i="4" s="1"/>
  <c r="F2625" i="4" s="1"/>
  <c r="F2626" i="4" s="1"/>
  <c r="F2627" i="4" s="1"/>
  <c r="F2628" i="4" s="1"/>
  <c r="F2629" i="4" s="1"/>
  <c r="E2620" i="4"/>
  <c r="E2621" i="4" s="1"/>
  <c r="E2622" i="4" s="1"/>
  <c r="E2623" i="4" s="1"/>
  <c r="E2624" i="4" s="1"/>
  <c r="E2625" i="4" s="1"/>
  <c r="E2626" i="4" s="1"/>
  <c r="E2627" i="4" s="1"/>
  <c r="E2628" i="4" s="1"/>
  <c r="E2629" i="4" s="1"/>
  <c r="G2617" i="4"/>
  <c r="L2616" i="4"/>
  <c r="L2614" i="4"/>
  <c r="L2613" i="4"/>
  <c r="L2612" i="4"/>
  <c r="L2611" i="4"/>
  <c r="L2610" i="4"/>
  <c r="L2609" i="4"/>
  <c r="F2608" i="4"/>
  <c r="F2609" i="4" s="1"/>
  <c r="F2610" i="4" s="1"/>
  <c r="F2611" i="4" s="1"/>
  <c r="F2612" i="4" s="1"/>
  <c r="F2613" i="4" s="1"/>
  <c r="F2614" i="4" s="1"/>
  <c r="F2615" i="4" s="1"/>
  <c r="F2616" i="4" s="1"/>
  <c r="F2617" i="4" s="1"/>
  <c r="E2608" i="4"/>
  <c r="E2609" i="4" s="1"/>
  <c r="E2610" i="4" s="1"/>
  <c r="E2611" i="4" s="1"/>
  <c r="E2612" i="4" s="1"/>
  <c r="E2613" i="4" s="1"/>
  <c r="E2614" i="4" s="1"/>
  <c r="E2615" i="4" s="1"/>
  <c r="E2616" i="4" s="1"/>
  <c r="E2617" i="4" s="1"/>
  <c r="L2606" i="4"/>
  <c r="K2603" i="4"/>
  <c r="J2603" i="4"/>
  <c r="K2605" i="4"/>
  <c r="J2605" i="4"/>
  <c r="K2601" i="4"/>
  <c r="J2601" i="4"/>
  <c r="E2594" i="4"/>
  <c r="E2595" i="4" s="1"/>
  <c r="K2591" i="4"/>
  <c r="J2591" i="4"/>
  <c r="K2589" i="4"/>
  <c r="J2589" i="4"/>
  <c r="E2582" i="4"/>
  <c r="K2579" i="4"/>
  <c r="J2579" i="4"/>
  <c r="K2571" i="4"/>
  <c r="J2571" i="4"/>
  <c r="K2581" i="4"/>
  <c r="J2581" i="4"/>
  <c r="K2572" i="4"/>
  <c r="J2572" i="4"/>
  <c r="L2572" i="4" s="1"/>
  <c r="K2580" i="4"/>
  <c r="J2580" i="4"/>
  <c r="E2570" i="4"/>
  <c r="E2571" i="4" s="1"/>
  <c r="K2569" i="4"/>
  <c r="J2569" i="4"/>
  <c r="L2569" i="4" s="1"/>
  <c r="K2560" i="4"/>
  <c r="L2560" i="4" s="1"/>
  <c r="J2567" i="4"/>
  <c r="K2561" i="4"/>
  <c r="J2561" i="4"/>
  <c r="K2562" i="4"/>
  <c r="J2562" i="4"/>
  <c r="K2567" i="4"/>
  <c r="E2558" i="4"/>
  <c r="E2559" i="4" s="1"/>
  <c r="K2548" i="4"/>
  <c r="J2548" i="4"/>
  <c r="K2557" i="4"/>
  <c r="J2557" i="4"/>
  <c r="K2549" i="4"/>
  <c r="L2549" i="4" s="1"/>
  <c r="K2556" i="4"/>
  <c r="L2556" i="4" s="1"/>
  <c r="E2546" i="4"/>
  <c r="K2534" i="4"/>
  <c r="J2534" i="4"/>
  <c r="K2545" i="4"/>
  <c r="J2545" i="4"/>
  <c r="L2545" i="4" s="1"/>
  <c r="E2534" i="4"/>
  <c r="E2535" i="4" s="1"/>
  <c r="K2533" i="4"/>
  <c r="J2533" i="4"/>
  <c r="K2532" i="4"/>
  <c r="J2532" i="4"/>
  <c r="L2532" i="4" s="1"/>
  <c r="G2605" i="4"/>
  <c r="L2604" i="4"/>
  <c r="L2602" i="4"/>
  <c r="L2600" i="4"/>
  <c r="L2599" i="4"/>
  <c r="L2598" i="4"/>
  <c r="L2597" i="4"/>
  <c r="L2596" i="4"/>
  <c r="F2596" i="4"/>
  <c r="F2597" i="4" s="1"/>
  <c r="F2598" i="4" s="1"/>
  <c r="F2599" i="4" s="1"/>
  <c r="F2600" i="4" s="1"/>
  <c r="F2601" i="4" s="1"/>
  <c r="F2602" i="4" s="1"/>
  <c r="F2603" i="4" s="1"/>
  <c r="F2604" i="4" s="1"/>
  <c r="F2605" i="4" s="1"/>
  <c r="E2596" i="4"/>
  <c r="E2597" i="4" s="1"/>
  <c r="E2598" i="4" s="1"/>
  <c r="E2599" i="4" s="1"/>
  <c r="E2600" i="4" s="1"/>
  <c r="E2601" i="4" s="1"/>
  <c r="E2602" i="4" s="1"/>
  <c r="E2603" i="4" s="1"/>
  <c r="E2604" i="4" s="1"/>
  <c r="E2605" i="4" s="1"/>
  <c r="L2595" i="4"/>
  <c r="L2594" i="4"/>
  <c r="L2593" i="4"/>
  <c r="G2593" i="4"/>
  <c r="L2592" i="4"/>
  <c r="L2591" i="4"/>
  <c r="L2590" i="4"/>
  <c r="L2589" i="4"/>
  <c r="L2588" i="4"/>
  <c r="L2587" i="4"/>
  <c r="L2586" i="4"/>
  <c r="L2585" i="4"/>
  <c r="L2584" i="4"/>
  <c r="F2584" i="4"/>
  <c r="F2585" i="4" s="1"/>
  <c r="F2586" i="4" s="1"/>
  <c r="F2587" i="4" s="1"/>
  <c r="F2588" i="4" s="1"/>
  <c r="F2589" i="4" s="1"/>
  <c r="F2590" i="4" s="1"/>
  <c r="F2591" i="4" s="1"/>
  <c r="F2592" i="4" s="1"/>
  <c r="F2593" i="4" s="1"/>
  <c r="E2584" i="4"/>
  <c r="E2585" i="4" s="1"/>
  <c r="E2586" i="4" s="1"/>
  <c r="E2587" i="4" s="1"/>
  <c r="E2588" i="4" s="1"/>
  <c r="E2589" i="4" s="1"/>
  <c r="E2590" i="4" s="1"/>
  <c r="E2591" i="4" s="1"/>
  <c r="E2592" i="4" s="1"/>
  <c r="E2593" i="4" s="1"/>
  <c r="L2583" i="4"/>
  <c r="E2583" i="4"/>
  <c r="L2582" i="4"/>
  <c r="G2581" i="4"/>
  <c r="L2578" i="4"/>
  <c r="L2577" i="4"/>
  <c r="L2576" i="4"/>
  <c r="L2575" i="4"/>
  <c r="L2574" i="4"/>
  <c r="L2573" i="4"/>
  <c r="F2572" i="4"/>
  <c r="F2573" i="4" s="1"/>
  <c r="F2574" i="4" s="1"/>
  <c r="F2575" i="4" s="1"/>
  <c r="F2576" i="4" s="1"/>
  <c r="F2577" i="4" s="1"/>
  <c r="F2578" i="4" s="1"/>
  <c r="F2579" i="4" s="1"/>
  <c r="F2580" i="4" s="1"/>
  <c r="F2581" i="4" s="1"/>
  <c r="E2572" i="4"/>
  <c r="E2573" i="4" s="1"/>
  <c r="E2574" i="4" s="1"/>
  <c r="E2575" i="4" s="1"/>
  <c r="E2576" i="4" s="1"/>
  <c r="E2577" i="4" s="1"/>
  <c r="E2578" i="4" s="1"/>
  <c r="E2579" i="4" s="1"/>
  <c r="E2580" i="4" s="1"/>
  <c r="E2581" i="4" s="1"/>
  <c r="L2571" i="4"/>
  <c r="L2570" i="4"/>
  <c r="G2569" i="4"/>
  <c r="L2568" i="4"/>
  <c r="L2567" i="4"/>
  <c r="L2566" i="4"/>
  <c r="L2565" i="4"/>
  <c r="L2564" i="4"/>
  <c r="L2563" i="4"/>
  <c r="F2560" i="4"/>
  <c r="F2561" i="4" s="1"/>
  <c r="F2562" i="4" s="1"/>
  <c r="F2563" i="4" s="1"/>
  <c r="F2564" i="4" s="1"/>
  <c r="F2565" i="4" s="1"/>
  <c r="F2566" i="4" s="1"/>
  <c r="F2567" i="4" s="1"/>
  <c r="F2568" i="4" s="1"/>
  <c r="F2569" i="4" s="1"/>
  <c r="E2560" i="4"/>
  <c r="E2561" i="4" s="1"/>
  <c r="E2562" i="4" s="1"/>
  <c r="E2563" i="4" s="1"/>
  <c r="E2564" i="4" s="1"/>
  <c r="E2565" i="4" s="1"/>
  <c r="E2566" i="4" s="1"/>
  <c r="E2567" i="4" s="1"/>
  <c r="E2568" i="4" s="1"/>
  <c r="E2569" i="4" s="1"/>
  <c r="L2559" i="4"/>
  <c r="L2558" i="4"/>
  <c r="G2557" i="4"/>
  <c r="L2555" i="4"/>
  <c r="L2554" i="4"/>
  <c r="L2553" i="4"/>
  <c r="L2552" i="4"/>
  <c r="L2551" i="4"/>
  <c r="L2550" i="4"/>
  <c r="L2548" i="4"/>
  <c r="F2548" i="4"/>
  <c r="F2549" i="4" s="1"/>
  <c r="F2550" i="4" s="1"/>
  <c r="F2551" i="4" s="1"/>
  <c r="F2552" i="4" s="1"/>
  <c r="F2553" i="4" s="1"/>
  <c r="F2554" i="4" s="1"/>
  <c r="F2555" i="4" s="1"/>
  <c r="F2556" i="4" s="1"/>
  <c r="F2557" i="4" s="1"/>
  <c r="E2548" i="4"/>
  <c r="E2549" i="4" s="1"/>
  <c r="E2550" i="4" s="1"/>
  <c r="E2551" i="4" s="1"/>
  <c r="E2552" i="4" s="1"/>
  <c r="E2553" i="4" s="1"/>
  <c r="E2554" i="4" s="1"/>
  <c r="E2555" i="4" s="1"/>
  <c r="E2556" i="4" s="1"/>
  <c r="E2557" i="4" s="1"/>
  <c r="L2547" i="4"/>
  <c r="E2547" i="4"/>
  <c r="L2546" i="4"/>
  <c r="G2545" i="4"/>
  <c r="L2544" i="4"/>
  <c r="L2543" i="4"/>
  <c r="L2542" i="4"/>
  <c r="L2541" i="4"/>
  <c r="L2540" i="4"/>
  <c r="L2539" i="4"/>
  <c r="L2538" i="4"/>
  <c r="L2537" i="4"/>
  <c r="L2536" i="4"/>
  <c r="F2536" i="4"/>
  <c r="F2537" i="4" s="1"/>
  <c r="F2538" i="4" s="1"/>
  <c r="F2539" i="4" s="1"/>
  <c r="F2540" i="4" s="1"/>
  <c r="F2541" i="4" s="1"/>
  <c r="F2542" i="4" s="1"/>
  <c r="F2543" i="4" s="1"/>
  <c r="F2544" i="4" s="1"/>
  <c r="F2545" i="4" s="1"/>
  <c r="E2536" i="4"/>
  <c r="E2537" i="4" s="1"/>
  <c r="E2538" i="4" s="1"/>
  <c r="E2539" i="4" s="1"/>
  <c r="E2540" i="4" s="1"/>
  <c r="E2541" i="4" s="1"/>
  <c r="E2542" i="4" s="1"/>
  <c r="E2543" i="4" s="1"/>
  <c r="E2544" i="4" s="1"/>
  <c r="E2545" i="4" s="1"/>
  <c r="L2535" i="4"/>
  <c r="G2533" i="4"/>
  <c r="L2531" i="4"/>
  <c r="L2530" i="4"/>
  <c r="L2529" i="4"/>
  <c r="L2528" i="4"/>
  <c r="L2527" i="4"/>
  <c r="L2526" i="4"/>
  <c r="L2525" i="4"/>
  <c r="L2524" i="4"/>
  <c r="F2524" i="4"/>
  <c r="F2525" i="4" s="1"/>
  <c r="F2526" i="4" s="1"/>
  <c r="F2527" i="4" s="1"/>
  <c r="F2528" i="4" s="1"/>
  <c r="F2529" i="4" s="1"/>
  <c r="F2530" i="4" s="1"/>
  <c r="F2531" i="4" s="1"/>
  <c r="F2532" i="4" s="1"/>
  <c r="F2533" i="4" s="1"/>
  <c r="E2524" i="4"/>
  <c r="E2525" i="4" s="1"/>
  <c r="E2526" i="4" s="1"/>
  <c r="E2527" i="4" s="1"/>
  <c r="E2528" i="4" s="1"/>
  <c r="E2529" i="4" s="1"/>
  <c r="E2530" i="4" s="1"/>
  <c r="E2531" i="4" s="1"/>
  <c r="E2532" i="4" s="1"/>
  <c r="E2533" i="4" s="1"/>
  <c r="L2523" i="4"/>
  <c r="L2522" i="4"/>
  <c r="E2522" i="4"/>
  <c r="E2523" i="4" s="1"/>
  <c r="K2521" i="4"/>
  <c r="J2521" i="4"/>
  <c r="G2521" i="4"/>
  <c r="K2520" i="4"/>
  <c r="J2520" i="4"/>
  <c r="L2520" i="4" s="1"/>
  <c r="K2519" i="4"/>
  <c r="J2519" i="4"/>
  <c r="L2518" i="4"/>
  <c r="K2517" i="4"/>
  <c r="J2517" i="4"/>
  <c r="L2516" i="4"/>
  <c r="L2515" i="4"/>
  <c r="L2514" i="4"/>
  <c r="K2513" i="4"/>
  <c r="J2513" i="4"/>
  <c r="L2512" i="4"/>
  <c r="F2512" i="4"/>
  <c r="F2513" i="4" s="1"/>
  <c r="F2514" i="4" s="1"/>
  <c r="F2515" i="4" s="1"/>
  <c r="F2516" i="4" s="1"/>
  <c r="F2517" i="4" s="1"/>
  <c r="F2518" i="4" s="1"/>
  <c r="F2519" i="4" s="1"/>
  <c r="F2520" i="4" s="1"/>
  <c r="F2521" i="4" s="1"/>
  <c r="E2512" i="4"/>
  <c r="E2513" i="4" s="1"/>
  <c r="E2514" i="4" s="1"/>
  <c r="E2515" i="4" s="1"/>
  <c r="E2516" i="4" s="1"/>
  <c r="E2517" i="4" s="1"/>
  <c r="E2518" i="4" s="1"/>
  <c r="E2519" i="4" s="1"/>
  <c r="E2520" i="4" s="1"/>
  <c r="E2521" i="4" s="1"/>
  <c r="L2511" i="4"/>
  <c r="K2510" i="4"/>
  <c r="J2510" i="4"/>
  <c r="E2510" i="4"/>
  <c r="E2511" i="4" s="1"/>
  <c r="K2509" i="4"/>
  <c r="J2509" i="4"/>
  <c r="L2509" i="4" s="1"/>
  <c r="G2509" i="4"/>
  <c r="K2508" i="4"/>
  <c r="J2508" i="4"/>
  <c r="L2508" i="4" s="1"/>
  <c r="K2507" i="4"/>
  <c r="J2507" i="4"/>
  <c r="L2506" i="4"/>
  <c r="K2505" i="4"/>
  <c r="L2505" i="4" s="1"/>
  <c r="L2504" i="4"/>
  <c r="L2503" i="4"/>
  <c r="L2502" i="4"/>
  <c r="F2502" i="4"/>
  <c r="F2503" i="4" s="1"/>
  <c r="F2504" i="4" s="1"/>
  <c r="F2505" i="4" s="1"/>
  <c r="F2506" i="4" s="1"/>
  <c r="F2507" i="4" s="1"/>
  <c r="F2508" i="4" s="1"/>
  <c r="F2509" i="4" s="1"/>
  <c r="K2501" i="4"/>
  <c r="J2501" i="4"/>
  <c r="K2500" i="4"/>
  <c r="J2500" i="4"/>
  <c r="F2500" i="4"/>
  <c r="F2501" i="4" s="1"/>
  <c r="E2500" i="4"/>
  <c r="E2501" i="4" s="1"/>
  <c r="E2502" i="4" s="1"/>
  <c r="E2503" i="4" s="1"/>
  <c r="E2504" i="4" s="1"/>
  <c r="E2505" i="4" s="1"/>
  <c r="E2506" i="4" s="1"/>
  <c r="E2507" i="4" s="1"/>
  <c r="E2508" i="4" s="1"/>
  <c r="E2509" i="4" s="1"/>
  <c r="K2499" i="4"/>
  <c r="J2499" i="4"/>
  <c r="K2498" i="4"/>
  <c r="J2498" i="4"/>
  <c r="L2498" i="4" s="1"/>
  <c r="E2498" i="4"/>
  <c r="E2499" i="4" s="1"/>
  <c r="K2497" i="4"/>
  <c r="J2497" i="4"/>
  <c r="G2497" i="4"/>
  <c r="L2496" i="4"/>
  <c r="K2495" i="4"/>
  <c r="J2495" i="4"/>
  <c r="L2494" i="4"/>
  <c r="K2493" i="4"/>
  <c r="J2493" i="4"/>
  <c r="L2492" i="4"/>
  <c r="L2491" i="4"/>
  <c r="L2490" i="4"/>
  <c r="K2489" i="4"/>
  <c r="J2489" i="4"/>
  <c r="K2488" i="4"/>
  <c r="J2488" i="4"/>
  <c r="F2488" i="4"/>
  <c r="F2489" i="4" s="1"/>
  <c r="F2490" i="4" s="1"/>
  <c r="F2491" i="4" s="1"/>
  <c r="F2492" i="4" s="1"/>
  <c r="F2493" i="4" s="1"/>
  <c r="F2494" i="4" s="1"/>
  <c r="F2495" i="4" s="1"/>
  <c r="F2496" i="4" s="1"/>
  <c r="F2497" i="4" s="1"/>
  <c r="E2488" i="4"/>
  <c r="E2489" i="4" s="1"/>
  <c r="E2490" i="4" s="1"/>
  <c r="E2491" i="4" s="1"/>
  <c r="E2492" i="4" s="1"/>
  <c r="E2493" i="4" s="1"/>
  <c r="E2494" i="4" s="1"/>
  <c r="E2495" i="4" s="1"/>
  <c r="E2496" i="4" s="1"/>
  <c r="E2497" i="4" s="1"/>
  <c r="K2487" i="4"/>
  <c r="J2487" i="4"/>
  <c r="L2486" i="4"/>
  <c r="E2486" i="4"/>
  <c r="E2487" i="4" s="1"/>
  <c r="K2485" i="4"/>
  <c r="J2485" i="4"/>
  <c r="G2485" i="4"/>
  <c r="K2484" i="4"/>
  <c r="J2484" i="4"/>
  <c r="K2483" i="4"/>
  <c r="J2483" i="4"/>
  <c r="L2483" i="4" s="1"/>
  <c r="L2482" i="4"/>
  <c r="J2481" i="4"/>
  <c r="L2481" i="4" s="1"/>
  <c r="L2480" i="4"/>
  <c r="L2479" i="4"/>
  <c r="L2478" i="4"/>
  <c r="K2477" i="4"/>
  <c r="J2477" i="4"/>
  <c r="K2476" i="4"/>
  <c r="J2476" i="4"/>
  <c r="F2476" i="4"/>
  <c r="F2477" i="4" s="1"/>
  <c r="F2478" i="4" s="1"/>
  <c r="F2479" i="4" s="1"/>
  <c r="F2480" i="4" s="1"/>
  <c r="F2481" i="4" s="1"/>
  <c r="F2482" i="4" s="1"/>
  <c r="F2483" i="4" s="1"/>
  <c r="F2484" i="4" s="1"/>
  <c r="F2485" i="4" s="1"/>
  <c r="E2476" i="4"/>
  <c r="E2477" i="4" s="1"/>
  <c r="E2478" i="4" s="1"/>
  <c r="E2479" i="4" s="1"/>
  <c r="E2480" i="4" s="1"/>
  <c r="E2481" i="4" s="1"/>
  <c r="E2482" i="4" s="1"/>
  <c r="E2483" i="4" s="1"/>
  <c r="E2484" i="4" s="1"/>
  <c r="E2485" i="4" s="1"/>
  <c r="K2475" i="4"/>
  <c r="J2475" i="4"/>
  <c r="K2474" i="4"/>
  <c r="J2474" i="4"/>
  <c r="E2474" i="4"/>
  <c r="E2475" i="4" s="1"/>
  <c r="K2473" i="4"/>
  <c r="J2473" i="4"/>
  <c r="G2473" i="4"/>
  <c r="K2472" i="4"/>
  <c r="J2472" i="4"/>
  <c r="K2471" i="4"/>
  <c r="J2471" i="4"/>
  <c r="L2470" i="4"/>
  <c r="K2469" i="4"/>
  <c r="J2469" i="4"/>
  <c r="L2468" i="4"/>
  <c r="L2467" i="4"/>
  <c r="L2466" i="4"/>
  <c r="K2465" i="4"/>
  <c r="J2465" i="4"/>
  <c r="K2464" i="4"/>
  <c r="J2464" i="4"/>
  <c r="F2464" i="4"/>
  <c r="F2465" i="4" s="1"/>
  <c r="F2466" i="4" s="1"/>
  <c r="F2467" i="4" s="1"/>
  <c r="F2468" i="4" s="1"/>
  <c r="F2469" i="4" s="1"/>
  <c r="F2470" i="4" s="1"/>
  <c r="F2471" i="4" s="1"/>
  <c r="F2472" i="4" s="1"/>
  <c r="F2473" i="4" s="1"/>
  <c r="E2464" i="4"/>
  <c r="E2465" i="4" s="1"/>
  <c r="E2466" i="4" s="1"/>
  <c r="E2467" i="4" s="1"/>
  <c r="E2468" i="4" s="1"/>
  <c r="E2469" i="4" s="1"/>
  <c r="E2470" i="4" s="1"/>
  <c r="E2471" i="4" s="1"/>
  <c r="E2472" i="4" s="1"/>
  <c r="E2473" i="4" s="1"/>
  <c r="K2463" i="4"/>
  <c r="L2463" i="4" s="1"/>
  <c r="K2462" i="4"/>
  <c r="J2462" i="4"/>
  <c r="E2462" i="4"/>
  <c r="E2463" i="4" s="1"/>
  <c r="K2461" i="4"/>
  <c r="J2461" i="4"/>
  <c r="G2461" i="4"/>
  <c r="K2460" i="4"/>
  <c r="J2460" i="4"/>
  <c r="L2459" i="4"/>
  <c r="L2458" i="4"/>
  <c r="K2457" i="4"/>
  <c r="J2457" i="4"/>
  <c r="L2456" i="4"/>
  <c r="L2455" i="4"/>
  <c r="L2454" i="4"/>
  <c r="L2453" i="4"/>
  <c r="K2452" i="4"/>
  <c r="J2452" i="4"/>
  <c r="F2452" i="4"/>
  <c r="F2453" i="4" s="1"/>
  <c r="F2454" i="4" s="1"/>
  <c r="F2455" i="4" s="1"/>
  <c r="F2456" i="4" s="1"/>
  <c r="F2457" i="4" s="1"/>
  <c r="F2458" i="4" s="1"/>
  <c r="F2459" i="4" s="1"/>
  <c r="F2460" i="4" s="1"/>
  <c r="F2461" i="4" s="1"/>
  <c r="E2452" i="4"/>
  <c r="E2453" i="4" s="1"/>
  <c r="E2454" i="4" s="1"/>
  <c r="E2455" i="4" s="1"/>
  <c r="E2456" i="4" s="1"/>
  <c r="E2457" i="4" s="1"/>
  <c r="E2458" i="4" s="1"/>
  <c r="E2459" i="4" s="1"/>
  <c r="E2460" i="4" s="1"/>
  <c r="E2461" i="4" s="1"/>
  <c r="L2451" i="4"/>
  <c r="K2450" i="4"/>
  <c r="J2450" i="4"/>
  <c r="E2450" i="4"/>
  <c r="E2451" i="4" s="1"/>
  <c r="K2449" i="4"/>
  <c r="J2449" i="4"/>
  <c r="G2449" i="4"/>
  <c r="K2448" i="4"/>
  <c r="J2448" i="4"/>
  <c r="K2447" i="4"/>
  <c r="J2447" i="4"/>
  <c r="L2446" i="4"/>
  <c r="K2445" i="4"/>
  <c r="J2445" i="4"/>
  <c r="L2444" i="4"/>
  <c r="L2443" i="4"/>
  <c r="K2442" i="4"/>
  <c r="J2442" i="4"/>
  <c r="K2441" i="4"/>
  <c r="J2441" i="4"/>
  <c r="K2440" i="4"/>
  <c r="J2440" i="4"/>
  <c r="F2440" i="4"/>
  <c r="F2441" i="4" s="1"/>
  <c r="F2442" i="4" s="1"/>
  <c r="F2443" i="4" s="1"/>
  <c r="F2444" i="4" s="1"/>
  <c r="F2445" i="4" s="1"/>
  <c r="F2446" i="4" s="1"/>
  <c r="F2447" i="4" s="1"/>
  <c r="F2448" i="4" s="1"/>
  <c r="F2449" i="4" s="1"/>
  <c r="E2440" i="4"/>
  <c r="E2441" i="4" s="1"/>
  <c r="E2442" i="4" s="1"/>
  <c r="E2443" i="4" s="1"/>
  <c r="E2444" i="4" s="1"/>
  <c r="E2445" i="4" s="1"/>
  <c r="E2446" i="4" s="1"/>
  <c r="E2447" i="4" s="1"/>
  <c r="E2448" i="4" s="1"/>
  <c r="E2449" i="4" s="1"/>
  <c r="K2439" i="4"/>
  <c r="J2439" i="4"/>
  <c r="K2438" i="4"/>
  <c r="J2438" i="4"/>
  <c r="L2438" i="4" s="1"/>
  <c r="E2438" i="4"/>
  <c r="E2439" i="4" s="1"/>
  <c r="L2437" i="4"/>
  <c r="G2437" i="4"/>
  <c r="L2436" i="4"/>
  <c r="L2435" i="4"/>
  <c r="L2434" i="4"/>
  <c r="L2433" i="4"/>
  <c r="L2432" i="4"/>
  <c r="L2431" i="4"/>
  <c r="L2430" i="4"/>
  <c r="L2429" i="4"/>
  <c r="L2428" i="4"/>
  <c r="F2428" i="4"/>
  <c r="F2429" i="4" s="1"/>
  <c r="F2430" i="4" s="1"/>
  <c r="F2431" i="4" s="1"/>
  <c r="F2432" i="4" s="1"/>
  <c r="F2433" i="4" s="1"/>
  <c r="F2434" i="4" s="1"/>
  <c r="F2435" i="4" s="1"/>
  <c r="F2436" i="4" s="1"/>
  <c r="F2437" i="4" s="1"/>
  <c r="E2428" i="4"/>
  <c r="E2429" i="4" s="1"/>
  <c r="E2430" i="4" s="1"/>
  <c r="E2431" i="4" s="1"/>
  <c r="E2432" i="4" s="1"/>
  <c r="E2433" i="4" s="1"/>
  <c r="E2434" i="4" s="1"/>
  <c r="E2435" i="4" s="1"/>
  <c r="E2436" i="4" s="1"/>
  <c r="E2437" i="4" s="1"/>
  <c r="K2427" i="4"/>
  <c r="J2427" i="4"/>
  <c r="K2426" i="4"/>
  <c r="J2426" i="4"/>
  <c r="E2426" i="4"/>
  <c r="E2427" i="4" s="1"/>
  <c r="L2425" i="4"/>
  <c r="G2425" i="4"/>
  <c r="L2424" i="4"/>
  <c r="K2423" i="4"/>
  <c r="J2423" i="4"/>
  <c r="L2422" i="4"/>
  <c r="L2421" i="4"/>
  <c r="L2420" i="4"/>
  <c r="L2419" i="4"/>
  <c r="L2418" i="4"/>
  <c r="K2417" i="4"/>
  <c r="J2417" i="4"/>
  <c r="K2416" i="4"/>
  <c r="J2416" i="4"/>
  <c r="F2416" i="4"/>
  <c r="F2417" i="4" s="1"/>
  <c r="F2418" i="4" s="1"/>
  <c r="F2419" i="4" s="1"/>
  <c r="F2420" i="4" s="1"/>
  <c r="F2421" i="4" s="1"/>
  <c r="F2422" i="4" s="1"/>
  <c r="F2423" i="4" s="1"/>
  <c r="F2424" i="4" s="1"/>
  <c r="F2425" i="4" s="1"/>
  <c r="E2416" i="4"/>
  <c r="E2417" i="4" s="1"/>
  <c r="E2418" i="4" s="1"/>
  <c r="E2419" i="4" s="1"/>
  <c r="E2420" i="4" s="1"/>
  <c r="E2421" i="4" s="1"/>
  <c r="E2422" i="4" s="1"/>
  <c r="E2423" i="4" s="1"/>
  <c r="E2424" i="4" s="1"/>
  <c r="E2425" i="4" s="1"/>
  <c r="K2415" i="4"/>
  <c r="J2415" i="4"/>
  <c r="K2414" i="4"/>
  <c r="J2414" i="4"/>
  <c r="L2414" i="4" s="1"/>
  <c r="E2414" i="4"/>
  <c r="E2415" i="4" s="1"/>
  <c r="L2489" i="4" l="1"/>
  <c r="L2495" i="4"/>
  <c r="L2580" i="4"/>
  <c r="L2579" i="4"/>
  <c r="L2445" i="4"/>
  <c r="L2449" i="4"/>
  <c r="L2452" i="4"/>
  <c r="M2452" i="4" s="1"/>
  <c r="L2462" i="4"/>
  <c r="L2465" i="4"/>
  <c r="L2471" i="4"/>
  <c r="L2474" i="4"/>
  <c r="L2534" i="4"/>
  <c r="L2581" i="4"/>
  <c r="L2417" i="4"/>
  <c r="L2487" i="4"/>
  <c r="L2415" i="4"/>
  <c r="L2441" i="4"/>
  <c r="L2472" i="4"/>
  <c r="L2475" i="4"/>
  <c r="L2517" i="4"/>
  <c r="L2533" i="4"/>
  <c r="L2562" i="4"/>
  <c r="L2442" i="4"/>
  <c r="L2500" i="4"/>
  <c r="L2557" i="4"/>
  <c r="L2561" i="4"/>
  <c r="L2605" i="4"/>
  <c r="L2476" i="4"/>
  <c r="L2488" i="4"/>
  <c r="L2497" i="4"/>
  <c r="L2439" i="4"/>
  <c r="L2447" i="4"/>
  <c r="L2450" i="4"/>
  <c r="L2460" i="4"/>
  <c r="L2627" i="4"/>
  <c r="L2416" i="4"/>
  <c r="L2426" i="4"/>
  <c r="M2430" i="4" s="1"/>
  <c r="L2448" i="4"/>
  <c r="L2461" i="4"/>
  <c r="L2484" i="4"/>
  <c r="L2501" i="4"/>
  <c r="L2507" i="4"/>
  <c r="L2510" i="4"/>
  <c r="L2513" i="4"/>
  <c r="L2519" i="4"/>
  <c r="L2423" i="4"/>
  <c r="L2427" i="4"/>
  <c r="M2436" i="4" s="1"/>
  <c r="L2440" i="4"/>
  <c r="L2457" i="4"/>
  <c r="L2464" i="4"/>
  <c r="L2469" i="4"/>
  <c r="L2473" i="4"/>
  <c r="L2499" i="4"/>
  <c r="L2618" i="4"/>
  <c r="L2620" i="4"/>
  <c r="M2622" i="4" s="1"/>
  <c r="L2619" i="4"/>
  <c r="L2629" i="4"/>
  <c r="L2607" i="4"/>
  <c r="L2608" i="4"/>
  <c r="M2613" i="4" s="1"/>
  <c r="L2617" i="4"/>
  <c r="L2615" i="4"/>
  <c r="M2623" i="4"/>
  <c r="L2601" i="4"/>
  <c r="L2603" i="4"/>
  <c r="M2586" i="4"/>
  <c r="M2592" i="4"/>
  <c r="M2593" i="4"/>
  <c r="M2584" i="4"/>
  <c r="M2583" i="4"/>
  <c r="M2585" i="4"/>
  <c r="M2588" i="4"/>
  <c r="M2589" i="4"/>
  <c r="M2587" i="4"/>
  <c r="M2590" i="4"/>
  <c r="M2591" i="4"/>
  <c r="M2575" i="4"/>
  <c r="M2572" i="4"/>
  <c r="M2574" i="4"/>
  <c r="M2579" i="4"/>
  <c r="M2580" i="4"/>
  <c r="M2581" i="4"/>
  <c r="M2571" i="4"/>
  <c r="M2573" i="4"/>
  <c r="M2576" i="4"/>
  <c r="M2577" i="4"/>
  <c r="M2578" i="4"/>
  <c r="M2562" i="4"/>
  <c r="M2560" i="4"/>
  <c r="M2563" i="4"/>
  <c r="M2567" i="4"/>
  <c r="M2559" i="4"/>
  <c r="M2561" i="4"/>
  <c r="M2564" i="4"/>
  <c r="M2565" i="4"/>
  <c r="M2568" i="4"/>
  <c r="M2569" i="4"/>
  <c r="M2566" i="4"/>
  <c r="M2556" i="4"/>
  <c r="M2547" i="4"/>
  <c r="M2549" i="4"/>
  <c r="M2552" i="4"/>
  <c r="M2553" i="4"/>
  <c r="M2557" i="4"/>
  <c r="M2548" i="4"/>
  <c r="M2550" i="4"/>
  <c r="M2551" i="4"/>
  <c r="M2554" i="4"/>
  <c r="M2555" i="4"/>
  <c r="M2543" i="4"/>
  <c r="M2535" i="4"/>
  <c r="M2537" i="4"/>
  <c r="M2540" i="4"/>
  <c r="M2541" i="4"/>
  <c r="M2544" i="4"/>
  <c r="M2545" i="4"/>
  <c r="M2536" i="4"/>
  <c r="M2538" i="4"/>
  <c r="M2539" i="4"/>
  <c r="M2542" i="4"/>
  <c r="M2525" i="4"/>
  <c r="M2524" i="4"/>
  <c r="M2424" i="4"/>
  <c r="M2420" i="4"/>
  <c r="M2414" i="4"/>
  <c r="M2425" i="4"/>
  <c r="M2422" i="4"/>
  <c r="M2418" i="4"/>
  <c r="M2444" i="4"/>
  <c r="M2446" i="4"/>
  <c r="M2438" i="4"/>
  <c r="F2438" i="4"/>
  <c r="F2439" i="4" s="1"/>
  <c r="M2441" i="4"/>
  <c r="M2442" i="4"/>
  <c r="M2443" i="4"/>
  <c r="M2445" i="4"/>
  <c r="M2449" i="4"/>
  <c r="M2465" i="4"/>
  <c r="M2466" i="4"/>
  <c r="M2468" i="4"/>
  <c r="M2471" i="4"/>
  <c r="M2472" i="4"/>
  <c r="M2505" i="4"/>
  <c r="M2507" i="4"/>
  <c r="M2508" i="4"/>
  <c r="M2433" i="4"/>
  <c r="M2429" i="4"/>
  <c r="M2426" i="4"/>
  <c r="F2426" i="4"/>
  <c r="F2427" i="4" s="1"/>
  <c r="M2435" i="4"/>
  <c r="M2431" i="4"/>
  <c r="M2451" i="4"/>
  <c r="M2450" i="4"/>
  <c r="F2450" i="4"/>
  <c r="F2451" i="4" s="1"/>
  <c r="M2467" i="4"/>
  <c r="M2462" i="4"/>
  <c r="F2462" i="4"/>
  <c r="F2463" i="4" s="1"/>
  <c r="M2499" i="4"/>
  <c r="M2502" i="4"/>
  <c r="M2415" i="4"/>
  <c r="M2416" i="4"/>
  <c r="M2419" i="4"/>
  <c r="M2421" i="4"/>
  <c r="M2423" i="4"/>
  <c r="M2427" i="4"/>
  <c r="M2428" i="4"/>
  <c r="M2439" i="4"/>
  <c r="M2440" i="4"/>
  <c r="M2447" i="4"/>
  <c r="M2448" i="4"/>
  <c r="M2464" i="4"/>
  <c r="M2469" i="4"/>
  <c r="M2470" i="4"/>
  <c r="M2473" i="4"/>
  <c r="M2500" i="4"/>
  <c r="M2509" i="4"/>
  <c r="M2534" i="4"/>
  <c r="F2534" i="4"/>
  <c r="F2535" i="4" s="1"/>
  <c r="M2546" i="4"/>
  <c r="F2546" i="4"/>
  <c r="F2547" i="4" s="1"/>
  <c r="M2558" i="4"/>
  <c r="F2558" i="4"/>
  <c r="F2559" i="4" s="1"/>
  <c r="M2570" i="4"/>
  <c r="F2570" i="4"/>
  <c r="F2571" i="4" s="1"/>
  <c r="M2582" i="4"/>
  <c r="F2582" i="4"/>
  <c r="F2583" i="4" s="1"/>
  <c r="M2522" i="4"/>
  <c r="F2522" i="4"/>
  <c r="F2523" i="4" s="1"/>
  <c r="M2504" i="4"/>
  <c r="M2526" i="4"/>
  <c r="M2528" i="4"/>
  <c r="M2530" i="4"/>
  <c r="M2531" i="4"/>
  <c r="M2532" i="4"/>
  <c r="M2533" i="4"/>
  <c r="L2477" i="4"/>
  <c r="M2480" i="4" s="1"/>
  <c r="L2485" i="4"/>
  <c r="L2493" i="4"/>
  <c r="M2493" i="4" s="1"/>
  <c r="M2494" i="4"/>
  <c r="F2498" i="4"/>
  <c r="F2499" i="4" s="1"/>
  <c r="M2506" i="4"/>
  <c r="L2521" i="4"/>
  <c r="M2521" i="4" s="1"/>
  <c r="M2523" i="4"/>
  <c r="M2594" i="4"/>
  <c r="F2594" i="4"/>
  <c r="F2595" i="4" s="1"/>
  <c r="M2503" i="4"/>
  <c r="M2527" i="4"/>
  <c r="M2529" i="4"/>
  <c r="AX161" i="12"/>
  <c r="AX160" i="12"/>
  <c r="AX159" i="12"/>
  <c r="AX158" i="12"/>
  <c r="AX157" i="12"/>
  <c r="AX156" i="12"/>
  <c r="AX155" i="12"/>
  <c r="AX154" i="12"/>
  <c r="AX153" i="12"/>
  <c r="AX152" i="12"/>
  <c r="AX151" i="12"/>
  <c r="AX150" i="12"/>
  <c r="AX149" i="12"/>
  <c r="AV161" i="12"/>
  <c r="AV167" i="12" s="1"/>
  <c r="AU161" i="12"/>
  <c r="AU167" i="12" s="1"/>
  <c r="AT161" i="12"/>
  <c r="AV160" i="12"/>
  <c r="AU160" i="12"/>
  <c r="AT160" i="12"/>
  <c r="AV159" i="12"/>
  <c r="AU159" i="12"/>
  <c r="AT159" i="12"/>
  <c r="AW159" i="12" s="1"/>
  <c r="AV158" i="12"/>
  <c r="AU158" i="12"/>
  <c r="AT158" i="12"/>
  <c r="AV157" i="12"/>
  <c r="AU157" i="12"/>
  <c r="AT157" i="12"/>
  <c r="AV156" i="12"/>
  <c r="AU156" i="12"/>
  <c r="AT156" i="12"/>
  <c r="AV155" i="12"/>
  <c r="AU155" i="12"/>
  <c r="AT155" i="12"/>
  <c r="AV154" i="12"/>
  <c r="AU154" i="12"/>
  <c r="AT154" i="12"/>
  <c r="AV153" i="12"/>
  <c r="AU153" i="12"/>
  <c r="AT153" i="12"/>
  <c r="AV152" i="12"/>
  <c r="AU152" i="12"/>
  <c r="AT152" i="12"/>
  <c r="AV151" i="12"/>
  <c r="AV169" i="12" s="1"/>
  <c r="AU151" i="12"/>
  <c r="AT151" i="12"/>
  <c r="AW151" i="12" s="1"/>
  <c r="AV150" i="12"/>
  <c r="AU150" i="12"/>
  <c r="AT150" i="12"/>
  <c r="AV149" i="12"/>
  <c r="AV166" i="12" s="1"/>
  <c r="AU149" i="12"/>
  <c r="AU166" i="12" s="1"/>
  <c r="AT149" i="12"/>
  <c r="AT166" i="12" s="1"/>
  <c r="AR161" i="12"/>
  <c r="AQ161" i="12"/>
  <c r="AQ167" i="12" s="1"/>
  <c r="AP161" i="12"/>
  <c r="AP167" i="12" s="1"/>
  <c r="AR160" i="12"/>
  <c r="AQ160" i="12"/>
  <c r="AP160" i="12"/>
  <c r="AR159" i="12"/>
  <c r="AQ159" i="12"/>
  <c r="AP159" i="12"/>
  <c r="AR158" i="12"/>
  <c r="AQ158" i="12"/>
  <c r="AP158" i="12"/>
  <c r="AR157" i="12"/>
  <c r="AQ157" i="12"/>
  <c r="AP157" i="12"/>
  <c r="AR156" i="12"/>
  <c r="AQ156" i="12"/>
  <c r="AP156" i="12"/>
  <c r="AS156" i="12" s="1"/>
  <c r="AR155" i="12"/>
  <c r="AQ155" i="12"/>
  <c r="AP155" i="12"/>
  <c r="AR154" i="12"/>
  <c r="AQ154" i="12"/>
  <c r="AP154" i="12"/>
  <c r="AR153" i="12"/>
  <c r="AQ153" i="12"/>
  <c r="AP153" i="12"/>
  <c r="AR152" i="12"/>
  <c r="AQ152" i="12"/>
  <c r="AP152" i="12"/>
  <c r="AR151" i="12"/>
  <c r="AQ151" i="12"/>
  <c r="AP151" i="12"/>
  <c r="AR150" i="12"/>
  <c r="AR169" i="12" s="1"/>
  <c r="AQ150" i="12"/>
  <c r="AQ169" i="12" s="1"/>
  <c r="AP150" i="12"/>
  <c r="AP169" i="12" s="1"/>
  <c r="AR149" i="12"/>
  <c r="AQ149" i="12"/>
  <c r="AQ166" i="12" s="1"/>
  <c r="AP149" i="12"/>
  <c r="AP166" i="12" s="1"/>
  <c r="AN161" i="12"/>
  <c r="AN167" i="12" s="1"/>
  <c r="AM161" i="12"/>
  <c r="AL161" i="12"/>
  <c r="AO161" i="12" s="1"/>
  <c r="AN160" i="12"/>
  <c r="AM160" i="12"/>
  <c r="AL160" i="12"/>
  <c r="AN159" i="12"/>
  <c r="AM159" i="12"/>
  <c r="AL159" i="12"/>
  <c r="AN158" i="12"/>
  <c r="AM158" i="12"/>
  <c r="AL158" i="12"/>
  <c r="AN157" i="12"/>
  <c r="AM157" i="12"/>
  <c r="AL157" i="12"/>
  <c r="AN156" i="12"/>
  <c r="AM156" i="12"/>
  <c r="AL156" i="12"/>
  <c r="AN155" i="12"/>
  <c r="AN169" i="12" s="1"/>
  <c r="AM155" i="12"/>
  <c r="AM169" i="12" s="1"/>
  <c r="AL155" i="12"/>
  <c r="AL169" i="12" s="1"/>
  <c r="AN154" i="12"/>
  <c r="AM154" i="12"/>
  <c r="AL154" i="12"/>
  <c r="AN153" i="12"/>
  <c r="AM153" i="12"/>
  <c r="AL153" i="12"/>
  <c r="AO153" i="12" s="1"/>
  <c r="AN152" i="12"/>
  <c r="AM152" i="12"/>
  <c r="AL152" i="12"/>
  <c r="AN151" i="12"/>
  <c r="AM151" i="12"/>
  <c r="AL151" i="12"/>
  <c r="AN150" i="12"/>
  <c r="AM150" i="12"/>
  <c r="AL150" i="12"/>
  <c r="AN149" i="12"/>
  <c r="AN166" i="12" s="1"/>
  <c r="AM149" i="12"/>
  <c r="AM166" i="12" s="1"/>
  <c r="AL149" i="12"/>
  <c r="AL166" i="12" s="1"/>
  <c r="AJ161" i="12"/>
  <c r="AK161" i="12" s="1"/>
  <c r="AI161" i="12"/>
  <c r="AI167" i="12" s="1"/>
  <c r="AH161" i="12"/>
  <c r="AJ160" i="12"/>
  <c r="AI160" i="12"/>
  <c r="AH160" i="12"/>
  <c r="AJ159" i="12"/>
  <c r="AI159" i="12"/>
  <c r="AH159" i="12"/>
  <c r="AJ158" i="12"/>
  <c r="AI158" i="12"/>
  <c r="AH158" i="12"/>
  <c r="AK158" i="12" s="1"/>
  <c r="AJ157" i="12"/>
  <c r="AI157" i="12"/>
  <c r="AH157" i="12"/>
  <c r="AJ156" i="12"/>
  <c r="AJ169" i="12" s="1"/>
  <c r="AI156" i="12"/>
  <c r="AI169" i="12" s="1"/>
  <c r="AH156" i="12"/>
  <c r="AJ155" i="12"/>
  <c r="AI155" i="12"/>
  <c r="AH155" i="12"/>
  <c r="AJ154" i="12"/>
  <c r="AI154" i="12"/>
  <c r="AH154" i="12"/>
  <c r="AJ153" i="12"/>
  <c r="AI153" i="12"/>
  <c r="AH153" i="12"/>
  <c r="AJ152" i="12"/>
  <c r="AI152" i="12"/>
  <c r="AH152" i="12"/>
  <c r="AJ151" i="12"/>
  <c r="AI151" i="12"/>
  <c r="AH151" i="12"/>
  <c r="AJ150" i="12"/>
  <c r="AI150" i="12"/>
  <c r="AH150" i="12"/>
  <c r="AJ149" i="12"/>
  <c r="AJ166" i="12" s="1"/>
  <c r="AI149" i="12"/>
  <c r="AI166" i="12" s="1"/>
  <c r="AH149" i="12"/>
  <c r="AH166" i="12" s="1"/>
  <c r="AF161" i="12"/>
  <c r="AE161" i="12"/>
  <c r="AE167" i="12" s="1"/>
  <c r="AD161" i="12"/>
  <c r="AD167" i="12" s="1"/>
  <c r="AF160" i="12"/>
  <c r="AE160" i="12"/>
  <c r="AD160" i="12"/>
  <c r="AF159" i="12"/>
  <c r="AF169" i="12" s="1"/>
  <c r="AE159" i="12"/>
  <c r="AE169" i="12" s="1"/>
  <c r="AD159" i="12"/>
  <c r="AF158" i="12"/>
  <c r="AG158" i="12" s="1"/>
  <c r="AE158" i="12"/>
  <c r="AD158" i="12"/>
  <c r="AF157" i="12"/>
  <c r="AE157" i="12"/>
  <c r="AD157" i="12"/>
  <c r="AF156" i="12"/>
  <c r="AE156" i="12"/>
  <c r="AD156" i="12"/>
  <c r="AF155" i="12"/>
  <c r="AE155" i="12"/>
  <c r="AD155" i="12"/>
  <c r="AG155" i="12" s="1"/>
  <c r="AF154" i="12"/>
  <c r="AE154" i="12"/>
  <c r="AD154" i="12"/>
  <c r="AF153" i="12"/>
  <c r="AE153" i="12"/>
  <c r="AD153" i="12"/>
  <c r="AF152" i="12"/>
  <c r="AE152" i="12"/>
  <c r="AD152" i="12"/>
  <c r="AF151" i="12"/>
  <c r="AE151" i="12"/>
  <c r="AD151" i="12"/>
  <c r="AF150" i="12"/>
  <c r="AE150" i="12"/>
  <c r="AD150" i="12"/>
  <c r="AF149" i="12"/>
  <c r="AF166" i="12" s="1"/>
  <c r="AE149" i="12"/>
  <c r="AE166" i="12" s="1"/>
  <c r="AD149" i="12"/>
  <c r="AD166" i="12" s="1"/>
  <c r="AB161" i="12"/>
  <c r="AA161" i="12"/>
  <c r="Z161" i="12"/>
  <c r="Z167" i="12" s="1"/>
  <c r="AB160" i="12"/>
  <c r="AA160" i="12"/>
  <c r="Z160" i="12"/>
  <c r="AC160" i="12" s="1"/>
  <c r="AB159" i="12"/>
  <c r="AA159" i="12"/>
  <c r="Z159" i="12"/>
  <c r="AB158" i="12"/>
  <c r="AA158" i="12"/>
  <c r="Z158" i="12"/>
  <c r="AB157" i="12"/>
  <c r="AA157" i="12"/>
  <c r="Z157" i="12"/>
  <c r="AB156" i="12"/>
  <c r="AA156" i="12"/>
  <c r="Z156" i="12"/>
  <c r="AB155" i="12"/>
  <c r="AA155" i="12"/>
  <c r="Z155" i="12"/>
  <c r="AB154" i="12"/>
  <c r="AA154" i="12"/>
  <c r="Z154" i="12"/>
  <c r="AB153" i="12"/>
  <c r="AB169" i="12" s="1"/>
  <c r="AA153" i="12"/>
  <c r="AA169" i="12" s="1"/>
  <c r="Z153" i="12"/>
  <c r="Z169" i="12" s="1"/>
  <c r="AB152" i="12"/>
  <c r="AA152" i="12"/>
  <c r="Z152" i="12"/>
  <c r="AC152" i="12" s="1"/>
  <c r="AB151" i="12"/>
  <c r="AA151" i="12"/>
  <c r="Z151" i="12"/>
  <c r="AB150" i="12"/>
  <c r="AA150" i="12"/>
  <c r="Z150" i="12"/>
  <c r="AB149" i="12"/>
  <c r="AA149" i="12"/>
  <c r="AA166" i="12" s="1"/>
  <c r="Z149" i="12"/>
  <c r="Z166" i="12" s="1"/>
  <c r="X161" i="12"/>
  <c r="X167" i="12" s="1"/>
  <c r="W161" i="12"/>
  <c r="W167" i="12" s="1"/>
  <c r="V161" i="12"/>
  <c r="V167" i="12" s="1"/>
  <c r="X160" i="12"/>
  <c r="W160" i="12"/>
  <c r="V160" i="12"/>
  <c r="X159" i="12"/>
  <c r="W159" i="12"/>
  <c r="V159" i="12"/>
  <c r="X158" i="12"/>
  <c r="W158" i="12"/>
  <c r="V158" i="12"/>
  <c r="X157" i="12"/>
  <c r="W157" i="12"/>
  <c r="V157" i="12"/>
  <c r="Y157" i="12" s="1"/>
  <c r="X156" i="12"/>
  <c r="W156" i="12"/>
  <c r="V156" i="12"/>
  <c r="X155" i="12"/>
  <c r="W155" i="12"/>
  <c r="V155" i="12"/>
  <c r="X154" i="12"/>
  <c r="W154" i="12"/>
  <c r="W169" i="12" s="1"/>
  <c r="V154" i="12"/>
  <c r="V169" i="12" s="1"/>
  <c r="X153" i="12"/>
  <c r="W153" i="12"/>
  <c r="V153" i="12"/>
  <c r="X152" i="12"/>
  <c r="W152" i="12"/>
  <c r="V152" i="12"/>
  <c r="X151" i="12"/>
  <c r="W151" i="12"/>
  <c r="V151" i="12"/>
  <c r="X150" i="12"/>
  <c r="W150" i="12"/>
  <c r="V150" i="12"/>
  <c r="X149" i="12"/>
  <c r="X166" i="12" s="1"/>
  <c r="W149" i="12"/>
  <c r="V149" i="12"/>
  <c r="V166" i="12" s="1"/>
  <c r="T161" i="12"/>
  <c r="T167" i="12" s="1"/>
  <c r="S161" i="12"/>
  <c r="S167" i="12" s="1"/>
  <c r="R161" i="12"/>
  <c r="R167" i="12" s="1"/>
  <c r="T160" i="12"/>
  <c r="S160" i="12"/>
  <c r="R160" i="12"/>
  <c r="T159" i="12"/>
  <c r="S159" i="12"/>
  <c r="R159" i="12"/>
  <c r="T158" i="12"/>
  <c r="S158" i="12"/>
  <c r="R158" i="12"/>
  <c r="T157" i="12"/>
  <c r="T169" i="12" s="1"/>
  <c r="S157" i="12"/>
  <c r="S169" i="12" s="1"/>
  <c r="R157" i="12"/>
  <c r="T156" i="12"/>
  <c r="S156" i="12"/>
  <c r="R156" i="12"/>
  <c r="T155" i="12"/>
  <c r="S155" i="12"/>
  <c r="R155" i="12"/>
  <c r="T154" i="12"/>
  <c r="S154" i="12"/>
  <c r="R154" i="12"/>
  <c r="U154" i="12" s="1"/>
  <c r="T153" i="12"/>
  <c r="S153" i="12"/>
  <c r="R153" i="12"/>
  <c r="T152" i="12"/>
  <c r="S152" i="12"/>
  <c r="R152" i="12"/>
  <c r="T151" i="12"/>
  <c r="S151" i="12"/>
  <c r="R151" i="12"/>
  <c r="T150" i="12"/>
  <c r="S150" i="12"/>
  <c r="R150" i="12"/>
  <c r="T149" i="12"/>
  <c r="T166" i="12" s="1"/>
  <c r="S149" i="12"/>
  <c r="S166" i="12" s="1"/>
  <c r="R149" i="12"/>
  <c r="P161" i="12"/>
  <c r="O161" i="12"/>
  <c r="O167" i="12" s="1"/>
  <c r="N161" i="12"/>
  <c r="P160" i="12"/>
  <c r="O160" i="12"/>
  <c r="N160" i="12"/>
  <c r="P159" i="12"/>
  <c r="O159" i="12"/>
  <c r="N159" i="12"/>
  <c r="Q159" i="12" s="1"/>
  <c r="P158" i="12"/>
  <c r="P169" i="12" s="1"/>
  <c r="O158" i="12"/>
  <c r="O169" i="12" s="1"/>
  <c r="N158" i="12"/>
  <c r="N169" i="12" s="1"/>
  <c r="P157" i="12"/>
  <c r="O157" i="12"/>
  <c r="N157" i="12"/>
  <c r="P156" i="12"/>
  <c r="O156" i="12"/>
  <c r="N156" i="12"/>
  <c r="P155" i="12"/>
  <c r="O155" i="12"/>
  <c r="N155" i="12"/>
  <c r="P154" i="12"/>
  <c r="O154" i="12"/>
  <c r="N154" i="12"/>
  <c r="P153" i="12"/>
  <c r="O153" i="12"/>
  <c r="N153" i="12"/>
  <c r="P152" i="12"/>
  <c r="O152" i="12"/>
  <c r="N152" i="12"/>
  <c r="P151" i="12"/>
  <c r="O151" i="12"/>
  <c r="N151" i="12"/>
  <c r="P150" i="12"/>
  <c r="O150" i="12"/>
  <c r="N150" i="12"/>
  <c r="P149" i="12"/>
  <c r="P166" i="12" s="1"/>
  <c r="O149" i="12"/>
  <c r="O166" i="12" s="1"/>
  <c r="N149" i="12"/>
  <c r="N166" i="12" s="1"/>
  <c r="L161" i="12"/>
  <c r="L167" i="12" s="1"/>
  <c r="K161" i="12"/>
  <c r="K167" i="12" s="1"/>
  <c r="J161" i="12"/>
  <c r="J167" i="12" s="1"/>
  <c r="L160" i="12"/>
  <c r="K160" i="12"/>
  <c r="J160" i="12"/>
  <c r="L159" i="12"/>
  <c r="K159" i="12"/>
  <c r="J159" i="12"/>
  <c r="L158" i="12"/>
  <c r="K158" i="12"/>
  <c r="J158" i="12"/>
  <c r="L157" i="12"/>
  <c r="K157" i="12"/>
  <c r="J157" i="12"/>
  <c r="L156" i="12"/>
  <c r="K156" i="12"/>
  <c r="J156" i="12"/>
  <c r="M156" i="12" s="1"/>
  <c r="L155" i="12"/>
  <c r="K155" i="12"/>
  <c r="J155" i="12"/>
  <c r="L154" i="12"/>
  <c r="L169" i="12" s="1"/>
  <c r="K154" i="12"/>
  <c r="J154" i="12"/>
  <c r="J169" i="12" s="1"/>
  <c r="L153" i="12"/>
  <c r="K153" i="12"/>
  <c r="J153" i="12"/>
  <c r="L152" i="12"/>
  <c r="K152" i="12"/>
  <c r="J152" i="12"/>
  <c r="L151" i="12"/>
  <c r="K151" i="12"/>
  <c r="J151" i="12"/>
  <c r="L150" i="12"/>
  <c r="K150" i="12"/>
  <c r="J150" i="12"/>
  <c r="L149" i="12"/>
  <c r="L166" i="12" s="1"/>
  <c r="K149" i="12"/>
  <c r="K166" i="12" s="1"/>
  <c r="J149" i="12"/>
  <c r="J166" i="12" s="1"/>
  <c r="R166" i="12"/>
  <c r="R169" i="12"/>
  <c r="H161" i="12"/>
  <c r="H167" i="12" s="1"/>
  <c r="G161" i="12"/>
  <c r="G167" i="12" s="1"/>
  <c r="F161" i="12"/>
  <c r="H160" i="12"/>
  <c r="H169" i="12" s="1"/>
  <c r="G160" i="12"/>
  <c r="G169" i="12" s="1"/>
  <c r="F160" i="12"/>
  <c r="F169" i="12" s="1"/>
  <c r="H159" i="12"/>
  <c r="G159" i="12"/>
  <c r="F159" i="12"/>
  <c r="H158" i="12"/>
  <c r="G158" i="12"/>
  <c r="F158" i="12"/>
  <c r="H157" i="12"/>
  <c r="G157" i="12"/>
  <c r="F157" i="12"/>
  <c r="H156" i="12"/>
  <c r="G156" i="12"/>
  <c r="F156" i="12"/>
  <c r="H155" i="12"/>
  <c r="G155" i="12"/>
  <c r="F155" i="12"/>
  <c r="H154" i="12"/>
  <c r="G154" i="12"/>
  <c r="F154" i="12"/>
  <c r="H153" i="12"/>
  <c r="G153" i="12"/>
  <c r="F153" i="12"/>
  <c r="H152" i="12"/>
  <c r="G152" i="12"/>
  <c r="F152" i="12"/>
  <c r="H151" i="12"/>
  <c r="G151" i="12"/>
  <c r="F151" i="12"/>
  <c r="H150" i="12"/>
  <c r="G150" i="12"/>
  <c r="F150" i="12"/>
  <c r="H149" i="12"/>
  <c r="H166" i="12" s="1"/>
  <c r="G149" i="12"/>
  <c r="G166" i="12" s="1"/>
  <c r="F149" i="12"/>
  <c r="F166" i="12" s="1"/>
  <c r="D161" i="12"/>
  <c r="C161" i="12"/>
  <c r="C167" i="12" s="1"/>
  <c r="C168" i="12" s="1"/>
  <c r="B161" i="12"/>
  <c r="D160" i="12"/>
  <c r="C160" i="12"/>
  <c r="B160" i="12"/>
  <c r="D159" i="12"/>
  <c r="C159" i="12"/>
  <c r="B159" i="12"/>
  <c r="D158" i="12"/>
  <c r="C158" i="12"/>
  <c r="B158" i="12"/>
  <c r="D157" i="12"/>
  <c r="C157" i="12"/>
  <c r="B157" i="12"/>
  <c r="D156" i="12"/>
  <c r="C156" i="12"/>
  <c r="B156" i="12"/>
  <c r="D155" i="12"/>
  <c r="C155" i="12"/>
  <c r="B155" i="12"/>
  <c r="D154" i="12"/>
  <c r="C154" i="12"/>
  <c r="B154" i="12"/>
  <c r="D153" i="12"/>
  <c r="C153" i="12"/>
  <c r="B153" i="12"/>
  <c r="D152" i="12"/>
  <c r="C152" i="12"/>
  <c r="B152" i="12"/>
  <c r="D151" i="12"/>
  <c r="C151" i="12"/>
  <c r="B151" i="12"/>
  <c r="D150" i="12"/>
  <c r="C150" i="12"/>
  <c r="B150" i="12"/>
  <c r="D149" i="12"/>
  <c r="D166" i="12" s="1"/>
  <c r="C149" i="12"/>
  <c r="C166" i="12" s="1"/>
  <c r="B149" i="12"/>
  <c r="B166" i="12" s="1"/>
  <c r="AR167" i="12"/>
  <c r="AM167" i="12"/>
  <c r="AH167" i="12"/>
  <c r="E153" i="12"/>
  <c r="AU169" i="12"/>
  <c r="AR166" i="12"/>
  <c r="AB166" i="12"/>
  <c r="W166" i="12"/>
  <c r="E2402" i="4"/>
  <c r="E2403" i="4" s="1"/>
  <c r="K2410" i="4"/>
  <c r="L2410" i="4" s="1"/>
  <c r="J2410" i="4"/>
  <c r="K2409" i="4"/>
  <c r="J2409" i="4"/>
  <c r="K2398" i="4"/>
  <c r="J2398" i="4"/>
  <c r="K2401" i="4"/>
  <c r="L2401" i="4" s="1"/>
  <c r="E2390" i="4"/>
  <c r="E2391" i="4" s="1"/>
  <c r="K2386" i="4"/>
  <c r="J2386" i="4"/>
  <c r="K2387" i="4"/>
  <c r="J2387" i="4"/>
  <c r="K2389" i="4"/>
  <c r="J2389" i="4"/>
  <c r="K2378" i="4"/>
  <c r="J2378" i="4"/>
  <c r="L2378" i="4" s="1"/>
  <c r="E2378" i="4"/>
  <c r="E2379" i="4" s="1"/>
  <c r="J2369" i="4"/>
  <c r="K2369" i="4"/>
  <c r="K2375" i="4"/>
  <c r="J2375" i="4"/>
  <c r="K2377" i="4"/>
  <c r="J2377" i="4"/>
  <c r="L2377" i="4" s="1"/>
  <c r="K2367" i="4"/>
  <c r="J2367" i="4"/>
  <c r="K2368" i="4"/>
  <c r="J2368" i="4"/>
  <c r="E2366" i="4"/>
  <c r="E2354" i="4"/>
  <c r="E2355" i="4" s="1"/>
  <c r="K2355" i="4"/>
  <c r="J2355" i="4"/>
  <c r="L2355" i="4" s="1"/>
  <c r="K2354" i="4"/>
  <c r="J2354" i="4"/>
  <c r="K2358" i="4"/>
  <c r="J2358" i="4"/>
  <c r="K2365" i="4"/>
  <c r="J2365" i="4"/>
  <c r="K2346" i="4"/>
  <c r="J2346" i="4"/>
  <c r="L2346" i="4" s="1"/>
  <c r="K2343" i="4"/>
  <c r="J2343" i="4"/>
  <c r="K2345" i="4"/>
  <c r="J2345" i="4"/>
  <c r="E2342" i="4"/>
  <c r="E2343" i="4" s="1"/>
  <c r="K2334" i="4"/>
  <c r="J2334" i="4"/>
  <c r="K2332" i="4"/>
  <c r="J2332" i="4"/>
  <c r="K2339" i="4"/>
  <c r="J2339" i="4"/>
  <c r="K2333" i="4"/>
  <c r="J2333" i="4"/>
  <c r="K2341" i="4"/>
  <c r="J2341" i="4"/>
  <c r="E2330" i="4"/>
  <c r="E2331" i="4" s="1"/>
  <c r="J2318" i="4"/>
  <c r="K2318" i="4"/>
  <c r="J2320" i="4"/>
  <c r="L2320" i="4" s="1"/>
  <c r="K2329" i="4"/>
  <c r="J2329" i="4"/>
  <c r="J2319" i="4"/>
  <c r="L2319" i="4" s="1"/>
  <c r="E2318" i="4"/>
  <c r="E2319" i="4" s="1"/>
  <c r="K2308" i="4"/>
  <c r="K2307" i="4"/>
  <c r="J2307" i="4"/>
  <c r="J2308" i="4"/>
  <c r="K2310" i="4"/>
  <c r="J2310" i="4"/>
  <c r="K2316" i="4"/>
  <c r="J2316" i="4"/>
  <c r="K2315" i="4"/>
  <c r="J2315" i="4"/>
  <c r="K2317" i="4"/>
  <c r="J2317" i="4"/>
  <c r="K2309" i="4"/>
  <c r="J2309" i="4"/>
  <c r="K2313" i="4"/>
  <c r="J2313" i="4"/>
  <c r="K2306" i="4"/>
  <c r="J2306" i="4"/>
  <c r="E2306" i="4"/>
  <c r="E2307" i="4" s="1"/>
  <c r="K2304" i="4"/>
  <c r="J2304" i="4"/>
  <c r="K2295" i="4"/>
  <c r="J2295" i="4"/>
  <c r="K2303" i="4"/>
  <c r="J2303" i="4"/>
  <c r="L2303" i="4" s="1"/>
  <c r="E2294" i="4"/>
  <c r="E2295" i="4" s="1"/>
  <c r="E2282" i="4"/>
  <c r="E2283" i="4" s="1"/>
  <c r="K2291" i="4"/>
  <c r="J2291" i="4"/>
  <c r="K2283" i="4"/>
  <c r="J2283" i="4"/>
  <c r="K2289" i="4"/>
  <c r="J2289" i="4"/>
  <c r="L2289" i="4" s="1"/>
  <c r="K2293" i="4"/>
  <c r="J2293" i="4"/>
  <c r="K2285" i="4"/>
  <c r="J2285" i="4"/>
  <c r="K2282" i="4"/>
  <c r="L2282" i="4" s="1"/>
  <c r="E2270" i="4"/>
  <c r="E2271" i="4" s="1"/>
  <c r="L2413" i="4"/>
  <c r="G2413" i="4"/>
  <c r="L2412" i="4"/>
  <c r="L2411" i="4"/>
  <c r="L2408" i="4"/>
  <c r="L2407" i="4"/>
  <c r="L2406" i="4"/>
  <c r="L2405" i="4"/>
  <c r="L2404" i="4"/>
  <c r="F2404" i="4"/>
  <c r="F2405" i="4" s="1"/>
  <c r="F2406" i="4" s="1"/>
  <c r="F2407" i="4" s="1"/>
  <c r="F2408" i="4" s="1"/>
  <c r="F2409" i="4" s="1"/>
  <c r="F2410" i="4" s="1"/>
  <c r="F2411" i="4" s="1"/>
  <c r="F2412" i="4" s="1"/>
  <c r="F2413" i="4" s="1"/>
  <c r="E2404" i="4"/>
  <c r="E2405" i="4" s="1"/>
  <c r="E2406" i="4" s="1"/>
  <c r="E2407" i="4" s="1"/>
  <c r="E2408" i="4" s="1"/>
  <c r="E2409" i="4" s="1"/>
  <c r="E2410" i="4" s="1"/>
  <c r="E2411" i="4" s="1"/>
  <c r="E2412" i="4" s="1"/>
  <c r="E2413" i="4" s="1"/>
  <c r="L2403" i="4"/>
  <c r="L2402" i="4"/>
  <c r="G2401" i="4"/>
  <c r="L2400" i="4"/>
  <c r="L2399" i="4"/>
  <c r="L2398" i="4"/>
  <c r="L2397" i="4"/>
  <c r="L2396" i="4"/>
  <c r="L2395" i="4"/>
  <c r="L2394" i="4"/>
  <c r="L2393" i="4"/>
  <c r="L2392" i="4"/>
  <c r="F2392" i="4"/>
  <c r="F2393" i="4" s="1"/>
  <c r="F2394" i="4" s="1"/>
  <c r="F2395" i="4" s="1"/>
  <c r="F2396" i="4" s="1"/>
  <c r="F2397" i="4" s="1"/>
  <c r="F2398" i="4" s="1"/>
  <c r="F2399" i="4" s="1"/>
  <c r="F2400" i="4" s="1"/>
  <c r="F2401" i="4" s="1"/>
  <c r="E2392" i="4"/>
  <c r="E2393" i="4" s="1"/>
  <c r="E2394" i="4" s="1"/>
  <c r="E2395" i="4" s="1"/>
  <c r="E2396" i="4" s="1"/>
  <c r="E2397" i="4" s="1"/>
  <c r="E2398" i="4" s="1"/>
  <c r="E2399" i="4" s="1"/>
  <c r="E2400" i="4" s="1"/>
  <c r="E2401" i="4" s="1"/>
  <c r="L2391" i="4"/>
  <c r="L2390" i="4"/>
  <c r="E2" i="4"/>
  <c r="E3" i="4" s="1"/>
  <c r="L2" i="4"/>
  <c r="J3" i="4"/>
  <c r="K3" i="4"/>
  <c r="E4" i="4"/>
  <c r="E5" i="4" s="1"/>
  <c r="E6" i="4" s="1"/>
  <c r="E7" i="4" s="1"/>
  <c r="E8" i="4" s="1"/>
  <c r="E9" i="4" s="1"/>
  <c r="E10" i="4" s="1"/>
  <c r="E11" i="4" s="1"/>
  <c r="E12" i="4" s="1"/>
  <c r="F4" i="4"/>
  <c r="F5" i="4" s="1"/>
  <c r="F6" i="4" s="1"/>
  <c r="F7" i="4" s="1"/>
  <c r="F8" i="4" s="1"/>
  <c r="F9" i="4" s="1"/>
  <c r="F10" i="4" s="1"/>
  <c r="F11" i="4" s="1"/>
  <c r="F12" i="4" s="1"/>
  <c r="J4" i="4"/>
  <c r="K4" i="4"/>
  <c r="L4" i="4" s="1"/>
  <c r="J5" i="4"/>
  <c r="K5" i="4"/>
  <c r="J6" i="4"/>
  <c r="K6" i="4"/>
  <c r="L7" i="4"/>
  <c r="L8" i="4"/>
  <c r="J9" i="4"/>
  <c r="K9" i="4"/>
  <c r="J10" i="4"/>
  <c r="L10" i="4" s="1"/>
  <c r="K10" i="4"/>
  <c r="J11" i="4"/>
  <c r="K11" i="4"/>
  <c r="J12" i="4"/>
  <c r="K12" i="4"/>
  <c r="L12" i="4"/>
  <c r="G2389" i="4"/>
  <c r="L2388" i="4"/>
  <c r="L2385" i="4"/>
  <c r="L2384" i="4"/>
  <c r="L2383" i="4"/>
  <c r="L2382" i="4"/>
  <c r="L2381" i="4"/>
  <c r="L2380" i="4"/>
  <c r="F2380" i="4"/>
  <c r="F2381" i="4" s="1"/>
  <c r="F2382" i="4" s="1"/>
  <c r="F2383" i="4" s="1"/>
  <c r="F2384" i="4" s="1"/>
  <c r="F2385" i="4" s="1"/>
  <c r="F2386" i="4" s="1"/>
  <c r="F2387" i="4" s="1"/>
  <c r="F2388" i="4" s="1"/>
  <c r="F2389" i="4" s="1"/>
  <c r="E2380" i="4"/>
  <c r="E2381" i="4" s="1"/>
  <c r="E2382" i="4" s="1"/>
  <c r="E2383" i="4" s="1"/>
  <c r="E2384" i="4" s="1"/>
  <c r="E2385" i="4" s="1"/>
  <c r="E2386" i="4" s="1"/>
  <c r="E2387" i="4" s="1"/>
  <c r="E2388" i="4" s="1"/>
  <c r="E2389" i="4" s="1"/>
  <c r="L2379" i="4"/>
  <c r="G2377" i="4"/>
  <c r="L2376" i="4"/>
  <c r="L2374" i="4"/>
  <c r="L2373" i="4"/>
  <c r="L2372" i="4"/>
  <c r="L2371" i="4"/>
  <c r="L2370" i="4"/>
  <c r="F2368" i="4"/>
  <c r="F2369" i="4" s="1"/>
  <c r="F2370" i="4" s="1"/>
  <c r="F2371" i="4" s="1"/>
  <c r="F2372" i="4" s="1"/>
  <c r="F2373" i="4" s="1"/>
  <c r="F2374" i="4" s="1"/>
  <c r="F2375" i="4" s="1"/>
  <c r="F2376" i="4" s="1"/>
  <c r="F2377" i="4" s="1"/>
  <c r="E2368" i="4"/>
  <c r="E2369" i="4" s="1"/>
  <c r="E2370" i="4" s="1"/>
  <c r="E2371" i="4" s="1"/>
  <c r="E2372" i="4" s="1"/>
  <c r="E2373" i="4" s="1"/>
  <c r="E2374" i="4" s="1"/>
  <c r="E2375" i="4" s="1"/>
  <c r="E2376" i="4" s="1"/>
  <c r="E2377" i="4" s="1"/>
  <c r="E2367" i="4"/>
  <c r="L2366" i="4"/>
  <c r="G2365" i="4"/>
  <c r="L2364" i="4"/>
  <c r="L2363" i="4"/>
  <c r="L2362" i="4"/>
  <c r="L2361" i="4"/>
  <c r="L2360" i="4"/>
  <c r="L2359" i="4"/>
  <c r="L2357" i="4"/>
  <c r="L2356" i="4"/>
  <c r="F2356" i="4"/>
  <c r="F2357" i="4" s="1"/>
  <c r="F2358" i="4" s="1"/>
  <c r="F2359" i="4" s="1"/>
  <c r="F2360" i="4" s="1"/>
  <c r="F2361" i="4" s="1"/>
  <c r="F2362" i="4" s="1"/>
  <c r="F2363" i="4" s="1"/>
  <c r="F2364" i="4" s="1"/>
  <c r="F2365" i="4" s="1"/>
  <c r="E2356" i="4"/>
  <c r="E2357" i="4" s="1"/>
  <c r="E2358" i="4" s="1"/>
  <c r="E2359" i="4" s="1"/>
  <c r="E2360" i="4" s="1"/>
  <c r="E2361" i="4" s="1"/>
  <c r="E2362" i="4" s="1"/>
  <c r="E2363" i="4" s="1"/>
  <c r="E2364" i="4" s="1"/>
  <c r="E2365" i="4" s="1"/>
  <c r="L2353" i="4"/>
  <c r="G2353" i="4"/>
  <c r="L2352" i="4"/>
  <c r="L2351" i="4"/>
  <c r="L2350" i="4"/>
  <c r="L2349" i="4"/>
  <c r="L2348" i="4"/>
  <c r="L2347" i="4"/>
  <c r="L2344" i="4"/>
  <c r="F2344" i="4"/>
  <c r="F2345" i="4" s="1"/>
  <c r="F2346" i="4" s="1"/>
  <c r="F2347" i="4" s="1"/>
  <c r="F2348" i="4" s="1"/>
  <c r="F2349" i="4" s="1"/>
  <c r="F2350" i="4" s="1"/>
  <c r="F2351" i="4" s="1"/>
  <c r="F2352" i="4" s="1"/>
  <c r="F2353" i="4" s="1"/>
  <c r="E2344" i="4"/>
  <c r="E2345" i="4" s="1"/>
  <c r="E2346" i="4" s="1"/>
  <c r="E2347" i="4" s="1"/>
  <c r="E2348" i="4" s="1"/>
  <c r="E2349" i="4" s="1"/>
  <c r="E2350" i="4" s="1"/>
  <c r="E2351" i="4" s="1"/>
  <c r="E2352" i="4" s="1"/>
  <c r="E2353" i="4" s="1"/>
  <c r="L2342" i="4"/>
  <c r="L2341" i="4"/>
  <c r="G2341" i="4"/>
  <c r="L2340" i="4"/>
  <c r="L2338" i="4"/>
  <c r="L2337" i="4"/>
  <c r="L2336" i="4"/>
  <c r="L2335" i="4"/>
  <c r="F2332" i="4"/>
  <c r="F2333" i="4" s="1"/>
  <c r="F2334" i="4" s="1"/>
  <c r="F2335" i="4" s="1"/>
  <c r="F2336" i="4" s="1"/>
  <c r="F2337" i="4" s="1"/>
  <c r="F2338" i="4" s="1"/>
  <c r="F2339" i="4" s="1"/>
  <c r="F2340" i="4" s="1"/>
  <c r="F2341" i="4" s="1"/>
  <c r="E2332" i="4"/>
  <c r="E2333" i="4" s="1"/>
  <c r="E2334" i="4" s="1"/>
  <c r="E2335" i="4" s="1"/>
  <c r="E2336" i="4" s="1"/>
  <c r="E2337" i="4" s="1"/>
  <c r="E2338" i="4" s="1"/>
  <c r="E2339" i="4" s="1"/>
  <c r="E2340" i="4" s="1"/>
  <c r="E2341" i="4" s="1"/>
  <c r="L2331" i="4"/>
  <c r="L2330" i="4"/>
  <c r="G2329" i="4"/>
  <c r="L2328" i="4"/>
  <c r="L2327" i="4"/>
  <c r="L2326" i="4"/>
  <c r="L2325" i="4"/>
  <c r="L2324" i="4"/>
  <c r="L2323" i="4"/>
  <c r="L2322" i="4"/>
  <c r="L2321" i="4"/>
  <c r="F2320" i="4"/>
  <c r="F2321" i="4" s="1"/>
  <c r="F2322" i="4" s="1"/>
  <c r="F2323" i="4" s="1"/>
  <c r="F2324" i="4" s="1"/>
  <c r="F2325" i="4" s="1"/>
  <c r="F2326" i="4" s="1"/>
  <c r="F2327" i="4" s="1"/>
  <c r="F2328" i="4" s="1"/>
  <c r="F2329" i="4" s="1"/>
  <c r="E2320" i="4"/>
  <c r="E2321" i="4" s="1"/>
  <c r="E2322" i="4" s="1"/>
  <c r="E2323" i="4" s="1"/>
  <c r="E2324" i="4" s="1"/>
  <c r="E2325" i="4" s="1"/>
  <c r="E2326" i="4" s="1"/>
  <c r="E2327" i="4" s="1"/>
  <c r="E2328" i="4" s="1"/>
  <c r="E2329" i="4" s="1"/>
  <c r="G2317" i="4"/>
  <c r="L2314" i="4"/>
  <c r="L2312" i="4"/>
  <c r="L2311" i="4"/>
  <c r="F2308" i="4"/>
  <c r="F2309" i="4" s="1"/>
  <c r="F2310" i="4" s="1"/>
  <c r="F2311" i="4" s="1"/>
  <c r="F2312" i="4" s="1"/>
  <c r="F2313" i="4" s="1"/>
  <c r="F2314" i="4" s="1"/>
  <c r="F2315" i="4" s="1"/>
  <c r="F2316" i="4" s="1"/>
  <c r="F2317" i="4" s="1"/>
  <c r="E2308" i="4"/>
  <c r="E2309" i="4" s="1"/>
  <c r="E2310" i="4" s="1"/>
  <c r="E2311" i="4" s="1"/>
  <c r="E2312" i="4" s="1"/>
  <c r="E2313" i="4" s="1"/>
  <c r="E2314" i="4" s="1"/>
  <c r="E2315" i="4" s="1"/>
  <c r="E2316" i="4" s="1"/>
  <c r="E2317" i="4" s="1"/>
  <c r="L2305" i="4"/>
  <c r="G2305" i="4"/>
  <c r="L2302" i="4"/>
  <c r="L2301" i="4"/>
  <c r="L2300" i="4"/>
  <c r="L2299" i="4"/>
  <c r="L2298" i="4"/>
  <c r="L2297" i="4"/>
  <c r="L2296" i="4"/>
  <c r="F2296" i="4"/>
  <c r="F2297" i="4" s="1"/>
  <c r="F2298" i="4" s="1"/>
  <c r="F2299" i="4" s="1"/>
  <c r="F2300" i="4" s="1"/>
  <c r="F2301" i="4" s="1"/>
  <c r="F2302" i="4" s="1"/>
  <c r="F2303" i="4" s="1"/>
  <c r="F2304" i="4" s="1"/>
  <c r="F2305" i="4" s="1"/>
  <c r="E2296" i="4"/>
  <c r="E2297" i="4" s="1"/>
  <c r="E2298" i="4" s="1"/>
  <c r="E2299" i="4" s="1"/>
  <c r="E2300" i="4" s="1"/>
  <c r="E2301" i="4" s="1"/>
  <c r="E2302" i="4" s="1"/>
  <c r="E2303" i="4" s="1"/>
  <c r="E2304" i="4" s="1"/>
  <c r="E2305" i="4" s="1"/>
  <c r="L2294" i="4"/>
  <c r="J2271" i="4"/>
  <c r="K2272" i="4"/>
  <c r="J2272" i="4"/>
  <c r="K2281" i="4"/>
  <c r="J2281" i="4"/>
  <c r="K2271" i="4"/>
  <c r="K2279" i="4"/>
  <c r="J2279" i="4"/>
  <c r="L2279" i="4" s="1"/>
  <c r="K2277" i="4"/>
  <c r="J2277" i="4"/>
  <c r="K2280" i="4"/>
  <c r="J2280" i="4"/>
  <c r="K2274" i="4"/>
  <c r="J2274" i="4"/>
  <c r="K2270" i="4"/>
  <c r="J2270" i="4"/>
  <c r="L2270" i="4" s="1"/>
  <c r="E2258" i="4"/>
  <c r="E2259" i="4" s="1"/>
  <c r="K2258" i="4"/>
  <c r="J2258" i="4"/>
  <c r="L2258" i="4" s="1"/>
  <c r="K2269" i="4"/>
  <c r="J2269" i="4"/>
  <c r="J2268" i="4"/>
  <c r="L2268" i="4" s="1"/>
  <c r="K2267" i="4"/>
  <c r="J2267" i="4"/>
  <c r="L2267" i="4" s="1"/>
  <c r="K2265" i="4"/>
  <c r="L2265" i="4" s="1"/>
  <c r="J2265" i="4"/>
  <c r="K2262" i="4"/>
  <c r="J2262" i="4"/>
  <c r="K2261" i="4"/>
  <c r="J2261" i="4"/>
  <c r="K2260" i="4"/>
  <c r="J2260" i="4"/>
  <c r="L2260" i="4" s="1"/>
  <c r="K2259" i="4"/>
  <c r="J2259" i="4"/>
  <c r="J2252" i="4"/>
  <c r="K2257" i="4"/>
  <c r="J2257" i="4"/>
  <c r="K2252" i="4"/>
  <c r="K2255" i="4"/>
  <c r="J2255" i="4"/>
  <c r="L2255" i="4" s="1"/>
  <c r="E2246" i="4"/>
  <c r="E2247" i="4" s="1"/>
  <c r="K2243" i="4"/>
  <c r="J2243" i="4"/>
  <c r="L2243" i="4" s="1"/>
  <c r="E2234" i="4"/>
  <c r="E2235" i="4" s="1"/>
  <c r="E2222" i="4"/>
  <c r="E2223" i="4" s="1"/>
  <c r="K2231" i="4"/>
  <c r="J2231" i="4"/>
  <c r="L2231" i="4" s="1"/>
  <c r="K2233" i="4"/>
  <c r="J2233" i="4"/>
  <c r="J2229" i="4"/>
  <c r="K2229" i="4"/>
  <c r="L2229" i="4" s="1"/>
  <c r="K2219" i="4"/>
  <c r="J2219" i="4"/>
  <c r="K2217" i="4"/>
  <c r="J2217" i="4"/>
  <c r="E2210" i="4"/>
  <c r="K2200" i="4"/>
  <c r="J2200" i="4"/>
  <c r="K2199" i="4"/>
  <c r="J2199" i="4"/>
  <c r="K2198" i="4"/>
  <c r="J2198" i="4"/>
  <c r="K2209" i="4"/>
  <c r="J2209" i="4"/>
  <c r="E2198" i="4"/>
  <c r="E2199" i="4" s="1"/>
  <c r="J2188" i="4"/>
  <c r="K2188" i="4"/>
  <c r="E2186" i="4"/>
  <c r="E2187" i="4" s="1"/>
  <c r="E2174" i="4"/>
  <c r="E2175" i="4" s="1"/>
  <c r="K2174" i="4"/>
  <c r="J2174" i="4"/>
  <c r="E2162" i="4"/>
  <c r="E2163" i="4" s="1"/>
  <c r="K2172" i="4"/>
  <c r="J2172" i="4"/>
  <c r="K2173" i="4"/>
  <c r="J2173" i="4"/>
  <c r="K2171" i="4"/>
  <c r="J2171" i="4"/>
  <c r="K2153" i="4"/>
  <c r="J2153" i="4"/>
  <c r="E2150" i="4"/>
  <c r="E2151" i="4" s="1"/>
  <c r="E2138" i="4"/>
  <c r="E2139" i="4" s="1"/>
  <c r="K2147" i="4"/>
  <c r="J2147" i="4"/>
  <c r="K2145" i="4"/>
  <c r="J2145" i="4"/>
  <c r="K2149" i="4"/>
  <c r="J2149" i="4"/>
  <c r="L2149" i="4" s="1"/>
  <c r="K2130" i="4"/>
  <c r="J2130" i="4"/>
  <c r="K2137" i="4"/>
  <c r="J2137" i="4"/>
  <c r="K2129" i="4"/>
  <c r="J2129" i="4"/>
  <c r="K2131" i="4"/>
  <c r="G2293" i="4"/>
  <c r="L2292" i="4"/>
  <c r="L2290" i="4"/>
  <c r="L2288" i="4"/>
  <c r="L2287" i="4"/>
  <c r="L2286" i="4"/>
  <c r="L2284" i="4"/>
  <c r="F2284" i="4"/>
  <c r="F2285" i="4" s="1"/>
  <c r="F2286" i="4" s="1"/>
  <c r="F2287" i="4" s="1"/>
  <c r="F2288" i="4" s="1"/>
  <c r="F2289" i="4" s="1"/>
  <c r="F2290" i="4" s="1"/>
  <c r="F2291" i="4" s="1"/>
  <c r="F2292" i="4" s="1"/>
  <c r="F2293" i="4" s="1"/>
  <c r="E2284" i="4"/>
  <c r="E2285" i="4" s="1"/>
  <c r="E2286" i="4" s="1"/>
  <c r="E2287" i="4" s="1"/>
  <c r="E2288" i="4" s="1"/>
  <c r="E2289" i="4" s="1"/>
  <c r="E2290" i="4" s="1"/>
  <c r="E2291" i="4" s="1"/>
  <c r="E2292" i="4" s="1"/>
  <c r="E2293" i="4" s="1"/>
  <c r="G2281" i="4"/>
  <c r="L2278" i="4"/>
  <c r="L2276" i="4"/>
  <c r="L2275" i="4"/>
  <c r="F2272" i="4"/>
  <c r="F2273" i="4" s="1"/>
  <c r="F2274" i="4" s="1"/>
  <c r="F2275" i="4" s="1"/>
  <c r="F2276" i="4" s="1"/>
  <c r="F2277" i="4" s="1"/>
  <c r="F2278" i="4" s="1"/>
  <c r="F2279" i="4" s="1"/>
  <c r="F2280" i="4" s="1"/>
  <c r="F2281" i="4" s="1"/>
  <c r="E2272" i="4"/>
  <c r="E2273" i="4" s="1"/>
  <c r="E2274" i="4" s="1"/>
  <c r="E2275" i="4" s="1"/>
  <c r="E2276" i="4" s="1"/>
  <c r="E2277" i="4" s="1"/>
  <c r="E2278" i="4" s="1"/>
  <c r="E2279" i="4" s="1"/>
  <c r="E2280" i="4" s="1"/>
  <c r="E2281" i="4" s="1"/>
  <c r="G2269" i="4"/>
  <c r="L2266" i="4"/>
  <c r="L2264" i="4"/>
  <c r="L2263" i="4"/>
  <c r="F2260" i="4"/>
  <c r="F2261" i="4" s="1"/>
  <c r="F2262" i="4" s="1"/>
  <c r="F2263" i="4" s="1"/>
  <c r="F2264" i="4" s="1"/>
  <c r="F2265" i="4" s="1"/>
  <c r="F2266" i="4" s="1"/>
  <c r="F2267" i="4" s="1"/>
  <c r="F2268" i="4" s="1"/>
  <c r="F2269" i="4" s="1"/>
  <c r="E2260" i="4"/>
  <c r="E2261" i="4" s="1"/>
  <c r="E2262" i="4" s="1"/>
  <c r="E2263" i="4" s="1"/>
  <c r="E2264" i="4" s="1"/>
  <c r="E2265" i="4" s="1"/>
  <c r="E2266" i="4" s="1"/>
  <c r="E2267" i="4" s="1"/>
  <c r="E2268" i="4" s="1"/>
  <c r="E2269" i="4" s="1"/>
  <c r="G2257" i="4"/>
  <c r="L2256" i="4"/>
  <c r="L2254" i="4"/>
  <c r="L2253" i="4"/>
  <c r="L2251" i="4"/>
  <c r="L2250" i="4"/>
  <c r="L2249" i="4"/>
  <c r="L2248" i="4"/>
  <c r="F2248" i="4"/>
  <c r="F2249" i="4" s="1"/>
  <c r="F2250" i="4" s="1"/>
  <c r="F2251" i="4" s="1"/>
  <c r="F2252" i="4" s="1"/>
  <c r="F2253" i="4" s="1"/>
  <c r="F2254" i="4" s="1"/>
  <c r="F2255" i="4" s="1"/>
  <c r="F2256" i="4" s="1"/>
  <c r="F2257" i="4" s="1"/>
  <c r="E2248" i="4"/>
  <c r="E2249" i="4" s="1"/>
  <c r="E2250" i="4" s="1"/>
  <c r="E2251" i="4" s="1"/>
  <c r="E2252" i="4" s="1"/>
  <c r="E2253" i="4" s="1"/>
  <c r="E2254" i="4" s="1"/>
  <c r="E2255" i="4" s="1"/>
  <c r="E2256" i="4" s="1"/>
  <c r="E2257" i="4" s="1"/>
  <c r="L2247" i="4"/>
  <c r="L2246" i="4"/>
  <c r="L2245" i="4"/>
  <c r="G2245" i="4"/>
  <c r="L2244" i="4"/>
  <c r="L2242" i="4"/>
  <c r="L2241" i="4"/>
  <c r="L2240" i="4"/>
  <c r="L2239" i="4"/>
  <c r="L2238" i="4"/>
  <c r="L2237" i="4"/>
  <c r="L2236" i="4"/>
  <c r="F2236" i="4"/>
  <c r="F2237" i="4" s="1"/>
  <c r="F2238" i="4" s="1"/>
  <c r="F2239" i="4" s="1"/>
  <c r="F2240" i="4" s="1"/>
  <c r="F2241" i="4" s="1"/>
  <c r="F2242" i="4" s="1"/>
  <c r="F2243" i="4" s="1"/>
  <c r="F2244" i="4" s="1"/>
  <c r="F2245" i="4" s="1"/>
  <c r="E2236" i="4"/>
  <c r="E2237" i="4" s="1"/>
  <c r="E2238" i="4" s="1"/>
  <c r="E2239" i="4" s="1"/>
  <c r="E2240" i="4" s="1"/>
  <c r="E2241" i="4" s="1"/>
  <c r="E2242" i="4" s="1"/>
  <c r="E2243" i="4" s="1"/>
  <c r="E2244" i="4" s="1"/>
  <c r="E2245" i="4" s="1"/>
  <c r="L2235" i="4"/>
  <c r="L2234" i="4"/>
  <c r="G2233" i="4"/>
  <c r="L2232" i="4"/>
  <c r="L2230" i="4"/>
  <c r="L2228" i="4"/>
  <c r="L2227" i="4"/>
  <c r="L2226" i="4"/>
  <c r="L2225" i="4"/>
  <c r="L2224" i="4"/>
  <c r="F2224" i="4"/>
  <c r="F2225" i="4" s="1"/>
  <c r="F2226" i="4" s="1"/>
  <c r="F2227" i="4" s="1"/>
  <c r="F2228" i="4" s="1"/>
  <c r="F2229" i="4" s="1"/>
  <c r="F2230" i="4" s="1"/>
  <c r="F2231" i="4" s="1"/>
  <c r="F2232" i="4" s="1"/>
  <c r="F2233" i="4" s="1"/>
  <c r="E2224" i="4"/>
  <c r="E2225" i="4" s="1"/>
  <c r="E2226" i="4" s="1"/>
  <c r="E2227" i="4" s="1"/>
  <c r="E2228" i="4" s="1"/>
  <c r="E2229" i="4" s="1"/>
  <c r="E2230" i="4" s="1"/>
  <c r="E2231" i="4" s="1"/>
  <c r="E2232" i="4" s="1"/>
  <c r="E2233" i="4" s="1"/>
  <c r="L2223" i="4"/>
  <c r="L2222" i="4"/>
  <c r="L2221" i="4"/>
  <c r="G2221" i="4"/>
  <c r="L2220" i="4"/>
  <c r="L2218" i="4"/>
  <c r="L2216" i="4"/>
  <c r="L2215" i="4"/>
  <c r="L2214" i="4"/>
  <c r="L2213" i="4"/>
  <c r="L2212" i="4"/>
  <c r="F2212" i="4"/>
  <c r="F2213" i="4" s="1"/>
  <c r="F2214" i="4" s="1"/>
  <c r="F2215" i="4" s="1"/>
  <c r="F2216" i="4" s="1"/>
  <c r="F2217" i="4" s="1"/>
  <c r="F2218" i="4" s="1"/>
  <c r="F2219" i="4" s="1"/>
  <c r="F2220" i="4" s="1"/>
  <c r="F2221" i="4" s="1"/>
  <c r="E2212" i="4"/>
  <c r="E2213" i="4" s="1"/>
  <c r="E2214" i="4" s="1"/>
  <c r="E2215" i="4" s="1"/>
  <c r="E2216" i="4" s="1"/>
  <c r="E2217" i="4" s="1"/>
  <c r="E2218" i="4" s="1"/>
  <c r="E2219" i="4" s="1"/>
  <c r="E2220" i="4" s="1"/>
  <c r="E2221" i="4" s="1"/>
  <c r="L2211" i="4"/>
  <c r="E2211" i="4"/>
  <c r="L2210" i="4"/>
  <c r="G2209" i="4"/>
  <c r="L2208" i="4"/>
  <c r="L2207" i="4"/>
  <c r="L2206" i="4"/>
  <c r="L2205" i="4"/>
  <c r="L2204" i="4"/>
  <c r="L2203" i="4"/>
  <c r="L2202" i="4"/>
  <c r="L2201" i="4"/>
  <c r="L2200" i="4"/>
  <c r="F2200" i="4"/>
  <c r="F2201" i="4" s="1"/>
  <c r="F2202" i="4" s="1"/>
  <c r="F2203" i="4" s="1"/>
  <c r="F2204" i="4" s="1"/>
  <c r="F2205" i="4" s="1"/>
  <c r="F2206" i="4" s="1"/>
  <c r="F2207" i="4" s="1"/>
  <c r="F2208" i="4" s="1"/>
  <c r="F2209" i="4" s="1"/>
  <c r="E2200" i="4"/>
  <c r="E2201" i="4" s="1"/>
  <c r="E2202" i="4" s="1"/>
  <c r="E2203" i="4" s="1"/>
  <c r="E2204" i="4" s="1"/>
  <c r="E2205" i="4" s="1"/>
  <c r="E2206" i="4" s="1"/>
  <c r="E2207" i="4" s="1"/>
  <c r="E2208" i="4" s="1"/>
  <c r="E2209" i="4" s="1"/>
  <c r="L2197" i="4"/>
  <c r="G2197" i="4"/>
  <c r="L2196" i="4"/>
  <c r="L2195" i="4"/>
  <c r="L2194" i="4"/>
  <c r="L2193" i="4"/>
  <c r="L2192" i="4"/>
  <c r="L2191" i="4"/>
  <c r="L2190" i="4"/>
  <c r="L2189" i="4"/>
  <c r="F2188" i="4"/>
  <c r="F2189" i="4" s="1"/>
  <c r="F2190" i="4" s="1"/>
  <c r="F2191" i="4" s="1"/>
  <c r="F2192" i="4" s="1"/>
  <c r="F2193" i="4" s="1"/>
  <c r="F2194" i="4" s="1"/>
  <c r="F2195" i="4" s="1"/>
  <c r="F2196" i="4" s="1"/>
  <c r="F2197" i="4" s="1"/>
  <c r="E2188" i="4"/>
  <c r="E2189" i="4" s="1"/>
  <c r="E2190" i="4" s="1"/>
  <c r="E2191" i="4" s="1"/>
  <c r="E2192" i="4" s="1"/>
  <c r="E2193" i="4" s="1"/>
  <c r="E2194" i="4" s="1"/>
  <c r="E2195" i="4" s="1"/>
  <c r="E2196" i="4" s="1"/>
  <c r="E2197" i="4" s="1"/>
  <c r="L2187" i="4"/>
  <c r="L2186" i="4"/>
  <c r="L2185" i="4"/>
  <c r="G2185" i="4"/>
  <c r="L2184" i="4"/>
  <c r="L2183" i="4"/>
  <c r="L2182" i="4"/>
  <c r="L2181" i="4"/>
  <c r="L2180" i="4"/>
  <c r="L2179" i="4"/>
  <c r="L2178" i="4"/>
  <c r="L2177" i="4"/>
  <c r="L2176" i="4"/>
  <c r="F2176" i="4"/>
  <c r="F2177" i="4" s="1"/>
  <c r="F2178" i="4" s="1"/>
  <c r="F2179" i="4" s="1"/>
  <c r="F2180" i="4" s="1"/>
  <c r="F2181" i="4" s="1"/>
  <c r="F2182" i="4" s="1"/>
  <c r="F2183" i="4" s="1"/>
  <c r="F2184" i="4" s="1"/>
  <c r="F2185" i="4" s="1"/>
  <c r="E2176" i="4"/>
  <c r="E2177" i="4" s="1"/>
  <c r="E2178" i="4" s="1"/>
  <c r="E2179" i="4" s="1"/>
  <c r="E2180" i="4" s="1"/>
  <c r="E2181" i="4" s="1"/>
  <c r="E2182" i="4" s="1"/>
  <c r="E2183" i="4" s="1"/>
  <c r="E2184" i="4" s="1"/>
  <c r="E2185" i="4" s="1"/>
  <c r="L2175" i="4"/>
  <c r="G2173" i="4"/>
  <c r="L2170" i="4"/>
  <c r="L2169" i="4"/>
  <c r="L2168" i="4"/>
  <c r="L2167" i="4"/>
  <c r="L2166" i="4"/>
  <c r="L2165" i="4"/>
  <c r="L2164" i="4"/>
  <c r="F2164" i="4"/>
  <c r="F2165" i="4" s="1"/>
  <c r="F2166" i="4" s="1"/>
  <c r="F2167" i="4" s="1"/>
  <c r="F2168" i="4" s="1"/>
  <c r="F2169" i="4" s="1"/>
  <c r="F2170" i="4" s="1"/>
  <c r="F2171" i="4" s="1"/>
  <c r="F2172" i="4" s="1"/>
  <c r="F2173" i="4" s="1"/>
  <c r="E2164" i="4"/>
  <c r="E2165" i="4" s="1"/>
  <c r="E2166" i="4" s="1"/>
  <c r="E2167" i="4" s="1"/>
  <c r="E2168" i="4" s="1"/>
  <c r="E2169" i="4" s="1"/>
  <c r="E2170" i="4" s="1"/>
  <c r="E2171" i="4" s="1"/>
  <c r="E2172" i="4" s="1"/>
  <c r="E2173" i="4" s="1"/>
  <c r="L2163" i="4"/>
  <c r="L2162" i="4"/>
  <c r="L2161" i="4"/>
  <c r="G2161" i="4"/>
  <c r="L2160" i="4"/>
  <c r="L2159" i="4"/>
  <c r="L2158" i="4"/>
  <c r="L2157" i="4"/>
  <c r="L2156" i="4"/>
  <c r="L2155" i="4"/>
  <c r="L2154" i="4"/>
  <c r="L2152" i="4"/>
  <c r="F2152" i="4"/>
  <c r="F2153" i="4" s="1"/>
  <c r="F2154" i="4" s="1"/>
  <c r="F2155" i="4" s="1"/>
  <c r="F2156" i="4" s="1"/>
  <c r="F2157" i="4" s="1"/>
  <c r="F2158" i="4" s="1"/>
  <c r="F2159" i="4" s="1"/>
  <c r="F2160" i="4" s="1"/>
  <c r="F2161" i="4" s="1"/>
  <c r="E2152" i="4"/>
  <c r="E2153" i="4" s="1"/>
  <c r="E2154" i="4" s="1"/>
  <c r="E2155" i="4" s="1"/>
  <c r="E2156" i="4" s="1"/>
  <c r="E2157" i="4" s="1"/>
  <c r="E2158" i="4" s="1"/>
  <c r="E2159" i="4" s="1"/>
  <c r="E2160" i="4" s="1"/>
  <c r="E2161" i="4" s="1"/>
  <c r="L2151" i="4"/>
  <c r="L2150" i="4"/>
  <c r="G2149" i="4"/>
  <c r="L2148" i="4"/>
  <c r="L2146" i="4"/>
  <c r="L2144" i="4"/>
  <c r="L2143" i="4"/>
  <c r="L2142" i="4"/>
  <c r="L2141" i="4"/>
  <c r="L2140" i="4"/>
  <c r="F2140" i="4"/>
  <c r="F2141" i="4" s="1"/>
  <c r="F2142" i="4" s="1"/>
  <c r="F2143" i="4" s="1"/>
  <c r="F2144" i="4" s="1"/>
  <c r="F2145" i="4" s="1"/>
  <c r="F2146" i="4" s="1"/>
  <c r="F2147" i="4" s="1"/>
  <c r="F2148" i="4" s="1"/>
  <c r="F2149" i="4" s="1"/>
  <c r="E2140" i="4"/>
  <c r="E2141" i="4" s="1"/>
  <c r="E2142" i="4" s="1"/>
  <c r="E2143" i="4" s="1"/>
  <c r="E2144" i="4" s="1"/>
  <c r="E2145" i="4" s="1"/>
  <c r="E2146" i="4" s="1"/>
  <c r="E2147" i="4" s="1"/>
  <c r="E2148" i="4" s="1"/>
  <c r="E2149" i="4" s="1"/>
  <c r="L2139" i="4"/>
  <c r="L2138" i="4"/>
  <c r="K2123" i="4"/>
  <c r="J2123" i="4"/>
  <c r="K2125" i="4"/>
  <c r="J2125" i="4"/>
  <c r="K2113" i="4"/>
  <c r="L2113" i="4" s="1"/>
  <c r="J2113" i="4"/>
  <c r="K2103" i="4"/>
  <c r="L2103" i="4" s="1"/>
  <c r="K2102" i="4"/>
  <c r="J2102" i="4"/>
  <c r="E2102" i="4"/>
  <c r="E2103" i="4" s="1"/>
  <c r="E2090" i="4"/>
  <c r="E2091" i="4" s="1"/>
  <c r="E2078" i="4"/>
  <c r="K2087" i="4"/>
  <c r="J2087" i="4"/>
  <c r="K2077" i="4"/>
  <c r="J2077" i="4"/>
  <c r="K2073" i="4"/>
  <c r="J2073" i="4"/>
  <c r="E2066" i="4"/>
  <c r="K2065" i="4"/>
  <c r="J2065" i="4"/>
  <c r="K2061" i="4"/>
  <c r="J2061" i="4"/>
  <c r="G2125" i="4"/>
  <c r="L2124" i="4"/>
  <c r="L2122" i="4"/>
  <c r="L2121" i="4"/>
  <c r="L2120" i="4"/>
  <c r="L2119" i="4"/>
  <c r="L2118" i="4"/>
  <c r="L2117" i="4"/>
  <c r="L2116" i="4"/>
  <c r="F2116" i="4"/>
  <c r="F2117" i="4" s="1"/>
  <c r="F2118" i="4" s="1"/>
  <c r="F2119" i="4" s="1"/>
  <c r="F2120" i="4" s="1"/>
  <c r="F2121" i="4" s="1"/>
  <c r="F2122" i="4" s="1"/>
  <c r="F2123" i="4" s="1"/>
  <c r="F2124" i="4" s="1"/>
  <c r="F2125" i="4" s="1"/>
  <c r="E2116" i="4"/>
  <c r="E2117" i="4" s="1"/>
  <c r="E2118" i="4" s="1"/>
  <c r="E2119" i="4" s="1"/>
  <c r="E2120" i="4" s="1"/>
  <c r="E2121" i="4" s="1"/>
  <c r="E2122" i="4" s="1"/>
  <c r="E2123" i="4" s="1"/>
  <c r="E2124" i="4" s="1"/>
  <c r="E2125" i="4" s="1"/>
  <c r="L2115" i="4"/>
  <c r="E2115" i="4"/>
  <c r="L2114" i="4"/>
  <c r="G2113" i="4"/>
  <c r="L2112" i="4"/>
  <c r="L2111" i="4"/>
  <c r="L2110" i="4"/>
  <c r="L2109" i="4"/>
  <c r="L2108" i="4"/>
  <c r="L2107" i="4"/>
  <c r="L2106" i="4"/>
  <c r="L2105" i="4"/>
  <c r="L2104" i="4"/>
  <c r="F2104" i="4"/>
  <c r="F2105" i="4" s="1"/>
  <c r="F2106" i="4" s="1"/>
  <c r="F2107" i="4" s="1"/>
  <c r="F2108" i="4" s="1"/>
  <c r="F2109" i="4" s="1"/>
  <c r="F2110" i="4" s="1"/>
  <c r="F2111" i="4" s="1"/>
  <c r="F2112" i="4" s="1"/>
  <c r="F2113" i="4" s="1"/>
  <c r="E2104" i="4"/>
  <c r="E2105" i="4" s="1"/>
  <c r="E2106" i="4" s="1"/>
  <c r="E2107" i="4" s="1"/>
  <c r="E2108" i="4" s="1"/>
  <c r="E2109" i="4" s="1"/>
  <c r="E2110" i="4" s="1"/>
  <c r="E2111" i="4" s="1"/>
  <c r="E2112" i="4" s="1"/>
  <c r="E2113" i="4" s="1"/>
  <c r="L2101" i="4"/>
  <c r="G2101" i="4"/>
  <c r="L2100" i="4"/>
  <c r="L2099" i="4"/>
  <c r="L2098" i="4"/>
  <c r="L2097" i="4"/>
  <c r="L2096" i="4"/>
  <c r="L2095" i="4"/>
  <c r="L2094" i="4"/>
  <c r="L2093" i="4"/>
  <c r="L2092" i="4"/>
  <c r="F2092" i="4"/>
  <c r="F2093" i="4" s="1"/>
  <c r="F2094" i="4" s="1"/>
  <c r="F2095" i="4" s="1"/>
  <c r="F2096" i="4" s="1"/>
  <c r="F2097" i="4" s="1"/>
  <c r="F2098" i="4" s="1"/>
  <c r="F2099" i="4" s="1"/>
  <c r="F2100" i="4" s="1"/>
  <c r="F2101" i="4" s="1"/>
  <c r="E2092" i="4"/>
  <c r="E2093" i="4" s="1"/>
  <c r="E2094" i="4" s="1"/>
  <c r="E2095" i="4" s="1"/>
  <c r="E2096" i="4" s="1"/>
  <c r="E2097" i="4" s="1"/>
  <c r="E2098" i="4" s="1"/>
  <c r="E2099" i="4" s="1"/>
  <c r="E2100" i="4" s="1"/>
  <c r="E2101" i="4" s="1"/>
  <c r="L2091" i="4"/>
  <c r="L2090" i="4"/>
  <c r="E2054" i="4"/>
  <c r="K2046" i="4"/>
  <c r="J2046" i="4"/>
  <c r="K2044" i="4"/>
  <c r="J2044" i="4"/>
  <c r="K2045" i="4"/>
  <c r="J2045" i="4"/>
  <c r="E2042" i="4"/>
  <c r="K2033" i="4"/>
  <c r="J2033" i="4"/>
  <c r="E2030" i="4"/>
  <c r="E2018" i="4"/>
  <c r="K2028" i="4"/>
  <c r="J2028" i="4"/>
  <c r="K2020" i="4"/>
  <c r="J2020" i="4"/>
  <c r="K2027" i="4"/>
  <c r="J2027" i="4"/>
  <c r="K2029" i="4"/>
  <c r="J2029" i="4"/>
  <c r="E2006" i="4"/>
  <c r="K2008" i="4"/>
  <c r="J2008" i="4"/>
  <c r="K2007" i="4"/>
  <c r="J2007" i="4"/>
  <c r="J2006" i="4"/>
  <c r="E1994" i="4"/>
  <c r="K1994" i="4"/>
  <c r="J1994" i="4"/>
  <c r="K1995" i="4"/>
  <c r="J1995" i="4"/>
  <c r="K1982" i="4"/>
  <c r="J1982" i="4"/>
  <c r="K1983" i="4"/>
  <c r="J1983" i="4"/>
  <c r="E1982" i="4"/>
  <c r="K1979" i="4"/>
  <c r="J1979" i="4"/>
  <c r="K1977" i="4"/>
  <c r="J1977" i="4"/>
  <c r="E1970" i="4"/>
  <c r="L2332" i="4" l="1"/>
  <c r="L11" i="4"/>
  <c r="L2145" i="4"/>
  <c r="L2171" i="4"/>
  <c r="L2198" i="4"/>
  <c r="L2217" i="4"/>
  <c r="M2217" i="4" s="1"/>
  <c r="L2261" i="4"/>
  <c r="L2274" i="4"/>
  <c r="L3" i="4"/>
  <c r="L2313" i="4"/>
  <c r="L2316" i="4"/>
  <c r="L2334" i="4"/>
  <c r="I157" i="12"/>
  <c r="M2619" i="4"/>
  <c r="L2309" i="4"/>
  <c r="L2310" i="4"/>
  <c r="L2329" i="4"/>
  <c r="L2333" i="4"/>
  <c r="L2387" i="4"/>
  <c r="L2409" i="4"/>
  <c r="M2417" i="4"/>
  <c r="M2627" i="4"/>
  <c r="L2317" i="4"/>
  <c r="L2339" i="4"/>
  <c r="L2369" i="4"/>
  <c r="L2386" i="4"/>
  <c r="M2609" i="4"/>
  <c r="L2233" i="4"/>
  <c r="L2293" i="4"/>
  <c r="L2307" i="4"/>
  <c r="M2315" i="4" s="1"/>
  <c r="L2318" i="4"/>
  <c r="L2343" i="4"/>
  <c r="L2354" i="4"/>
  <c r="L2367" i="4"/>
  <c r="M2599" i="4"/>
  <c r="M2616" i="4"/>
  <c r="M2604" i="4"/>
  <c r="M2614" i="4"/>
  <c r="M2603" i="4"/>
  <c r="M2463" i="4"/>
  <c r="M2595" i="4"/>
  <c r="M2501" i="4"/>
  <c r="AC157" i="12"/>
  <c r="AG152" i="12"/>
  <c r="AK155" i="12"/>
  <c r="AO158" i="12"/>
  <c r="L2252" i="4"/>
  <c r="L2283" i="4"/>
  <c r="L2295" i="4"/>
  <c r="L2375" i="4"/>
  <c r="L2102" i="4"/>
  <c r="L2172" i="4"/>
  <c r="L2259" i="4"/>
  <c r="L2277" i="4"/>
  <c r="Y160" i="12"/>
  <c r="AC155" i="12"/>
  <c r="M2485" i="4"/>
  <c r="F2414" i="4"/>
  <c r="F2415" i="4" s="1"/>
  <c r="M2597" i="4"/>
  <c r="M2618" i="4"/>
  <c r="M2611" i="4"/>
  <c r="L2271" i="4"/>
  <c r="M2278" i="4" s="1"/>
  <c r="L2308" i="4"/>
  <c r="L2174" i="4"/>
  <c r="M2174" i="4" s="1"/>
  <c r="L2306" i="4"/>
  <c r="L2315" i="4"/>
  <c r="M2515" i="4"/>
  <c r="M2606" i="4"/>
  <c r="E161" i="12"/>
  <c r="E157" i="12"/>
  <c r="I155" i="12"/>
  <c r="I153" i="12"/>
  <c r="AK152" i="12"/>
  <c r="AT169" i="12"/>
  <c r="M159" i="12"/>
  <c r="Y152" i="12"/>
  <c r="AK153" i="12"/>
  <c r="AO156" i="12"/>
  <c r="AS151" i="12"/>
  <c r="AS159" i="12"/>
  <c r="AW154" i="12"/>
  <c r="I158" i="12"/>
  <c r="AL167" i="12"/>
  <c r="E151" i="12"/>
  <c r="E156" i="12"/>
  <c r="E159" i="12"/>
  <c r="I161" i="12"/>
  <c r="H168" i="12"/>
  <c r="I154" i="12"/>
  <c r="Q152" i="12"/>
  <c r="U152" i="12"/>
  <c r="W162" i="12"/>
  <c r="Y153" i="12"/>
  <c r="X162" i="12"/>
  <c r="Y158" i="12"/>
  <c r="AB162" i="12"/>
  <c r="AC156" i="12"/>
  <c r="AC158" i="12"/>
  <c r="AC161" i="12"/>
  <c r="AG151" i="12"/>
  <c r="AF162" i="12"/>
  <c r="AG156" i="12"/>
  <c r="AG159" i="12"/>
  <c r="AG161" i="12"/>
  <c r="AI162" i="12"/>
  <c r="AK154" i="12"/>
  <c r="AK159" i="12"/>
  <c r="AO151" i="12"/>
  <c r="AO154" i="12"/>
  <c r="AO159" i="12"/>
  <c r="AS152" i="12"/>
  <c r="AS154" i="12"/>
  <c r="AS157" i="12"/>
  <c r="AS160" i="12"/>
  <c r="AW152" i="12"/>
  <c r="AW157" i="12"/>
  <c r="AW160" i="12"/>
  <c r="AX162" i="12"/>
  <c r="B167" i="12"/>
  <c r="B168" i="12" s="1"/>
  <c r="E152" i="12"/>
  <c r="E160" i="12"/>
  <c r="M155" i="12"/>
  <c r="Y156" i="12"/>
  <c r="AC151" i="12"/>
  <c r="AC159" i="12"/>
  <c r="AG154" i="12"/>
  <c r="AK157" i="12"/>
  <c r="AO152" i="12"/>
  <c r="AS155" i="12"/>
  <c r="AW158" i="12"/>
  <c r="I152" i="12"/>
  <c r="Q161" i="12"/>
  <c r="U156" i="12"/>
  <c r="Y151" i="12"/>
  <c r="Y159" i="12"/>
  <c r="AC154" i="12"/>
  <c r="AG157" i="12"/>
  <c r="AK160" i="12"/>
  <c r="AS158" i="12"/>
  <c r="AW153" i="12"/>
  <c r="AW161" i="12"/>
  <c r="E155" i="12"/>
  <c r="E158" i="12"/>
  <c r="AG160" i="12"/>
  <c r="AS153" i="12"/>
  <c r="AW156" i="12"/>
  <c r="M2410" i="4"/>
  <c r="L2291" i="4"/>
  <c r="L2358" i="4"/>
  <c r="E154" i="12"/>
  <c r="I151" i="12"/>
  <c r="H162" i="12"/>
  <c r="Q155" i="12"/>
  <c r="M2600" i="4"/>
  <c r="M2620" i="4"/>
  <c r="M2434" i="4"/>
  <c r="M2403" i="4"/>
  <c r="L2209" i="4"/>
  <c r="M2207" i="4" s="1"/>
  <c r="Z162" i="12"/>
  <c r="L162" i="12"/>
  <c r="K162" i="12"/>
  <c r="M158" i="12"/>
  <c r="P162" i="12"/>
  <c r="Q156" i="12"/>
  <c r="U151" i="12"/>
  <c r="U159" i="12"/>
  <c r="M2496" i="4"/>
  <c r="M2498" i="4"/>
  <c r="M2432" i="4"/>
  <c r="AE162" i="12"/>
  <c r="AG153" i="12"/>
  <c r="M2617" i="4"/>
  <c r="AL162" i="12"/>
  <c r="AV162" i="12"/>
  <c r="L2153" i="4"/>
  <c r="M2405" i="4"/>
  <c r="Y161" i="12"/>
  <c r="M2487" i="4"/>
  <c r="L2147" i="4"/>
  <c r="L2173" i="4"/>
  <c r="L2199" i="4"/>
  <c r="L2219" i="4"/>
  <c r="M2219" i="4" s="1"/>
  <c r="L2257" i="4"/>
  <c r="L2262" i="4"/>
  <c r="L2280" i="4"/>
  <c r="L6" i="4"/>
  <c r="L2365" i="4"/>
  <c r="M2358" i="4" s="1"/>
  <c r="L2389" i="4"/>
  <c r="M151" i="12"/>
  <c r="M157" i="12"/>
  <c r="Q154" i="12"/>
  <c r="Q157" i="12"/>
  <c r="Q160" i="12"/>
  <c r="U155" i="12"/>
  <c r="U160" i="12"/>
  <c r="M2629" i="4"/>
  <c r="M2437" i="4"/>
  <c r="M2624" i="4"/>
  <c r="M2486" i="4"/>
  <c r="AJ162" i="12"/>
  <c r="L2285" i="4"/>
  <c r="L2304" i="4"/>
  <c r="M2297" i="4" s="1"/>
  <c r="L2345" i="4"/>
  <c r="L2368" i="4"/>
  <c r="I159" i="12"/>
  <c r="M152" i="12"/>
  <c r="M160" i="12"/>
  <c r="U153" i="12"/>
  <c r="U158" i="12"/>
  <c r="V162" i="12"/>
  <c r="AM162" i="12"/>
  <c r="AO157" i="12"/>
  <c r="AO160" i="12"/>
  <c r="AU162" i="12"/>
  <c r="AW155" i="12"/>
  <c r="M2492" i="4"/>
  <c r="M2608" i="4"/>
  <c r="M2625" i="4"/>
  <c r="M2621" i="4"/>
  <c r="F2618" i="4"/>
  <c r="F2619" i="4" s="1"/>
  <c r="M2628" i="4"/>
  <c r="M2626" i="4"/>
  <c r="M2607" i="4"/>
  <c r="F2606" i="4"/>
  <c r="F2607" i="4" s="1"/>
  <c r="M2610" i="4"/>
  <c r="M2615" i="4"/>
  <c r="M2612" i="4"/>
  <c r="M2605" i="4"/>
  <c r="M2601" i="4"/>
  <c r="M2602" i="4"/>
  <c r="M2598" i="4"/>
  <c r="M2596" i="4"/>
  <c r="M2477" i="4"/>
  <c r="M2510" i="4"/>
  <c r="M2497" i="4"/>
  <c r="M2488" i="4"/>
  <c r="M2476" i="4"/>
  <c r="M2520" i="4"/>
  <c r="M2513" i="4"/>
  <c r="M2484" i="4"/>
  <c r="M2479" i="4"/>
  <c r="F2474" i="4"/>
  <c r="F2475" i="4" s="1"/>
  <c r="M2512" i="4"/>
  <c r="M2511" i="4"/>
  <c r="M2516" i="4"/>
  <c r="M2514" i="4"/>
  <c r="F2510" i="4"/>
  <c r="F2511" i="4" s="1"/>
  <c r="M2481" i="4"/>
  <c r="M2478" i="4"/>
  <c r="M2490" i="4"/>
  <c r="F2486" i="4"/>
  <c r="F2487" i="4" s="1"/>
  <c r="M2517" i="4"/>
  <c r="M2495" i="4"/>
  <c r="M2491" i="4"/>
  <c r="M2475" i="4"/>
  <c r="M2519" i="4"/>
  <c r="M2518" i="4"/>
  <c r="M2489" i="4"/>
  <c r="M2483" i="4"/>
  <c r="M2482" i="4"/>
  <c r="M2474" i="4"/>
  <c r="AT162" i="12"/>
  <c r="AN162" i="12"/>
  <c r="AT167" i="12"/>
  <c r="AT168" i="12" s="1"/>
  <c r="Y155" i="12"/>
  <c r="AA167" i="12"/>
  <c r="AA168" i="12" s="1"/>
  <c r="AD162" i="12"/>
  <c r="AK156" i="12"/>
  <c r="AF167" i="12"/>
  <c r="AF168" i="12" s="1"/>
  <c r="AH162" i="12"/>
  <c r="AK151" i="12"/>
  <c r="AA162" i="12"/>
  <c r="T162" i="12"/>
  <c r="J162" i="12"/>
  <c r="N167" i="12"/>
  <c r="N168" i="12" s="1"/>
  <c r="R168" i="12"/>
  <c r="U157" i="12"/>
  <c r="N162" i="12"/>
  <c r="Q151" i="12"/>
  <c r="O162" i="12"/>
  <c r="R162" i="12"/>
  <c r="S162" i="12"/>
  <c r="M154" i="12"/>
  <c r="P167" i="12"/>
  <c r="P168" i="12" s="1"/>
  <c r="M153" i="12"/>
  <c r="Q153" i="12"/>
  <c r="F162" i="12"/>
  <c r="G168" i="12"/>
  <c r="I156" i="12"/>
  <c r="F167" i="12"/>
  <c r="F168" i="12" s="1"/>
  <c r="G162" i="12"/>
  <c r="C162" i="12"/>
  <c r="B162" i="12"/>
  <c r="D162" i="12"/>
  <c r="Z168" i="12"/>
  <c r="AR168" i="12"/>
  <c r="AI168" i="12"/>
  <c r="J168" i="12"/>
  <c r="S168" i="12"/>
  <c r="AL168" i="12"/>
  <c r="AU168" i="12"/>
  <c r="AQ168" i="12"/>
  <c r="T168" i="12"/>
  <c r="AM168" i="12"/>
  <c r="AV168" i="12"/>
  <c r="L168" i="12"/>
  <c r="AE168" i="12"/>
  <c r="AN168" i="12"/>
  <c r="W168" i="12"/>
  <c r="O168" i="12"/>
  <c r="AP168" i="12"/>
  <c r="V168" i="12"/>
  <c r="E150" i="12"/>
  <c r="M150" i="12"/>
  <c r="U150" i="12"/>
  <c r="AC150" i="12"/>
  <c r="AK150" i="12"/>
  <c r="AS150" i="12"/>
  <c r="Y154" i="12"/>
  <c r="D167" i="12"/>
  <c r="D168" i="12" s="1"/>
  <c r="AJ167" i="12"/>
  <c r="AJ168" i="12" s="1"/>
  <c r="AD169" i="12"/>
  <c r="AD168" i="12" s="1"/>
  <c r="AO155" i="12"/>
  <c r="AP162" i="12"/>
  <c r="AQ162" i="12"/>
  <c r="AB167" i="12"/>
  <c r="AB168" i="12" s="1"/>
  <c r="K169" i="12"/>
  <c r="K168" i="12" s="1"/>
  <c r="AC153" i="12"/>
  <c r="M161" i="12"/>
  <c r="U161" i="12"/>
  <c r="AS161" i="12"/>
  <c r="AR162" i="12"/>
  <c r="AH169" i="12"/>
  <c r="AH168" i="12" s="1"/>
  <c r="I150" i="12"/>
  <c r="Q150" i="12"/>
  <c r="Y150" i="12"/>
  <c r="AG150" i="12"/>
  <c r="AO150" i="12"/>
  <c r="AW150" i="12"/>
  <c r="Q158" i="12"/>
  <c r="X169" i="12"/>
  <c r="X168" i="12" s="1"/>
  <c r="I160" i="12"/>
  <c r="M2241" i="4"/>
  <c r="L2188" i="4"/>
  <c r="M2187" i="4" s="1"/>
  <c r="M2412" i="4"/>
  <c r="M2402" i="4"/>
  <c r="L5" i="4"/>
  <c r="M2406" i="4"/>
  <c r="M2407" i="4"/>
  <c r="L2125" i="4"/>
  <c r="F2114" i="4" s="1"/>
  <c r="F2115" i="4" s="1"/>
  <c r="L2269" i="4"/>
  <c r="L2281" i="4"/>
  <c r="M2411" i="4"/>
  <c r="M2243" i="4"/>
  <c r="M2240" i="4"/>
  <c r="L9" i="4"/>
  <c r="M2413" i="4"/>
  <c r="M2408" i="4"/>
  <c r="M2404" i="4"/>
  <c r="M2409" i="4"/>
  <c r="M2390" i="4"/>
  <c r="M2393" i="4"/>
  <c r="M2391" i="4"/>
  <c r="M2400" i="4"/>
  <c r="M2401" i="4"/>
  <c r="M2396" i="4"/>
  <c r="M2397" i="4"/>
  <c r="M2392" i="4"/>
  <c r="M2394" i="4"/>
  <c r="M2395" i="4"/>
  <c r="M2398" i="4"/>
  <c r="M2399" i="4"/>
  <c r="M2378" i="4"/>
  <c r="M2383" i="4"/>
  <c r="M2384" i="4"/>
  <c r="M2385" i="4"/>
  <c r="M2379" i="4"/>
  <c r="M2381" i="4"/>
  <c r="M2380" i="4"/>
  <c r="M2382" i="4"/>
  <c r="M2386" i="4"/>
  <c r="M2388" i="4"/>
  <c r="M2389" i="4"/>
  <c r="M2387" i="4"/>
  <c r="M2366" i="4"/>
  <c r="F2366" i="4"/>
  <c r="M2367" i="4"/>
  <c r="M2376" i="4"/>
  <c r="M2370" i="4"/>
  <c r="M2372" i="4"/>
  <c r="M2374" i="4"/>
  <c r="M2368" i="4"/>
  <c r="M2369" i="4"/>
  <c r="M2371" i="4"/>
  <c r="M2373" i="4"/>
  <c r="M2375" i="4"/>
  <c r="M2377" i="4"/>
  <c r="F2367" i="4"/>
  <c r="M2359" i="4"/>
  <c r="M2364" i="4"/>
  <c r="M2343" i="4"/>
  <c r="M2330" i="4"/>
  <c r="M2334" i="4"/>
  <c r="M2332" i="4"/>
  <c r="M2336" i="4"/>
  <c r="M2337" i="4"/>
  <c r="M2331" i="4"/>
  <c r="M2333" i="4"/>
  <c r="M2340" i="4"/>
  <c r="M2341" i="4"/>
  <c r="M2335" i="4"/>
  <c r="M2338" i="4"/>
  <c r="M2339" i="4"/>
  <c r="M2328" i="4"/>
  <c r="M2320" i="4"/>
  <c r="M2323" i="4"/>
  <c r="M2327" i="4"/>
  <c r="M2329" i="4"/>
  <c r="F2318" i="4"/>
  <c r="M2318" i="4"/>
  <c r="M2319" i="4"/>
  <c r="M2322" i="4"/>
  <c r="M2324" i="4"/>
  <c r="M2326" i="4"/>
  <c r="M2321" i="4"/>
  <c r="M2325" i="4"/>
  <c r="F2319" i="4"/>
  <c r="M2310" i="4"/>
  <c r="M2316" i="4"/>
  <c r="M2295" i="4"/>
  <c r="M2304" i="4"/>
  <c r="M2300" i="4"/>
  <c r="M2294" i="4"/>
  <c r="M2296" i="4"/>
  <c r="M2298" i="4"/>
  <c r="M2299" i="4"/>
  <c r="M2302" i="4"/>
  <c r="M2303" i="4"/>
  <c r="M2305" i="4"/>
  <c r="M2292" i="4"/>
  <c r="M2290" i="4"/>
  <c r="F2402" i="4"/>
  <c r="F2403" i="4" s="1"/>
  <c r="F2390" i="4"/>
  <c r="F2391" i="4" s="1"/>
  <c r="F2378" i="4"/>
  <c r="F2379" i="4" s="1"/>
  <c r="F2330" i="4"/>
  <c r="F2331" i="4" s="1"/>
  <c r="F2294" i="4"/>
  <c r="F2295" i="4" s="1"/>
  <c r="L2272" i="4"/>
  <c r="M2258" i="4"/>
  <c r="M2261" i="4"/>
  <c r="M2265" i="4"/>
  <c r="M2259" i="4"/>
  <c r="M2264" i="4"/>
  <c r="M2268" i="4"/>
  <c r="M2269" i="4"/>
  <c r="M2260" i="4"/>
  <c r="M2262" i="4"/>
  <c r="M2263" i="4"/>
  <c r="M2266" i="4"/>
  <c r="M2267" i="4"/>
  <c r="L2273" i="4"/>
  <c r="M2253" i="4"/>
  <c r="M2256" i="4"/>
  <c r="M2257" i="4"/>
  <c r="M2247" i="4"/>
  <c r="M2249" i="4"/>
  <c r="M2252" i="4"/>
  <c r="M2246" i="4"/>
  <c r="M2248" i="4"/>
  <c r="M2250" i="4"/>
  <c r="M2251" i="4"/>
  <c r="M2254" i="4"/>
  <c r="M2255" i="4"/>
  <c r="M2235" i="4"/>
  <c r="M2237" i="4"/>
  <c r="M2234" i="4"/>
  <c r="M2236" i="4"/>
  <c r="M2238" i="4"/>
  <c r="M2239" i="4"/>
  <c r="M2242" i="4"/>
  <c r="M2244" i="4"/>
  <c r="M2245" i="4"/>
  <c r="M2225" i="4"/>
  <c r="M2222" i="4"/>
  <c r="M2223" i="4"/>
  <c r="M2229" i="4"/>
  <c r="M2228" i="4"/>
  <c r="F2222" i="4"/>
  <c r="M2232" i="4"/>
  <c r="M2233" i="4"/>
  <c r="M2224" i="4"/>
  <c r="M2226" i="4"/>
  <c r="M2227" i="4"/>
  <c r="M2230" i="4"/>
  <c r="M2231" i="4"/>
  <c r="M2210" i="4"/>
  <c r="M2218" i="4"/>
  <c r="M2204" i="4"/>
  <c r="M2194" i="4"/>
  <c r="M2195" i="4"/>
  <c r="M2176" i="4"/>
  <c r="M2178" i="4"/>
  <c r="M2179" i="4"/>
  <c r="M2182" i="4"/>
  <c r="M2183" i="4"/>
  <c r="M2175" i="4"/>
  <c r="M2177" i="4"/>
  <c r="M2180" i="4"/>
  <c r="M2181" i="4"/>
  <c r="M2184" i="4"/>
  <c r="M2185" i="4"/>
  <c r="M2165" i="4"/>
  <c r="M2163" i="4"/>
  <c r="M2172" i="4"/>
  <c r="M2168" i="4"/>
  <c r="M2169" i="4"/>
  <c r="M2162" i="4"/>
  <c r="M2164" i="4"/>
  <c r="M2166" i="4"/>
  <c r="M2167" i="4"/>
  <c r="M2170" i="4"/>
  <c r="M2171" i="4"/>
  <c r="M2173" i="4"/>
  <c r="M2152" i="4"/>
  <c r="M2157" i="4"/>
  <c r="M2150" i="4"/>
  <c r="M2154" i="4"/>
  <c r="M2155" i="4"/>
  <c r="M2158" i="4"/>
  <c r="M2159" i="4"/>
  <c r="M2151" i="4"/>
  <c r="M2153" i="4"/>
  <c r="M2156" i="4"/>
  <c r="M2160" i="4"/>
  <c r="M2161" i="4"/>
  <c r="M2145" i="4"/>
  <c r="M2139" i="4"/>
  <c r="M2141" i="4"/>
  <c r="M2144" i="4"/>
  <c r="M2147" i="4"/>
  <c r="M2138" i="4"/>
  <c r="M2140" i="4"/>
  <c r="M2142" i="4"/>
  <c r="M2143" i="4"/>
  <c r="M2146" i="4"/>
  <c r="M2148" i="4"/>
  <c r="M2149" i="4"/>
  <c r="F2282" i="4"/>
  <c r="F2283" i="4" s="1"/>
  <c r="F2270" i="4"/>
  <c r="F2271" i="4" s="1"/>
  <c r="F2258" i="4"/>
  <c r="F2259" i="4" s="1"/>
  <c r="F2246" i="4"/>
  <c r="F2247" i="4" s="1"/>
  <c r="F2234" i="4"/>
  <c r="F2235" i="4" s="1"/>
  <c r="F2223" i="4"/>
  <c r="F2174" i="4"/>
  <c r="F2175" i="4" s="1"/>
  <c r="F2162" i="4"/>
  <c r="F2163" i="4" s="1"/>
  <c r="F2150" i="4"/>
  <c r="F2151" i="4" s="1"/>
  <c r="F2138" i="4"/>
  <c r="F2139" i="4" s="1"/>
  <c r="L2123" i="4"/>
  <c r="M2102" i="4"/>
  <c r="M2104" i="4"/>
  <c r="M2111" i="4"/>
  <c r="M2110" i="4"/>
  <c r="M2106" i="4"/>
  <c r="M2107" i="4"/>
  <c r="M2103" i="4"/>
  <c r="M2105" i="4"/>
  <c r="M2108" i="4"/>
  <c r="M2109" i="4"/>
  <c r="M2112" i="4"/>
  <c r="M2113" i="4"/>
  <c r="M2091" i="4"/>
  <c r="M2095" i="4"/>
  <c r="M2094" i="4"/>
  <c r="M2097" i="4"/>
  <c r="M2090" i="4"/>
  <c r="M2092" i="4"/>
  <c r="M2098" i="4"/>
  <c r="M2099" i="4"/>
  <c r="M2093" i="4"/>
  <c r="M2096" i="4"/>
  <c r="M2100" i="4"/>
  <c r="M2101" i="4"/>
  <c r="F2102" i="4"/>
  <c r="F2103" i="4" s="1"/>
  <c r="F2090" i="4"/>
  <c r="F2091" i="4" s="1"/>
  <c r="L2137" i="4"/>
  <c r="G2137" i="4"/>
  <c r="L2136" i="4"/>
  <c r="L2135" i="4"/>
  <c r="L2134" i="4"/>
  <c r="L2133" i="4"/>
  <c r="L2132" i="4"/>
  <c r="L2131" i="4"/>
  <c r="L2130" i="4"/>
  <c r="L2129" i="4"/>
  <c r="L2128" i="4"/>
  <c r="F2128" i="4"/>
  <c r="F2129" i="4" s="1"/>
  <c r="F2130" i="4" s="1"/>
  <c r="F2131" i="4" s="1"/>
  <c r="F2132" i="4" s="1"/>
  <c r="F2133" i="4" s="1"/>
  <c r="F2134" i="4" s="1"/>
  <c r="F2135" i="4" s="1"/>
  <c r="F2136" i="4" s="1"/>
  <c r="F2137" i="4" s="1"/>
  <c r="E2128" i="4"/>
  <c r="E2129" i="4" s="1"/>
  <c r="E2130" i="4" s="1"/>
  <c r="E2131" i="4" s="1"/>
  <c r="E2132" i="4" s="1"/>
  <c r="E2133" i="4" s="1"/>
  <c r="E2134" i="4" s="1"/>
  <c r="E2135" i="4" s="1"/>
  <c r="E2136" i="4" s="1"/>
  <c r="E2137" i="4" s="1"/>
  <c r="L2127" i="4"/>
  <c r="E2127" i="4"/>
  <c r="L2126" i="4"/>
  <c r="L2089" i="4"/>
  <c r="G2089" i="4"/>
  <c r="L2088" i="4"/>
  <c r="L2087" i="4"/>
  <c r="L2086" i="4"/>
  <c r="L2085" i="4"/>
  <c r="L2084" i="4"/>
  <c r="L2083" i="4"/>
  <c r="L2082" i="4"/>
  <c r="L2081" i="4"/>
  <c r="L2080" i="4"/>
  <c r="F2080" i="4"/>
  <c r="F2081" i="4" s="1"/>
  <c r="F2082" i="4" s="1"/>
  <c r="F2083" i="4" s="1"/>
  <c r="F2084" i="4" s="1"/>
  <c r="F2085" i="4" s="1"/>
  <c r="F2086" i="4" s="1"/>
  <c r="F2087" i="4" s="1"/>
  <c r="F2088" i="4" s="1"/>
  <c r="F2089" i="4" s="1"/>
  <c r="E2080" i="4"/>
  <c r="E2081" i="4" s="1"/>
  <c r="E2082" i="4" s="1"/>
  <c r="E2083" i="4" s="1"/>
  <c r="E2084" i="4" s="1"/>
  <c r="E2085" i="4" s="1"/>
  <c r="E2086" i="4" s="1"/>
  <c r="E2087" i="4" s="1"/>
  <c r="E2088" i="4" s="1"/>
  <c r="E2089" i="4" s="1"/>
  <c r="L2079" i="4"/>
  <c r="E2079" i="4"/>
  <c r="L2078" i="4"/>
  <c r="L2077" i="4"/>
  <c r="G2077" i="4"/>
  <c r="L2076" i="4"/>
  <c r="L2075" i="4"/>
  <c r="L2074" i="4"/>
  <c r="L2073" i="4"/>
  <c r="L2072" i="4"/>
  <c r="L2071" i="4"/>
  <c r="L2070" i="4"/>
  <c r="L2069" i="4"/>
  <c r="L2068" i="4"/>
  <c r="F2068" i="4"/>
  <c r="F2069" i="4" s="1"/>
  <c r="F2070" i="4" s="1"/>
  <c r="F2071" i="4" s="1"/>
  <c r="F2072" i="4" s="1"/>
  <c r="F2073" i="4" s="1"/>
  <c r="F2074" i="4" s="1"/>
  <c r="F2075" i="4" s="1"/>
  <c r="F2076" i="4" s="1"/>
  <c r="F2077" i="4" s="1"/>
  <c r="E2068" i="4"/>
  <c r="E2069" i="4" s="1"/>
  <c r="E2070" i="4" s="1"/>
  <c r="E2071" i="4" s="1"/>
  <c r="E2072" i="4" s="1"/>
  <c r="E2073" i="4" s="1"/>
  <c r="E2074" i="4" s="1"/>
  <c r="E2075" i="4" s="1"/>
  <c r="E2076" i="4" s="1"/>
  <c r="E2077" i="4" s="1"/>
  <c r="L2067" i="4"/>
  <c r="E2067" i="4"/>
  <c r="L2066" i="4"/>
  <c r="L2065" i="4"/>
  <c r="G2065" i="4"/>
  <c r="L2064" i="4"/>
  <c r="L2063" i="4"/>
  <c r="L2062" i="4"/>
  <c r="L2061" i="4"/>
  <c r="L2060" i="4"/>
  <c r="L2059" i="4"/>
  <c r="L2058" i="4"/>
  <c r="L2057" i="4"/>
  <c r="L2056" i="4"/>
  <c r="F2056" i="4"/>
  <c r="F2057" i="4" s="1"/>
  <c r="F2058" i="4" s="1"/>
  <c r="F2059" i="4" s="1"/>
  <c r="F2060" i="4" s="1"/>
  <c r="F2061" i="4" s="1"/>
  <c r="F2062" i="4" s="1"/>
  <c r="F2063" i="4" s="1"/>
  <c r="F2064" i="4" s="1"/>
  <c r="F2065" i="4" s="1"/>
  <c r="E2056" i="4"/>
  <c r="E2057" i="4" s="1"/>
  <c r="E2058" i="4" s="1"/>
  <c r="E2059" i="4" s="1"/>
  <c r="E2060" i="4" s="1"/>
  <c r="E2061" i="4" s="1"/>
  <c r="E2062" i="4" s="1"/>
  <c r="E2063" i="4" s="1"/>
  <c r="E2064" i="4" s="1"/>
  <c r="E2065" i="4" s="1"/>
  <c r="L2055" i="4"/>
  <c r="E2055" i="4"/>
  <c r="L2054" i="4"/>
  <c r="L2053" i="4"/>
  <c r="G2053" i="4"/>
  <c r="L2052" i="4"/>
  <c r="L2051" i="4"/>
  <c r="L2050" i="4"/>
  <c r="L2049" i="4"/>
  <c r="L2048" i="4"/>
  <c r="L2047" i="4"/>
  <c r="L2046" i="4"/>
  <c r="L2045" i="4"/>
  <c r="L2044" i="4"/>
  <c r="F2044" i="4"/>
  <c r="F2045" i="4" s="1"/>
  <c r="F2046" i="4" s="1"/>
  <c r="F2047" i="4" s="1"/>
  <c r="F2048" i="4" s="1"/>
  <c r="F2049" i="4" s="1"/>
  <c r="F2050" i="4" s="1"/>
  <c r="F2051" i="4" s="1"/>
  <c r="F2052" i="4" s="1"/>
  <c r="F2053" i="4" s="1"/>
  <c r="E2044" i="4"/>
  <c r="E2045" i="4" s="1"/>
  <c r="E2046" i="4" s="1"/>
  <c r="E2047" i="4" s="1"/>
  <c r="E2048" i="4" s="1"/>
  <c r="E2049" i="4" s="1"/>
  <c r="E2050" i="4" s="1"/>
  <c r="E2051" i="4" s="1"/>
  <c r="E2052" i="4" s="1"/>
  <c r="E2053" i="4" s="1"/>
  <c r="L2043" i="4"/>
  <c r="E2043" i="4"/>
  <c r="L2042" i="4"/>
  <c r="L2041" i="4"/>
  <c r="G2041" i="4"/>
  <c r="L2040" i="4"/>
  <c r="L2039" i="4"/>
  <c r="L2038" i="4"/>
  <c r="L2037" i="4"/>
  <c r="L2036" i="4"/>
  <c r="L2035" i="4"/>
  <c r="L2034" i="4"/>
  <c r="L2033" i="4"/>
  <c r="L2032" i="4"/>
  <c r="F2032" i="4"/>
  <c r="F2033" i="4" s="1"/>
  <c r="F2034" i="4" s="1"/>
  <c r="F2035" i="4" s="1"/>
  <c r="F2036" i="4" s="1"/>
  <c r="F2037" i="4" s="1"/>
  <c r="F2038" i="4" s="1"/>
  <c r="F2039" i="4" s="1"/>
  <c r="F2040" i="4" s="1"/>
  <c r="F2041" i="4" s="1"/>
  <c r="E2032" i="4"/>
  <c r="E2033" i="4" s="1"/>
  <c r="E2034" i="4" s="1"/>
  <c r="E2035" i="4" s="1"/>
  <c r="E2036" i="4" s="1"/>
  <c r="E2037" i="4" s="1"/>
  <c r="E2038" i="4" s="1"/>
  <c r="E2039" i="4" s="1"/>
  <c r="E2040" i="4" s="1"/>
  <c r="E2041" i="4" s="1"/>
  <c r="L2031" i="4"/>
  <c r="E2031" i="4"/>
  <c r="L2030" i="4"/>
  <c r="L2029" i="4"/>
  <c r="G2029" i="4"/>
  <c r="L2028" i="4"/>
  <c r="L2027" i="4"/>
  <c r="L2026" i="4"/>
  <c r="L2025" i="4"/>
  <c r="L2024" i="4"/>
  <c r="L2023" i="4"/>
  <c r="L2022" i="4"/>
  <c r="L2021" i="4"/>
  <c r="L2020" i="4"/>
  <c r="F2020" i="4"/>
  <c r="F2021" i="4" s="1"/>
  <c r="F2022" i="4" s="1"/>
  <c r="F2023" i="4" s="1"/>
  <c r="F2024" i="4" s="1"/>
  <c r="F2025" i="4" s="1"/>
  <c r="F2026" i="4" s="1"/>
  <c r="F2027" i="4" s="1"/>
  <c r="F2028" i="4" s="1"/>
  <c r="F2029" i="4" s="1"/>
  <c r="E2020" i="4"/>
  <c r="E2021" i="4" s="1"/>
  <c r="E2022" i="4" s="1"/>
  <c r="E2023" i="4" s="1"/>
  <c r="E2024" i="4" s="1"/>
  <c r="E2025" i="4" s="1"/>
  <c r="E2026" i="4" s="1"/>
  <c r="E2027" i="4" s="1"/>
  <c r="E2028" i="4" s="1"/>
  <c r="E2029" i="4" s="1"/>
  <c r="L2019" i="4"/>
  <c r="E2019" i="4"/>
  <c r="L2018" i="4"/>
  <c r="L2017" i="4"/>
  <c r="G2017" i="4"/>
  <c r="L2016" i="4"/>
  <c r="L2015" i="4"/>
  <c r="L2014" i="4"/>
  <c r="L2013" i="4"/>
  <c r="L2012" i="4"/>
  <c r="L2011" i="4"/>
  <c r="L2010" i="4"/>
  <c r="L2009" i="4"/>
  <c r="L2008" i="4"/>
  <c r="F2008" i="4"/>
  <c r="F2009" i="4" s="1"/>
  <c r="F2010" i="4" s="1"/>
  <c r="F2011" i="4" s="1"/>
  <c r="F2012" i="4" s="1"/>
  <c r="F2013" i="4" s="1"/>
  <c r="F2014" i="4" s="1"/>
  <c r="F2015" i="4" s="1"/>
  <c r="F2016" i="4" s="1"/>
  <c r="F2017" i="4" s="1"/>
  <c r="E2008" i="4"/>
  <c r="E2009" i="4" s="1"/>
  <c r="E2010" i="4" s="1"/>
  <c r="E2011" i="4" s="1"/>
  <c r="E2012" i="4" s="1"/>
  <c r="E2013" i="4" s="1"/>
  <c r="E2014" i="4" s="1"/>
  <c r="E2015" i="4" s="1"/>
  <c r="E2016" i="4" s="1"/>
  <c r="E2017" i="4" s="1"/>
  <c r="L2007" i="4"/>
  <c r="E2007" i="4"/>
  <c r="L2006" i="4"/>
  <c r="L2005" i="4"/>
  <c r="G2005" i="4"/>
  <c r="L2004" i="4"/>
  <c r="L2003" i="4"/>
  <c r="L2002" i="4"/>
  <c r="L2001" i="4"/>
  <c r="L2000" i="4"/>
  <c r="L1999" i="4"/>
  <c r="L1998" i="4"/>
  <c r="L1997" i="4"/>
  <c r="L1996" i="4"/>
  <c r="F1996" i="4"/>
  <c r="F1997" i="4" s="1"/>
  <c r="F1998" i="4" s="1"/>
  <c r="F1999" i="4" s="1"/>
  <c r="F2000" i="4" s="1"/>
  <c r="F2001" i="4" s="1"/>
  <c r="F2002" i="4" s="1"/>
  <c r="F2003" i="4" s="1"/>
  <c r="F2004" i="4" s="1"/>
  <c r="F2005" i="4" s="1"/>
  <c r="E1996" i="4"/>
  <c r="E1997" i="4" s="1"/>
  <c r="E1998" i="4" s="1"/>
  <c r="E1999" i="4" s="1"/>
  <c r="E2000" i="4" s="1"/>
  <c r="E2001" i="4" s="1"/>
  <c r="E2002" i="4" s="1"/>
  <c r="E2003" i="4" s="1"/>
  <c r="E2004" i="4" s="1"/>
  <c r="E2005" i="4" s="1"/>
  <c r="L1995" i="4"/>
  <c r="E1995" i="4"/>
  <c r="L1994" i="4"/>
  <c r="L1993" i="4"/>
  <c r="G1993" i="4"/>
  <c r="L1992" i="4"/>
  <c r="L1991" i="4"/>
  <c r="L1990" i="4"/>
  <c r="L1989" i="4"/>
  <c r="L1988" i="4"/>
  <c r="L1987" i="4"/>
  <c r="L1986" i="4"/>
  <c r="L1985" i="4"/>
  <c r="L1984" i="4"/>
  <c r="F1984" i="4"/>
  <c r="F1985" i="4" s="1"/>
  <c r="F1986" i="4" s="1"/>
  <c r="F1987" i="4" s="1"/>
  <c r="F1988" i="4" s="1"/>
  <c r="F1989" i="4" s="1"/>
  <c r="F1990" i="4" s="1"/>
  <c r="F1991" i="4" s="1"/>
  <c r="F1992" i="4" s="1"/>
  <c r="F1993" i="4" s="1"/>
  <c r="E1984" i="4"/>
  <c r="E1985" i="4" s="1"/>
  <c r="E1986" i="4" s="1"/>
  <c r="E1987" i="4" s="1"/>
  <c r="E1988" i="4" s="1"/>
  <c r="E1989" i="4" s="1"/>
  <c r="E1990" i="4" s="1"/>
  <c r="E1991" i="4" s="1"/>
  <c r="E1992" i="4" s="1"/>
  <c r="E1993" i="4" s="1"/>
  <c r="L1983" i="4"/>
  <c r="E1983" i="4"/>
  <c r="L1982" i="4"/>
  <c r="L1981" i="4"/>
  <c r="G1981" i="4"/>
  <c r="L1980" i="4"/>
  <c r="L1979" i="4"/>
  <c r="L1978" i="4"/>
  <c r="L1977" i="4"/>
  <c r="L1976" i="4"/>
  <c r="L1975" i="4"/>
  <c r="L1974" i="4"/>
  <c r="L1973" i="4"/>
  <c r="L1972" i="4"/>
  <c r="F1972" i="4"/>
  <c r="F1973" i="4" s="1"/>
  <c r="F1974" i="4" s="1"/>
  <c r="F1975" i="4" s="1"/>
  <c r="F1976" i="4" s="1"/>
  <c r="F1977" i="4" s="1"/>
  <c r="F1978" i="4" s="1"/>
  <c r="F1979" i="4" s="1"/>
  <c r="F1980" i="4" s="1"/>
  <c r="F1981" i="4" s="1"/>
  <c r="E1972" i="4"/>
  <c r="E1973" i="4" s="1"/>
  <c r="E1974" i="4" s="1"/>
  <c r="E1975" i="4" s="1"/>
  <c r="E1976" i="4" s="1"/>
  <c r="E1977" i="4" s="1"/>
  <c r="E1978" i="4" s="1"/>
  <c r="E1979" i="4" s="1"/>
  <c r="E1980" i="4" s="1"/>
  <c r="E1981" i="4" s="1"/>
  <c r="L1971" i="4"/>
  <c r="E1971" i="4"/>
  <c r="L1970" i="4"/>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L36" i="15"/>
  <c r="K36" i="15"/>
  <c r="J36" i="15"/>
  <c r="I36" i="15"/>
  <c r="H36" i="15"/>
  <c r="G36" i="15"/>
  <c r="F36" i="15"/>
  <c r="E36" i="15"/>
  <c r="D36" i="15"/>
  <c r="C36"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L35" i="15"/>
  <c r="K35" i="15"/>
  <c r="J35" i="15"/>
  <c r="I35" i="15"/>
  <c r="H35" i="15"/>
  <c r="G35" i="15"/>
  <c r="F35" i="15"/>
  <c r="E35" i="15"/>
  <c r="D35" i="15"/>
  <c r="C35"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L34" i="15"/>
  <c r="K34" i="15"/>
  <c r="J34" i="15"/>
  <c r="I34" i="15"/>
  <c r="H34" i="15"/>
  <c r="G34" i="15"/>
  <c r="F34" i="15"/>
  <c r="E34" i="15"/>
  <c r="D34" i="15"/>
  <c r="C34"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L33" i="15"/>
  <c r="K33" i="15"/>
  <c r="J33" i="15"/>
  <c r="I33" i="15"/>
  <c r="H33" i="15"/>
  <c r="G33" i="15"/>
  <c r="F33" i="15"/>
  <c r="E33" i="15"/>
  <c r="D33" i="15"/>
  <c r="C33"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L32" i="15"/>
  <c r="K32" i="15"/>
  <c r="J32" i="15"/>
  <c r="I32" i="15"/>
  <c r="H32" i="15"/>
  <c r="G32" i="15"/>
  <c r="F32" i="15"/>
  <c r="E32" i="15"/>
  <c r="D32" i="15"/>
  <c r="C32"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L31" i="15"/>
  <c r="K31" i="15"/>
  <c r="J31" i="15"/>
  <c r="I31" i="15"/>
  <c r="H31" i="15"/>
  <c r="G31" i="15"/>
  <c r="F31" i="15"/>
  <c r="E31" i="15"/>
  <c r="D31" i="15"/>
  <c r="C31"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L30" i="15"/>
  <c r="K30" i="15"/>
  <c r="J30" i="15"/>
  <c r="I30" i="15"/>
  <c r="H30" i="15"/>
  <c r="G30" i="15"/>
  <c r="F30" i="15"/>
  <c r="E30" i="15"/>
  <c r="D30" i="15"/>
  <c r="C30"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L29" i="15"/>
  <c r="K29" i="15"/>
  <c r="J29" i="15"/>
  <c r="I29" i="15"/>
  <c r="H29" i="15"/>
  <c r="G29" i="15"/>
  <c r="F29" i="15"/>
  <c r="E29" i="15"/>
  <c r="D29" i="15"/>
  <c r="C29" i="15"/>
  <c r="AR28" i="15"/>
  <c r="AQ28" i="15"/>
  <c r="AP28" i="15"/>
  <c r="AO28" i="15"/>
  <c r="AN28" i="15"/>
  <c r="AM28" i="15"/>
  <c r="AL28" i="15"/>
  <c r="AK28" i="15"/>
  <c r="AJ28" i="15"/>
  <c r="AI28" i="15"/>
  <c r="AH28" i="15"/>
  <c r="AG28" i="15"/>
  <c r="AF28" i="15"/>
  <c r="AE28" i="15"/>
  <c r="AD28" i="15"/>
  <c r="AC28" i="15"/>
  <c r="AB28" i="15"/>
  <c r="AA28" i="15"/>
  <c r="Z28" i="15"/>
  <c r="Y28" i="15"/>
  <c r="X28" i="15"/>
  <c r="W28" i="15"/>
  <c r="V28" i="15"/>
  <c r="U28" i="15"/>
  <c r="T28" i="15"/>
  <c r="S28" i="15"/>
  <c r="R28" i="15"/>
  <c r="Q28" i="15"/>
  <c r="P28" i="15"/>
  <c r="O28" i="15"/>
  <c r="N28" i="15"/>
  <c r="M28" i="15"/>
  <c r="L28" i="15"/>
  <c r="K28" i="15"/>
  <c r="J28" i="15"/>
  <c r="I28" i="15"/>
  <c r="H28" i="15"/>
  <c r="G28" i="15"/>
  <c r="F28" i="15"/>
  <c r="E28" i="15"/>
  <c r="D28" i="15"/>
  <c r="C28" i="15"/>
  <c r="AR27" i="15"/>
  <c r="AQ27" i="15"/>
  <c r="AP27" i="15"/>
  <c r="AO27" i="15"/>
  <c r="AN27" i="15"/>
  <c r="AM27" i="15"/>
  <c r="AL27" i="15"/>
  <c r="AK27" i="15"/>
  <c r="AJ27" i="15"/>
  <c r="AI27" i="15"/>
  <c r="AH27" i="15"/>
  <c r="AG27" i="15"/>
  <c r="AF27" i="15"/>
  <c r="AE27" i="15"/>
  <c r="AD27" i="15"/>
  <c r="AC27" i="15"/>
  <c r="AB27" i="15"/>
  <c r="AA27" i="15"/>
  <c r="Z27" i="15"/>
  <c r="Y27" i="15"/>
  <c r="X27" i="15"/>
  <c r="W27" i="15"/>
  <c r="V27" i="15"/>
  <c r="U27" i="15"/>
  <c r="T27" i="15"/>
  <c r="S27" i="15"/>
  <c r="R27" i="15"/>
  <c r="Q27" i="15"/>
  <c r="P27" i="15"/>
  <c r="O27" i="15"/>
  <c r="N27" i="15"/>
  <c r="M27" i="15"/>
  <c r="L27" i="15"/>
  <c r="K27" i="15"/>
  <c r="J27" i="15"/>
  <c r="I27" i="15"/>
  <c r="H27" i="15"/>
  <c r="G27" i="15"/>
  <c r="F27" i="15"/>
  <c r="E27" i="15"/>
  <c r="D27" i="15"/>
  <c r="C27" i="15"/>
  <c r="AR26" i="15"/>
  <c r="AQ26" i="15"/>
  <c r="AP26" i="15"/>
  <c r="AO26" i="15"/>
  <c r="AN26" i="15"/>
  <c r="AM26" i="15"/>
  <c r="AL26" i="15"/>
  <c r="AK26" i="15"/>
  <c r="AJ26" i="15"/>
  <c r="AI26" i="15"/>
  <c r="AH26" i="15"/>
  <c r="AG26" i="15"/>
  <c r="AF26" i="15"/>
  <c r="AE26" i="15"/>
  <c r="AD26" i="15"/>
  <c r="AC26" i="15"/>
  <c r="AB26" i="15"/>
  <c r="AA26" i="15"/>
  <c r="Z26" i="15"/>
  <c r="Y26" i="15"/>
  <c r="X26" i="15"/>
  <c r="W26" i="15"/>
  <c r="V26" i="15"/>
  <c r="U26" i="15"/>
  <c r="T26" i="15"/>
  <c r="S26" i="15"/>
  <c r="R26" i="15"/>
  <c r="Q26" i="15"/>
  <c r="P26" i="15"/>
  <c r="O26" i="15"/>
  <c r="N26" i="15"/>
  <c r="M26" i="15"/>
  <c r="L26" i="15"/>
  <c r="K26" i="15"/>
  <c r="J26" i="15"/>
  <c r="I26" i="15"/>
  <c r="H26" i="15"/>
  <c r="G26" i="15"/>
  <c r="F26" i="15"/>
  <c r="E26" i="15"/>
  <c r="D26" i="15"/>
  <c r="C26"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L25" i="15"/>
  <c r="K25" i="15"/>
  <c r="J25" i="15"/>
  <c r="I25" i="15"/>
  <c r="H25" i="15"/>
  <c r="G25" i="15"/>
  <c r="F25" i="15"/>
  <c r="E25" i="15"/>
  <c r="D25" i="15"/>
  <c r="C25"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J24" i="15"/>
  <c r="I24" i="15"/>
  <c r="H24" i="15"/>
  <c r="G24" i="15"/>
  <c r="F24" i="15"/>
  <c r="E24" i="15"/>
  <c r="D24" i="15"/>
  <c r="C24" i="15"/>
  <c r="B36" i="15"/>
  <c r="B35" i="15"/>
  <c r="B34" i="15"/>
  <c r="B33" i="15"/>
  <c r="B32" i="15"/>
  <c r="B31" i="15"/>
  <c r="B30" i="15"/>
  <c r="B29" i="15"/>
  <c r="B28" i="15"/>
  <c r="B27" i="15"/>
  <c r="B26" i="15"/>
  <c r="B25" i="15"/>
  <c r="AT36" i="15"/>
  <c r="AS36" i="15"/>
  <c r="AT35" i="15"/>
  <c r="AS35" i="15"/>
  <c r="AT34" i="15"/>
  <c r="AS34" i="15"/>
  <c r="AT33" i="15"/>
  <c r="AS33" i="15"/>
  <c r="AT32" i="15"/>
  <c r="AS32" i="15"/>
  <c r="AT31" i="15"/>
  <c r="AS31" i="15"/>
  <c r="AT30" i="15"/>
  <c r="AS30" i="15"/>
  <c r="AT29" i="15"/>
  <c r="AS29" i="15"/>
  <c r="AT28" i="15"/>
  <c r="AS28" i="15"/>
  <c r="AT27" i="15"/>
  <c r="AS27" i="15"/>
  <c r="AT26" i="15"/>
  <c r="AS26" i="15"/>
  <c r="AT25" i="15"/>
  <c r="AS25" i="15"/>
  <c r="AT24" i="15"/>
  <c r="AS24" i="15"/>
  <c r="AX112" i="12"/>
  <c r="AX111" i="12"/>
  <c r="AX110" i="12"/>
  <c r="AX109" i="12"/>
  <c r="AX108" i="12"/>
  <c r="AX107" i="12"/>
  <c r="AX106" i="12"/>
  <c r="AX105" i="12"/>
  <c r="AX104" i="12"/>
  <c r="AX103" i="12"/>
  <c r="AX102" i="12"/>
  <c r="AX101" i="12"/>
  <c r="AV112" i="12"/>
  <c r="AV118" i="12" s="1"/>
  <c r="AU112" i="12"/>
  <c r="AU118" i="12" s="1"/>
  <c r="AT112" i="12"/>
  <c r="AT118" i="12" s="1"/>
  <c r="AV111" i="12"/>
  <c r="AU111" i="12"/>
  <c r="AT111" i="12"/>
  <c r="AV110" i="12"/>
  <c r="AU110" i="12"/>
  <c r="AT110" i="12"/>
  <c r="AV109" i="12"/>
  <c r="AU109" i="12"/>
  <c r="AT109" i="12"/>
  <c r="AV108" i="12"/>
  <c r="AU108" i="12"/>
  <c r="AT108" i="12"/>
  <c r="AV107" i="12"/>
  <c r="AU107" i="12"/>
  <c r="AT107" i="12"/>
  <c r="AV106" i="12"/>
  <c r="AU106" i="12"/>
  <c r="AT106" i="12"/>
  <c r="AV105" i="12"/>
  <c r="AU105" i="12"/>
  <c r="AT105" i="12"/>
  <c r="AV104" i="12"/>
  <c r="AU104" i="12"/>
  <c r="AT104" i="12"/>
  <c r="AV103" i="12"/>
  <c r="AU103" i="12"/>
  <c r="AT103" i="12"/>
  <c r="AV102" i="12"/>
  <c r="AU102" i="12"/>
  <c r="AU120" i="12" s="1"/>
  <c r="AT102" i="12"/>
  <c r="AV101" i="12"/>
  <c r="AU101" i="12"/>
  <c r="AT101" i="12"/>
  <c r="AR112" i="12"/>
  <c r="AQ112" i="12"/>
  <c r="AQ118" i="12" s="1"/>
  <c r="AP112" i="12"/>
  <c r="AP118" i="12" s="1"/>
  <c r="AR111" i="12"/>
  <c r="AQ111" i="12"/>
  <c r="AP111" i="12"/>
  <c r="AR110" i="12"/>
  <c r="AQ110" i="12"/>
  <c r="AP110" i="12"/>
  <c r="AR109" i="12"/>
  <c r="AQ109" i="12"/>
  <c r="AP109" i="12"/>
  <c r="AR108" i="12"/>
  <c r="AQ108" i="12"/>
  <c r="AP108" i="12"/>
  <c r="AR107" i="12"/>
  <c r="AQ107" i="12"/>
  <c r="AP107" i="12"/>
  <c r="AR106" i="12"/>
  <c r="AQ106" i="12"/>
  <c r="AP106" i="12"/>
  <c r="AR105" i="12"/>
  <c r="AQ105" i="12"/>
  <c r="AP105" i="12"/>
  <c r="AR104" i="12"/>
  <c r="AQ104" i="12"/>
  <c r="AP104" i="12"/>
  <c r="AR103" i="12"/>
  <c r="AQ103" i="12"/>
  <c r="AP103" i="12"/>
  <c r="AR102" i="12"/>
  <c r="AQ102" i="12"/>
  <c r="AP102" i="12"/>
  <c r="AR101" i="12"/>
  <c r="AR120" i="12" s="1"/>
  <c r="AQ101" i="12"/>
  <c r="AQ120" i="12" s="1"/>
  <c r="AP101" i="12"/>
  <c r="AP120" i="12" s="1"/>
  <c r="AN112" i="12"/>
  <c r="AN118" i="12" s="1"/>
  <c r="AM112" i="12"/>
  <c r="AM118" i="12" s="1"/>
  <c r="AL112" i="12"/>
  <c r="AL118" i="12" s="1"/>
  <c r="AN111" i="12"/>
  <c r="AM111" i="12"/>
  <c r="AL111" i="12"/>
  <c r="AN110" i="12"/>
  <c r="AM110" i="12"/>
  <c r="AL110" i="12"/>
  <c r="AN109" i="12"/>
  <c r="AM109" i="12"/>
  <c r="AL109" i="12"/>
  <c r="AN108" i="12"/>
  <c r="AM108" i="12"/>
  <c r="AL108" i="12"/>
  <c r="AN107" i="12"/>
  <c r="AM107" i="12"/>
  <c r="AL107" i="12"/>
  <c r="AN106" i="12"/>
  <c r="AN120" i="12" s="1"/>
  <c r="AM106" i="12"/>
  <c r="AM120" i="12" s="1"/>
  <c r="AL106" i="12"/>
  <c r="AN105" i="12"/>
  <c r="AM105" i="12"/>
  <c r="AL105" i="12"/>
  <c r="AN104" i="12"/>
  <c r="AM104" i="12"/>
  <c r="AL104" i="12"/>
  <c r="AN103" i="12"/>
  <c r="AM103" i="12"/>
  <c r="AL103" i="12"/>
  <c r="AN102" i="12"/>
  <c r="AM102" i="12"/>
  <c r="AL102" i="12"/>
  <c r="AN101" i="12"/>
  <c r="AM101" i="12"/>
  <c r="AL101" i="12"/>
  <c r="AJ112" i="12"/>
  <c r="AJ118" i="12" s="1"/>
  <c r="AI112" i="12"/>
  <c r="AI118" i="12" s="1"/>
  <c r="AH112" i="12"/>
  <c r="AH118" i="12" s="1"/>
  <c r="AJ111" i="12"/>
  <c r="AI111" i="12"/>
  <c r="AH111" i="12"/>
  <c r="AJ110" i="12"/>
  <c r="AI110" i="12"/>
  <c r="AH110" i="12"/>
  <c r="AJ109" i="12"/>
  <c r="AI109" i="12"/>
  <c r="AH109" i="12"/>
  <c r="AJ108" i="12"/>
  <c r="AI108" i="12"/>
  <c r="AH108" i="12"/>
  <c r="AJ107" i="12"/>
  <c r="AI107" i="12"/>
  <c r="AI120" i="12" s="1"/>
  <c r="AH107" i="12"/>
  <c r="AH120" i="12" s="1"/>
  <c r="AJ106" i="12"/>
  <c r="AI106" i="12"/>
  <c r="AH106" i="12"/>
  <c r="AJ105" i="12"/>
  <c r="AI105" i="12"/>
  <c r="AH105" i="12"/>
  <c r="AJ104" i="12"/>
  <c r="AI104" i="12"/>
  <c r="AH104" i="12"/>
  <c r="AJ103" i="12"/>
  <c r="AI103" i="12"/>
  <c r="AH103" i="12"/>
  <c r="AJ102" i="12"/>
  <c r="AI102" i="12"/>
  <c r="AH102" i="12"/>
  <c r="AJ101" i="12"/>
  <c r="AI101" i="12"/>
  <c r="AH101" i="12"/>
  <c r="AF112" i="12"/>
  <c r="AF118" i="12" s="1"/>
  <c r="AE112" i="12"/>
  <c r="AE118" i="12" s="1"/>
  <c r="AD112" i="12"/>
  <c r="AD118" i="12" s="1"/>
  <c r="AF111" i="12"/>
  <c r="AE111" i="12"/>
  <c r="AD111" i="12"/>
  <c r="AF110" i="12"/>
  <c r="AF120" i="12" s="1"/>
  <c r="AE110" i="12"/>
  <c r="AD110" i="12"/>
  <c r="AF109" i="12"/>
  <c r="AE109" i="12"/>
  <c r="AD109" i="12"/>
  <c r="AF108" i="12"/>
  <c r="AE108" i="12"/>
  <c r="AD108" i="12"/>
  <c r="AF107" i="12"/>
  <c r="AE107" i="12"/>
  <c r="AD107" i="12"/>
  <c r="AF106" i="12"/>
  <c r="AE106" i="12"/>
  <c r="AD106" i="12"/>
  <c r="AF105" i="12"/>
  <c r="AE105" i="12"/>
  <c r="AD105" i="12"/>
  <c r="AF104" i="12"/>
  <c r="AE104" i="12"/>
  <c r="AD104" i="12"/>
  <c r="AF103" i="12"/>
  <c r="AE103" i="12"/>
  <c r="AD103" i="12"/>
  <c r="AF102" i="12"/>
  <c r="AE102" i="12"/>
  <c r="AD102" i="12"/>
  <c r="AF101" i="12"/>
  <c r="AE101" i="12"/>
  <c r="AD101" i="12"/>
  <c r="AB112" i="12"/>
  <c r="AB118" i="12" s="1"/>
  <c r="AA112" i="12"/>
  <c r="AA118" i="12" s="1"/>
  <c r="Z112" i="12"/>
  <c r="Z118" i="12" s="1"/>
  <c r="AB111" i="12"/>
  <c r="AA111" i="12"/>
  <c r="Z111" i="12"/>
  <c r="AB110" i="12"/>
  <c r="AA110" i="12"/>
  <c r="Z110" i="12"/>
  <c r="AB109" i="12"/>
  <c r="AA109" i="12"/>
  <c r="Z109" i="12"/>
  <c r="AB108" i="12"/>
  <c r="AA108" i="12"/>
  <c r="Z108" i="12"/>
  <c r="AB107" i="12"/>
  <c r="AA107" i="12"/>
  <c r="Z107" i="12"/>
  <c r="AB106" i="12"/>
  <c r="AA106" i="12"/>
  <c r="Z106" i="12"/>
  <c r="AB105" i="12"/>
  <c r="AA105" i="12"/>
  <c r="Z105" i="12"/>
  <c r="AB104" i="12"/>
  <c r="AB120" i="12" s="1"/>
  <c r="AA104" i="12"/>
  <c r="AA120" i="12" s="1"/>
  <c r="Z104" i="12"/>
  <c r="AB103" i="12"/>
  <c r="AA103" i="12"/>
  <c r="Z103" i="12"/>
  <c r="AB102" i="12"/>
  <c r="AA102" i="12"/>
  <c r="Z102" i="12"/>
  <c r="AB101" i="12"/>
  <c r="AA101" i="12"/>
  <c r="Z101" i="12"/>
  <c r="X112" i="12"/>
  <c r="X118" i="12" s="1"/>
  <c r="W112" i="12"/>
  <c r="W118" i="12" s="1"/>
  <c r="V112" i="12"/>
  <c r="V118" i="12" s="1"/>
  <c r="X111" i="12"/>
  <c r="W111" i="12"/>
  <c r="V111" i="12"/>
  <c r="X110" i="12"/>
  <c r="W110" i="12"/>
  <c r="V110" i="12"/>
  <c r="X109" i="12"/>
  <c r="W109" i="12"/>
  <c r="V109" i="12"/>
  <c r="X108" i="12"/>
  <c r="W108" i="12"/>
  <c r="V108" i="12"/>
  <c r="X107" i="12"/>
  <c r="W107" i="12"/>
  <c r="V107" i="12"/>
  <c r="X106" i="12"/>
  <c r="W106" i="12"/>
  <c r="V106" i="12"/>
  <c r="X105" i="12"/>
  <c r="X120" i="12" s="1"/>
  <c r="W105" i="12"/>
  <c r="V105" i="12"/>
  <c r="V120" i="12" s="1"/>
  <c r="X104" i="12"/>
  <c r="W104" i="12"/>
  <c r="V104" i="12"/>
  <c r="X103" i="12"/>
  <c r="W103" i="12"/>
  <c r="V103" i="12"/>
  <c r="X102" i="12"/>
  <c r="W102" i="12"/>
  <c r="V102" i="12"/>
  <c r="X101" i="12"/>
  <c r="W101" i="12"/>
  <c r="V101" i="12"/>
  <c r="T112" i="12"/>
  <c r="T118" i="12" s="1"/>
  <c r="S112" i="12"/>
  <c r="S118" i="12" s="1"/>
  <c r="R112" i="12"/>
  <c r="T111" i="12"/>
  <c r="S111" i="12"/>
  <c r="R111" i="12"/>
  <c r="T110" i="12"/>
  <c r="S110" i="12"/>
  <c r="R110" i="12"/>
  <c r="T109" i="12"/>
  <c r="S109" i="12"/>
  <c r="R109" i="12"/>
  <c r="T108" i="12"/>
  <c r="T120" i="12" s="1"/>
  <c r="S108" i="12"/>
  <c r="S120" i="12" s="1"/>
  <c r="R108" i="12"/>
  <c r="R120" i="12" s="1"/>
  <c r="T107" i="12"/>
  <c r="S107" i="12"/>
  <c r="R107" i="12"/>
  <c r="T106" i="12"/>
  <c r="S106" i="12"/>
  <c r="R106" i="12"/>
  <c r="T105" i="12"/>
  <c r="S105" i="12"/>
  <c r="R105" i="12"/>
  <c r="T104" i="12"/>
  <c r="S104" i="12"/>
  <c r="R104" i="12"/>
  <c r="T103" i="12"/>
  <c r="S103" i="12"/>
  <c r="R103" i="12"/>
  <c r="T102" i="12"/>
  <c r="S102" i="12"/>
  <c r="R102" i="12"/>
  <c r="T101" i="12"/>
  <c r="S101" i="12"/>
  <c r="R101" i="12"/>
  <c r="P112" i="12"/>
  <c r="P118" i="12" s="1"/>
  <c r="O112" i="12"/>
  <c r="O118" i="12" s="1"/>
  <c r="N112" i="12"/>
  <c r="N118" i="12" s="1"/>
  <c r="P111" i="12"/>
  <c r="O111" i="12"/>
  <c r="N111" i="12"/>
  <c r="P110" i="12"/>
  <c r="O110" i="12"/>
  <c r="N110" i="12"/>
  <c r="P109" i="12"/>
  <c r="P120" i="12" s="1"/>
  <c r="O109" i="12"/>
  <c r="O120" i="12" s="1"/>
  <c r="N109" i="12"/>
  <c r="N120" i="12" s="1"/>
  <c r="P108" i="12"/>
  <c r="O108" i="12"/>
  <c r="N108" i="12"/>
  <c r="P107" i="12"/>
  <c r="O107" i="12"/>
  <c r="N107" i="12"/>
  <c r="P106" i="12"/>
  <c r="O106" i="12"/>
  <c r="N106" i="12"/>
  <c r="P105" i="12"/>
  <c r="O105" i="12"/>
  <c r="N105" i="12"/>
  <c r="P104" i="12"/>
  <c r="O104" i="12"/>
  <c r="N104" i="12"/>
  <c r="P103" i="12"/>
  <c r="O103" i="12"/>
  <c r="N103" i="12"/>
  <c r="P102" i="12"/>
  <c r="O102" i="12"/>
  <c r="N102" i="12"/>
  <c r="P101" i="12"/>
  <c r="O101" i="12"/>
  <c r="N101" i="12"/>
  <c r="L112" i="12"/>
  <c r="L118" i="12" s="1"/>
  <c r="K112" i="12"/>
  <c r="K118" i="12" s="1"/>
  <c r="J112" i="12"/>
  <c r="J118" i="12" s="1"/>
  <c r="L111" i="12"/>
  <c r="K111" i="12"/>
  <c r="J111" i="12"/>
  <c r="L110" i="12"/>
  <c r="K110" i="12"/>
  <c r="J110" i="12"/>
  <c r="L109" i="12"/>
  <c r="K109" i="12"/>
  <c r="J109" i="12"/>
  <c r="L108" i="12"/>
  <c r="K108" i="12"/>
  <c r="J108" i="12"/>
  <c r="L107" i="12"/>
  <c r="K107" i="12"/>
  <c r="J107" i="12"/>
  <c r="L106" i="12"/>
  <c r="K106" i="12"/>
  <c r="J106" i="12"/>
  <c r="L105" i="12"/>
  <c r="L120" i="12" s="1"/>
  <c r="K105" i="12"/>
  <c r="K120" i="12" s="1"/>
  <c r="J105" i="12"/>
  <c r="J120" i="12" s="1"/>
  <c r="L104" i="12"/>
  <c r="K104" i="12"/>
  <c r="J104" i="12"/>
  <c r="L103" i="12"/>
  <c r="K103" i="12"/>
  <c r="J103" i="12"/>
  <c r="L102" i="12"/>
  <c r="K102" i="12"/>
  <c r="J102" i="12"/>
  <c r="L101" i="12"/>
  <c r="K101" i="12"/>
  <c r="J101" i="12"/>
  <c r="H112" i="12"/>
  <c r="H118" i="12" s="1"/>
  <c r="G112" i="12"/>
  <c r="F112" i="12"/>
  <c r="F118" i="12" s="1"/>
  <c r="H111" i="12"/>
  <c r="H120" i="12" s="1"/>
  <c r="G111" i="12"/>
  <c r="G120" i="12" s="1"/>
  <c r="F111" i="12"/>
  <c r="F120" i="12" s="1"/>
  <c r="H110" i="12"/>
  <c r="G110" i="12"/>
  <c r="F110" i="12"/>
  <c r="H109" i="12"/>
  <c r="G109" i="12"/>
  <c r="F109" i="12"/>
  <c r="H108" i="12"/>
  <c r="G108" i="12"/>
  <c r="F108" i="12"/>
  <c r="H107" i="12"/>
  <c r="G107" i="12"/>
  <c r="F107" i="12"/>
  <c r="H106" i="12"/>
  <c r="G106" i="12"/>
  <c r="F106" i="12"/>
  <c r="H105" i="12"/>
  <c r="G105" i="12"/>
  <c r="F105" i="12"/>
  <c r="H104" i="12"/>
  <c r="G104" i="12"/>
  <c r="F104" i="12"/>
  <c r="H103" i="12"/>
  <c r="G103" i="12"/>
  <c r="F103" i="12"/>
  <c r="H102" i="12"/>
  <c r="G102" i="12"/>
  <c r="F102" i="12"/>
  <c r="H101" i="12"/>
  <c r="G101" i="12"/>
  <c r="F101" i="12"/>
  <c r="D112" i="12"/>
  <c r="D118" i="12" s="1"/>
  <c r="D119" i="12" s="1"/>
  <c r="C112" i="12"/>
  <c r="B112" i="12"/>
  <c r="B118" i="12" s="1"/>
  <c r="B119" i="12" s="1"/>
  <c r="D111" i="12"/>
  <c r="C111" i="12"/>
  <c r="B111" i="12"/>
  <c r="D110" i="12"/>
  <c r="C110" i="12"/>
  <c r="B110" i="12"/>
  <c r="D109" i="12"/>
  <c r="C109" i="12"/>
  <c r="B109" i="12"/>
  <c r="D108" i="12"/>
  <c r="C108" i="12"/>
  <c r="B108" i="12"/>
  <c r="D107" i="12"/>
  <c r="C107" i="12"/>
  <c r="B107" i="12"/>
  <c r="D106" i="12"/>
  <c r="C106" i="12"/>
  <c r="B106" i="12"/>
  <c r="D105" i="12"/>
  <c r="C105" i="12"/>
  <c r="B105" i="12"/>
  <c r="D104" i="12"/>
  <c r="C104" i="12"/>
  <c r="B104" i="12"/>
  <c r="D103" i="12"/>
  <c r="C103" i="12"/>
  <c r="B103" i="12"/>
  <c r="D102" i="12"/>
  <c r="C102" i="12"/>
  <c r="B102" i="12"/>
  <c r="D101" i="12"/>
  <c r="C101" i="12"/>
  <c r="B101" i="12"/>
  <c r="AX100" i="12"/>
  <c r="AV100" i="12"/>
  <c r="AV117" i="12" s="1"/>
  <c r="AU100" i="12"/>
  <c r="AU117" i="12" s="1"/>
  <c r="AT100" i="12"/>
  <c r="AT117" i="12" s="1"/>
  <c r="AR100" i="12"/>
  <c r="AR117" i="12" s="1"/>
  <c r="AQ100" i="12"/>
  <c r="AQ117" i="12" s="1"/>
  <c r="AP100" i="12"/>
  <c r="AP117" i="12" s="1"/>
  <c r="AN100" i="12"/>
  <c r="AN117" i="12" s="1"/>
  <c r="AM100" i="12"/>
  <c r="AM117" i="12" s="1"/>
  <c r="AL100" i="12"/>
  <c r="AL117" i="12" s="1"/>
  <c r="AJ100" i="12"/>
  <c r="AJ117" i="12" s="1"/>
  <c r="AI100" i="12"/>
  <c r="AI117" i="12" s="1"/>
  <c r="AH100" i="12"/>
  <c r="AH117" i="12" s="1"/>
  <c r="AF100" i="12"/>
  <c r="AF117" i="12" s="1"/>
  <c r="AE100" i="12"/>
  <c r="AE117" i="12" s="1"/>
  <c r="AD100" i="12"/>
  <c r="AD117" i="12" s="1"/>
  <c r="AB100" i="12"/>
  <c r="AB117" i="12" s="1"/>
  <c r="AA100" i="12"/>
  <c r="AA117" i="12" s="1"/>
  <c r="Z100" i="12"/>
  <c r="Z117" i="12" s="1"/>
  <c r="X100" i="12"/>
  <c r="X117" i="12" s="1"/>
  <c r="W100" i="12"/>
  <c r="W117" i="12" s="1"/>
  <c r="V100" i="12"/>
  <c r="V117" i="12" s="1"/>
  <c r="T100" i="12"/>
  <c r="T117" i="12" s="1"/>
  <c r="S100" i="12"/>
  <c r="S117" i="12" s="1"/>
  <c r="R100" i="12"/>
  <c r="R117" i="12" s="1"/>
  <c r="P100" i="12"/>
  <c r="P117" i="12" s="1"/>
  <c r="O100" i="12"/>
  <c r="O117" i="12" s="1"/>
  <c r="N100" i="12"/>
  <c r="N117" i="12" s="1"/>
  <c r="L100" i="12"/>
  <c r="K100" i="12"/>
  <c r="K117" i="12" s="1"/>
  <c r="J100" i="12"/>
  <c r="J117" i="12" s="1"/>
  <c r="H100" i="12"/>
  <c r="H117" i="12" s="1"/>
  <c r="G100" i="12"/>
  <c r="G117" i="12" s="1"/>
  <c r="F100" i="12"/>
  <c r="F117" i="12" s="1"/>
  <c r="D100" i="12"/>
  <c r="D117" i="12" s="1"/>
  <c r="C100" i="12"/>
  <c r="C117" i="12" s="1"/>
  <c r="L117" i="12"/>
  <c r="B100" i="12"/>
  <c r="B117" i="12" s="1"/>
  <c r="AV120" i="12"/>
  <c r="G118" i="12"/>
  <c r="AI16" i="10"/>
  <c r="AI22" i="10" s="1"/>
  <c r="AI23" i="10" s="1"/>
  <c r="AH16" i="10"/>
  <c r="AH22" i="10" s="1"/>
  <c r="AH23" i="10" s="1"/>
  <c r="AG16" i="10"/>
  <c r="AG22" i="10" s="1"/>
  <c r="AG23" i="10" s="1"/>
  <c r="AF16" i="10"/>
  <c r="AI15" i="10"/>
  <c r="AH15" i="10"/>
  <c r="AG15" i="10"/>
  <c r="AF15" i="10"/>
  <c r="AI14" i="10"/>
  <c r="AH14" i="10"/>
  <c r="AG14" i="10"/>
  <c r="AF14" i="10"/>
  <c r="AI13" i="10"/>
  <c r="AH13" i="10"/>
  <c r="AG13" i="10"/>
  <c r="AF13" i="10"/>
  <c r="AI12" i="10"/>
  <c r="AH12" i="10"/>
  <c r="AG12" i="10"/>
  <c r="AF12" i="10"/>
  <c r="AI11" i="10"/>
  <c r="AH11" i="10"/>
  <c r="AG11" i="10"/>
  <c r="AF11" i="10"/>
  <c r="AI10" i="10"/>
  <c r="AH10" i="10"/>
  <c r="AG10" i="10"/>
  <c r="AI9" i="10"/>
  <c r="AH9" i="10"/>
  <c r="AG9" i="10"/>
  <c r="AF9" i="10"/>
  <c r="AI8" i="10"/>
  <c r="AH8" i="10"/>
  <c r="AG8" i="10"/>
  <c r="AF8" i="10"/>
  <c r="AI7" i="10"/>
  <c r="AH7" i="10"/>
  <c r="AG7" i="10"/>
  <c r="AF7" i="10"/>
  <c r="AI6" i="10"/>
  <c r="AH6" i="10"/>
  <c r="AG6" i="10"/>
  <c r="AF6" i="10"/>
  <c r="AI5" i="10"/>
  <c r="AH5" i="10"/>
  <c r="AG5" i="10"/>
  <c r="AF5" i="10"/>
  <c r="AI4" i="10"/>
  <c r="AI21" i="10" s="1"/>
  <c r="AH4" i="10"/>
  <c r="AH21" i="10" s="1"/>
  <c r="AG4" i="10"/>
  <c r="AG21" i="10" s="1"/>
  <c r="K1960" i="4"/>
  <c r="M2200" i="4" l="1"/>
  <c r="M2270" i="4"/>
  <c r="F2306" i="4"/>
  <c r="F2307" i="4" s="1"/>
  <c r="M2314" i="4"/>
  <c r="M2281" i="4"/>
  <c r="M2198" i="4"/>
  <c r="M2216" i="4"/>
  <c r="M2205" i="4"/>
  <c r="M2212" i="4"/>
  <c r="M2274" i="4"/>
  <c r="M2317" i="4"/>
  <c r="M2311" i="4"/>
  <c r="M2209" i="4"/>
  <c r="M2215" i="4"/>
  <c r="M2211" i="4"/>
  <c r="M2313" i="4"/>
  <c r="M2306" i="4"/>
  <c r="F2198" i="4"/>
  <c r="F2199" i="4" s="1"/>
  <c r="M2208" i="4"/>
  <c r="M2214" i="4"/>
  <c r="M2213" i="4"/>
  <c r="M2312" i="4"/>
  <c r="M2308" i="4"/>
  <c r="M2293" i="4"/>
  <c r="F2210" i="4"/>
  <c r="F2211" i="4" s="1"/>
  <c r="M2206" i="4"/>
  <c r="M2201" i="4"/>
  <c r="M2221" i="4"/>
  <c r="M2309" i="4"/>
  <c r="M2345" i="4"/>
  <c r="M2203" i="4"/>
  <c r="M2199" i="4"/>
  <c r="M2220" i="4"/>
  <c r="M2307" i="4"/>
  <c r="M2202" i="4"/>
  <c r="M2277" i="4"/>
  <c r="M2287" i="4"/>
  <c r="M2284" i="4"/>
  <c r="M2351" i="4"/>
  <c r="M2361" i="4"/>
  <c r="M2356" i="4"/>
  <c r="M2070" i="4"/>
  <c r="F2186" i="4"/>
  <c r="F2187" i="4" s="1"/>
  <c r="M2197" i="4"/>
  <c r="M2191" i="4"/>
  <c r="M2276" i="4"/>
  <c r="F2342" i="4"/>
  <c r="F2343" i="4" s="1"/>
  <c r="M2286" i="4"/>
  <c r="M2282" i="4"/>
  <c r="M2350" i="4"/>
  <c r="M2360" i="4"/>
  <c r="M2354" i="4"/>
  <c r="M2196" i="4"/>
  <c r="M2190" i="4"/>
  <c r="M2273" i="4"/>
  <c r="F2354" i="4"/>
  <c r="F2355" i="4" s="1"/>
  <c r="M2289" i="4"/>
  <c r="M2353" i="4"/>
  <c r="M2347" i="4"/>
  <c r="M2357" i="4"/>
  <c r="M2301" i="4"/>
  <c r="M2193" i="4"/>
  <c r="M2188" i="4"/>
  <c r="M2288" i="4"/>
  <c r="M2352" i="4"/>
  <c r="M2344" i="4"/>
  <c r="M2355" i="4"/>
  <c r="M2025" i="4"/>
  <c r="M2192" i="4"/>
  <c r="M2186" i="4"/>
  <c r="M2280" i="4"/>
  <c r="M2285" i="4"/>
  <c r="M2349" i="4"/>
  <c r="M2346" i="4"/>
  <c r="M2363" i="4"/>
  <c r="M2189" i="4"/>
  <c r="M2275" i="4"/>
  <c r="M2272" i="4"/>
  <c r="M2283" i="4"/>
  <c r="M2348" i="4"/>
  <c r="M2342" i="4"/>
  <c r="M2362" i="4"/>
  <c r="M2291" i="4"/>
  <c r="M2365" i="4"/>
  <c r="AW162" i="12"/>
  <c r="AG162" i="12"/>
  <c r="E162" i="12"/>
  <c r="Q103" i="12"/>
  <c r="AK104" i="12"/>
  <c r="Y162" i="12"/>
  <c r="M2279" i="4"/>
  <c r="AC162" i="12"/>
  <c r="AK162" i="12"/>
  <c r="U162" i="12"/>
  <c r="AO162" i="12"/>
  <c r="M162" i="12"/>
  <c r="Q162" i="12"/>
  <c r="I162" i="12"/>
  <c r="AS162" i="12"/>
  <c r="J37" i="15"/>
  <c r="AR118" i="12"/>
  <c r="AR119" i="12" s="1"/>
  <c r="AS112" i="12"/>
  <c r="E107" i="12"/>
  <c r="AW103" i="12"/>
  <c r="K37" i="15"/>
  <c r="AI37" i="15"/>
  <c r="Q37" i="15"/>
  <c r="AG37" i="15"/>
  <c r="W37" i="15"/>
  <c r="E37" i="15"/>
  <c r="M2018" i="4"/>
  <c r="Y106" i="12"/>
  <c r="C37" i="15"/>
  <c r="S37" i="15"/>
  <c r="AQ37" i="15"/>
  <c r="AO37" i="15"/>
  <c r="O37" i="15"/>
  <c r="AM37" i="15"/>
  <c r="U111" i="12"/>
  <c r="AS37" i="15"/>
  <c r="AA37" i="15"/>
  <c r="I37" i="15"/>
  <c r="Y37" i="15"/>
  <c r="G37" i="15"/>
  <c r="AE37" i="15"/>
  <c r="AK37" i="15"/>
  <c r="M2123" i="4"/>
  <c r="M2121" i="4"/>
  <c r="M2115" i="4"/>
  <c r="M2117" i="4"/>
  <c r="M2119" i="4"/>
  <c r="M2116" i="4"/>
  <c r="M2124" i="4"/>
  <c r="M2120" i="4"/>
  <c r="M2118" i="4"/>
  <c r="M2122" i="4"/>
  <c r="M2114" i="4"/>
  <c r="I107" i="12"/>
  <c r="M103" i="12"/>
  <c r="M106" i="12"/>
  <c r="M111" i="12"/>
  <c r="U103" i="12"/>
  <c r="U106" i="12"/>
  <c r="AC103" i="12"/>
  <c r="AC106" i="12"/>
  <c r="AC111" i="12"/>
  <c r="AK106" i="12"/>
  <c r="AK111" i="12"/>
  <c r="AO107" i="12"/>
  <c r="AS111" i="12"/>
  <c r="AW102" i="12"/>
  <c r="AW107" i="12"/>
  <c r="AT37" i="15"/>
  <c r="F2126" i="4"/>
  <c r="F2127" i="4" s="1"/>
  <c r="I103" i="12"/>
  <c r="Y103" i="12"/>
  <c r="AG111" i="12"/>
  <c r="AS107" i="12"/>
  <c r="AG103" i="12"/>
  <c r="AK107" i="12"/>
  <c r="M2029" i="4"/>
  <c r="M2071" i="4"/>
  <c r="M2125" i="4"/>
  <c r="M2068" i="4"/>
  <c r="M2271" i="4"/>
  <c r="M2066" i="4"/>
  <c r="M2079" i="4"/>
  <c r="M104" i="12"/>
  <c r="M109" i="12"/>
  <c r="U112" i="12"/>
  <c r="AC104" i="12"/>
  <c r="AG108" i="12"/>
  <c r="AK112" i="12"/>
  <c r="Z120" i="12"/>
  <c r="M2128" i="4"/>
  <c r="M2129" i="4"/>
  <c r="M2131" i="4"/>
  <c r="M2132" i="4"/>
  <c r="M2134" i="4"/>
  <c r="M2136" i="4"/>
  <c r="M2137" i="4"/>
  <c r="M2126" i="4"/>
  <c r="M2127" i="4"/>
  <c r="M2130" i="4"/>
  <c r="M2133" i="4"/>
  <c r="M2135" i="4"/>
  <c r="F2078" i="4"/>
  <c r="F2079" i="4" s="1"/>
  <c r="M2082" i="4"/>
  <c r="M2083" i="4"/>
  <c r="M2085" i="4"/>
  <c r="M2088" i="4"/>
  <c r="M2089" i="4"/>
  <c r="M2078" i="4"/>
  <c r="M2081" i="4"/>
  <c r="M2084" i="4"/>
  <c r="M2086" i="4"/>
  <c r="M2087" i="4"/>
  <c r="M2069" i="4"/>
  <c r="M2074" i="4"/>
  <c r="M2067" i="4"/>
  <c r="M2073" i="4"/>
  <c r="M2076" i="4"/>
  <c r="M2077" i="4"/>
  <c r="M2072" i="4"/>
  <c r="M2075" i="4"/>
  <c r="M2054" i="4"/>
  <c r="M2058" i="4"/>
  <c r="M2059" i="4"/>
  <c r="M2060" i="4"/>
  <c r="M2062" i="4"/>
  <c r="M2063" i="4"/>
  <c r="M2065" i="4"/>
  <c r="M2055" i="4"/>
  <c r="F2054" i="4"/>
  <c r="F2055" i="4" s="1"/>
  <c r="M2057" i="4"/>
  <c r="M2061" i="4"/>
  <c r="M2064" i="4"/>
  <c r="M2042" i="4"/>
  <c r="M2045" i="4"/>
  <c r="F2042" i="4"/>
  <c r="F2043" i="4" s="1"/>
  <c r="M2048" i="4"/>
  <c r="M2049" i="4"/>
  <c r="M2050" i="4"/>
  <c r="M2052" i="4"/>
  <c r="M2043" i="4"/>
  <c r="M2044" i="4"/>
  <c r="M2047" i="4"/>
  <c r="M2051" i="4"/>
  <c r="M2053" i="4"/>
  <c r="F2030" i="4"/>
  <c r="F2031" i="4" s="1"/>
  <c r="M2030" i="4"/>
  <c r="M2032" i="4"/>
  <c r="M2034" i="4"/>
  <c r="M2036" i="4"/>
  <c r="M2038" i="4"/>
  <c r="M2039" i="4"/>
  <c r="M2041" i="4"/>
  <c r="M2033" i="4"/>
  <c r="M2035" i="4"/>
  <c r="M2037" i="4"/>
  <c r="M2040" i="4"/>
  <c r="M2019" i="4"/>
  <c r="F2018" i="4"/>
  <c r="F2019" i="4" s="1"/>
  <c r="M2021" i="4"/>
  <c r="M2022" i="4"/>
  <c r="M2023" i="4"/>
  <c r="M2024" i="4"/>
  <c r="M2026" i="4"/>
  <c r="M2027" i="4"/>
  <c r="M2028" i="4"/>
  <c r="M2007" i="4"/>
  <c r="F2006" i="4"/>
  <c r="F2007" i="4" s="1"/>
  <c r="M2006" i="4"/>
  <c r="M2009" i="4"/>
  <c r="M2010" i="4"/>
  <c r="M2011" i="4"/>
  <c r="M2012" i="4"/>
  <c r="M2016" i="4"/>
  <c r="M2013" i="4"/>
  <c r="M2014" i="4"/>
  <c r="M2015" i="4"/>
  <c r="M2017" i="4"/>
  <c r="M1994" i="4"/>
  <c r="M1998" i="4"/>
  <c r="M1999" i="4"/>
  <c r="M2000" i="4"/>
  <c r="M2002" i="4"/>
  <c r="M2003" i="4"/>
  <c r="M1995" i="4"/>
  <c r="F1994" i="4"/>
  <c r="F1995" i="4" s="1"/>
  <c r="M1997" i="4"/>
  <c r="M2001" i="4"/>
  <c r="M2004" i="4"/>
  <c r="M2005" i="4"/>
  <c r="M1982" i="4"/>
  <c r="M1986" i="4"/>
  <c r="M1987" i="4"/>
  <c r="M1988" i="4"/>
  <c r="M1990" i="4"/>
  <c r="M1991" i="4"/>
  <c r="M1993" i="4"/>
  <c r="M1983" i="4"/>
  <c r="F1982" i="4"/>
  <c r="F1983" i="4" s="1"/>
  <c r="M1985" i="4"/>
  <c r="M1989" i="4"/>
  <c r="M1992" i="4"/>
  <c r="M1971" i="4"/>
  <c r="M1976" i="4"/>
  <c r="M1978" i="4"/>
  <c r="M1970" i="4"/>
  <c r="M1980" i="4"/>
  <c r="M2080" i="4"/>
  <c r="F2066" i="4"/>
  <c r="F2067" i="4" s="1"/>
  <c r="M2056" i="4"/>
  <c r="M2046" i="4"/>
  <c r="M2031" i="4"/>
  <c r="M2020" i="4"/>
  <c r="M2008" i="4"/>
  <c r="M1996" i="4"/>
  <c r="M1984" i="4"/>
  <c r="M1974" i="4"/>
  <c r="M1973" i="4"/>
  <c r="M1972" i="4"/>
  <c r="F1970" i="4"/>
  <c r="F1971" i="4" s="1"/>
  <c r="M1979" i="4"/>
  <c r="M1975" i="4"/>
  <c r="M1977" i="4"/>
  <c r="M1981" i="4"/>
  <c r="AK103" i="12"/>
  <c r="I104" i="12"/>
  <c r="AC108" i="12"/>
  <c r="AD113" i="12"/>
  <c r="AO104" i="12"/>
  <c r="E102" i="12"/>
  <c r="E110" i="12"/>
  <c r="I106" i="12"/>
  <c r="M102" i="12"/>
  <c r="M110" i="12"/>
  <c r="U102" i="12"/>
  <c r="U110" i="12"/>
  <c r="AC110" i="12"/>
  <c r="AG106" i="12"/>
  <c r="AK102" i="12"/>
  <c r="M37" i="15"/>
  <c r="U37" i="15"/>
  <c r="AC112" i="12"/>
  <c r="AC109" i="12"/>
  <c r="AK109" i="12"/>
  <c r="D37" i="15"/>
  <c r="L37" i="15"/>
  <c r="T37" i="15"/>
  <c r="AB37" i="15"/>
  <c r="AJ37" i="15"/>
  <c r="AR37" i="15"/>
  <c r="R37" i="15"/>
  <c r="Z37" i="15"/>
  <c r="AH37" i="15"/>
  <c r="AP37" i="15"/>
  <c r="V37" i="15"/>
  <c r="AD37" i="15"/>
  <c r="AL37" i="15"/>
  <c r="M112" i="12"/>
  <c r="P119" i="12"/>
  <c r="AC37" i="15"/>
  <c r="R118" i="12"/>
  <c r="R119" i="12" s="1"/>
  <c r="I101" i="12"/>
  <c r="I109" i="12"/>
  <c r="Y101" i="12"/>
  <c r="Y109" i="12"/>
  <c r="AG101" i="12"/>
  <c r="AG109" i="12"/>
  <c r="AK105" i="12"/>
  <c r="H37" i="15"/>
  <c r="X37" i="15"/>
  <c r="E106" i="12"/>
  <c r="I110" i="12"/>
  <c r="AG110" i="12"/>
  <c r="N37" i="15"/>
  <c r="E104" i="12"/>
  <c r="E109" i="12"/>
  <c r="E112" i="12"/>
  <c r="I108" i="12"/>
  <c r="Q108" i="12"/>
  <c r="U104" i="12"/>
  <c r="U109" i="12"/>
  <c r="Y108" i="12"/>
  <c r="AO108" i="12"/>
  <c r="AW108" i="12"/>
  <c r="E111" i="12"/>
  <c r="Y110" i="12"/>
  <c r="AO110" i="12"/>
  <c r="F37" i="15"/>
  <c r="AE120" i="12"/>
  <c r="AE119" i="12" s="1"/>
  <c r="E103" i="12"/>
  <c r="L113" i="12"/>
  <c r="P113" i="12"/>
  <c r="R113" i="12"/>
  <c r="AA113" i="12"/>
  <c r="Z113" i="12"/>
  <c r="AB113" i="12"/>
  <c r="AK110" i="12"/>
  <c r="AO101" i="12"/>
  <c r="AO109" i="12"/>
  <c r="AS102" i="12"/>
  <c r="AS105" i="12"/>
  <c r="AW106" i="12"/>
  <c r="AX113" i="12"/>
  <c r="P37" i="15"/>
  <c r="AF37" i="15"/>
  <c r="AN37" i="15"/>
  <c r="Q107" i="12"/>
  <c r="Y107" i="12"/>
  <c r="AO102" i="12"/>
  <c r="E108" i="12"/>
  <c r="M108" i="12"/>
  <c r="Q104" i="12"/>
  <c r="Y104" i="12"/>
  <c r="AG104" i="12"/>
  <c r="AK108" i="12"/>
  <c r="AS108" i="12"/>
  <c r="I102" i="12"/>
  <c r="AG107" i="12"/>
  <c r="AS103" i="12"/>
  <c r="B37" i="15"/>
  <c r="F119" i="12"/>
  <c r="Q109" i="12"/>
  <c r="AW101" i="12"/>
  <c r="AW109" i="12"/>
  <c r="AH113" i="12"/>
  <c r="C118" i="12"/>
  <c r="C119" i="12" s="1"/>
  <c r="O113" i="12"/>
  <c r="AL113" i="12"/>
  <c r="U105" i="12"/>
  <c r="I111" i="12"/>
  <c r="AF119" i="12"/>
  <c r="Q102" i="12"/>
  <c r="Q110" i="12"/>
  <c r="AW104" i="12"/>
  <c r="AW110" i="12"/>
  <c r="AV119" i="12"/>
  <c r="AO106" i="12"/>
  <c r="F113" i="12"/>
  <c r="H113" i="12"/>
  <c r="W113" i="12"/>
  <c r="AE113" i="12"/>
  <c r="AS104" i="12"/>
  <c r="AS106" i="12"/>
  <c r="AS109" i="12"/>
  <c r="N119" i="12"/>
  <c r="S113" i="12"/>
  <c r="D113" i="12"/>
  <c r="M107" i="12"/>
  <c r="N113" i="12"/>
  <c r="Q111" i="12"/>
  <c r="T113" i="12"/>
  <c r="U107" i="12"/>
  <c r="X113" i="12"/>
  <c r="Y111" i="12"/>
  <c r="AO103" i="12"/>
  <c r="AN113" i="12"/>
  <c r="AO111" i="12"/>
  <c r="AW111" i="12"/>
  <c r="Q106" i="12"/>
  <c r="H119" i="12"/>
  <c r="AS110" i="12"/>
  <c r="AT113" i="12"/>
  <c r="AU113" i="12"/>
  <c r="AM113" i="12"/>
  <c r="AI113" i="12"/>
  <c r="AJ113" i="12"/>
  <c r="AH119" i="12"/>
  <c r="AJ120" i="12"/>
  <c r="AJ119" i="12" s="1"/>
  <c r="AF113" i="12"/>
  <c r="AG102" i="12"/>
  <c r="AC105" i="12"/>
  <c r="AC102" i="12"/>
  <c r="AC107" i="12"/>
  <c r="AA119" i="12"/>
  <c r="V113" i="12"/>
  <c r="Y102" i="12"/>
  <c r="Q101" i="12"/>
  <c r="J113" i="12"/>
  <c r="K113" i="12"/>
  <c r="M105" i="12"/>
  <c r="I105" i="12"/>
  <c r="E105" i="12"/>
  <c r="C113" i="12"/>
  <c r="B113" i="12"/>
  <c r="AB119" i="12"/>
  <c r="AP119" i="12"/>
  <c r="K119" i="12"/>
  <c r="AU119" i="12"/>
  <c r="J119" i="12"/>
  <c r="AM119" i="12"/>
  <c r="L119" i="12"/>
  <c r="V119" i="12"/>
  <c r="AN119" i="12"/>
  <c r="S119" i="12"/>
  <c r="T119" i="12"/>
  <c r="O119" i="12"/>
  <c r="X119" i="12"/>
  <c r="AQ119" i="12"/>
  <c r="G119" i="12"/>
  <c r="Z119" i="12"/>
  <c r="AI119" i="12"/>
  <c r="G113" i="12"/>
  <c r="U108" i="12"/>
  <c r="I112" i="12"/>
  <c r="Q112" i="12"/>
  <c r="Y112" i="12"/>
  <c r="AG112" i="12"/>
  <c r="AO112" i="12"/>
  <c r="AW112" i="12"/>
  <c r="AV113" i="12"/>
  <c r="AL120" i="12"/>
  <c r="AL119" i="12" s="1"/>
  <c r="E101" i="12"/>
  <c r="M101" i="12"/>
  <c r="U101" i="12"/>
  <c r="AC101" i="12"/>
  <c r="AK101" i="12"/>
  <c r="AS101" i="12"/>
  <c r="Q105" i="12"/>
  <c r="Y105" i="12"/>
  <c r="AG105" i="12"/>
  <c r="AO105" i="12"/>
  <c r="AW105" i="12"/>
  <c r="AD120" i="12"/>
  <c r="AD119" i="12" s="1"/>
  <c r="AP113" i="12"/>
  <c r="AQ113" i="12"/>
  <c r="AR113" i="12"/>
  <c r="W120" i="12"/>
  <c r="W119" i="12" s="1"/>
  <c r="AT120" i="12"/>
  <c r="AT119" i="12" s="1"/>
  <c r="AI17" i="10"/>
  <c r="AG17" i="10"/>
  <c r="AH17" i="10"/>
  <c r="E113" i="12" l="1"/>
  <c r="AS113" i="12"/>
  <c r="AK113" i="12"/>
  <c r="U113" i="12"/>
  <c r="Y113" i="12"/>
  <c r="I113" i="12"/>
  <c r="AC113" i="12"/>
  <c r="AG113" i="12"/>
  <c r="AW113" i="12"/>
  <c r="AO113" i="12"/>
  <c r="M113" i="12"/>
  <c r="Q113" i="12"/>
  <c r="K1969" i="4"/>
  <c r="J1969" i="4"/>
  <c r="J1960" i="4"/>
  <c r="K1968" i="4"/>
  <c r="J1968" i="4"/>
  <c r="E1958" i="4"/>
  <c r="E1959" i="4" s="1"/>
  <c r="K1947" i="4"/>
  <c r="J1947" i="4"/>
  <c r="K1956" i="4"/>
  <c r="J1956" i="4"/>
  <c r="K1955" i="4"/>
  <c r="J1955" i="4"/>
  <c r="E1946" i="4"/>
  <c r="E1947" i="4" s="1"/>
  <c r="E1934" i="4"/>
  <c r="K1943" i="4"/>
  <c r="J1943" i="4"/>
  <c r="L1943" i="4" s="1"/>
  <c r="K1941" i="4"/>
  <c r="L1941" i="4" s="1"/>
  <c r="J1928" i="4"/>
  <c r="L1928" i="4" s="1"/>
  <c r="K1931" i="4"/>
  <c r="J1931" i="4"/>
  <c r="K1929" i="4"/>
  <c r="J1929" i="4"/>
  <c r="J1933" i="4"/>
  <c r="K1933" i="4"/>
  <c r="E1922" i="4"/>
  <c r="E1923" i="4" s="1"/>
  <c r="K1911" i="4"/>
  <c r="J1911" i="4"/>
  <c r="E1910" i="4"/>
  <c r="E1911" i="4" s="1"/>
  <c r="E1898" i="4"/>
  <c r="K1907" i="4"/>
  <c r="J1907" i="4"/>
  <c r="L1907" i="4" s="1"/>
  <c r="K1902" i="4"/>
  <c r="J1902" i="4"/>
  <c r="K1895" i="4"/>
  <c r="J1895" i="4"/>
  <c r="E1886" i="4"/>
  <c r="E1887" i="4" s="1"/>
  <c r="K1881" i="4"/>
  <c r="J1881" i="4"/>
  <c r="K1883" i="4"/>
  <c r="J1883" i="4"/>
  <c r="E1874" i="4"/>
  <c r="E1875" i="4" s="1"/>
  <c r="E1850" i="4"/>
  <c r="E1851" i="4" s="1"/>
  <c r="G1969" i="4"/>
  <c r="L1967" i="4"/>
  <c r="L1966" i="4"/>
  <c r="L1965" i="4"/>
  <c r="L1964" i="4"/>
  <c r="L1963" i="4"/>
  <c r="L1962" i="4"/>
  <c r="L1961" i="4"/>
  <c r="F1960" i="4"/>
  <c r="F1961" i="4" s="1"/>
  <c r="F1962" i="4" s="1"/>
  <c r="F1963" i="4" s="1"/>
  <c r="F1964" i="4" s="1"/>
  <c r="F1965" i="4" s="1"/>
  <c r="F1966" i="4" s="1"/>
  <c r="F1967" i="4" s="1"/>
  <c r="F1968" i="4" s="1"/>
  <c r="F1969" i="4" s="1"/>
  <c r="E1960" i="4"/>
  <c r="E1961" i="4" s="1"/>
  <c r="E1962" i="4" s="1"/>
  <c r="E1963" i="4" s="1"/>
  <c r="E1964" i="4" s="1"/>
  <c r="E1965" i="4" s="1"/>
  <c r="E1966" i="4" s="1"/>
  <c r="E1967" i="4" s="1"/>
  <c r="E1968" i="4" s="1"/>
  <c r="E1969" i="4" s="1"/>
  <c r="L1959" i="4"/>
  <c r="L1958" i="4"/>
  <c r="L1957" i="4"/>
  <c r="G1957" i="4"/>
  <c r="L1954" i="4"/>
  <c r="L1953" i="4"/>
  <c r="L1952" i="4"/>
  <c r="L1951" i="4"/>
  <c r="L1950" i="4"/>
  <c r="L1949" i="4"/>
  <c r="L1948" i="4"/>
  <c r="F1948" i="4"/>
  <c r="F1949" i="4" s="1"/>
  <c r="F1950" i="4" s="1"/>
  <c r="F1951" i="4" s="1"/>
  <c r="F1952" i="4" s="1"/>
  <c r="F1953" i="4" s="1"/>
  <c r="F1954" i="4" s="1"/>
  <c r="F1955" i="4" s="1"/>
  <c r="F1956" i="4" s="1"/>
  <c r="F1957" i="4" s="1"/>
  <c r="E1948" i="4"/>
  <c r="E1949" i="4" s="1"/>
  <c r="E1950" i="4" s="1"/>
  <c r="E1951" i="4" s="1"/>
  <c r="E1952" i="4" s="1"/>
  <c r="E1953" i="4" s="1"/>
  <c r="E1954" i="4" s="1"/>
  <c r="E1955" i="4" s="1"/>
  <c r="E1956" i="4" s="1"/>
  <c r="E1957" i="4" s="1"/>
  <c r="L1946" i="4"/>
  <c r="L1945" i="4"/>
  <c r="G1945" i="4"/>
  <c r="L1944" i="4"/>
  <c r="L1942" i="4"/>
  <c r="L1940" i="4"/>
  <c r="L1939" i="4"/>
  <c r="L1938" i="4"/>
  <c r="L1937" i="4"/>
  <c r="L1936" i="4"/>
  <c r="F1936" i="4"/>
  <c r="F1937" i="4" s="1"/>
  <c r="F1938" i="4" s="1"/>
  <c r="F1939" i="4" s="1"/>
  <c r="F1940" i="4" s="1"/>
  <c r="F1941" i="4" s="1"/>
  <c r="F1942" i="4" s="1"/>
  <c r="F1943" i="4" s="1"/>
  <c r="F1944" i="4" s="1"/>
  <c r="F1945" i="4" s="1"/>
  <c r="E1936" i="4"/>
  <c r="E1937" i="4" s="1"/>
  <c r="E1938" i="4" s="1"/>
  <c r="E1939" i="4" s="1"/>
  <c r="E1940" i="4" s="1"/>
  <c r="E1941" i="4" s="1"/>
  <c r="E1942" i="4" s="1"/>
  <c r="E1943" i="4" s="1"/>
  <c r="E1944" i="4" s="1"/>
  <c r="E1945" i="4" s="1"/>
  <c r="L1935" i="4"/>
  <c r="E1935" i="4"/>
  <c r="L1934" i="4"/>
  <c r="G1933" i="4"/>
  <c r="L1932" i="4"/>
  <c r="L1930" i="4"/>
  <c r="L1929" i="4"/>
  <c r="L1927" i="4"/>
  <c r="L1926" i="4"/>
  <c r="L1925" i="4"/>
  <c r="L1924" i="4"/>
  <c r="F1924" i="4"/>
  <c r="F1925" i="4" s="1"/>
  <c r="F1926" i="4" s="1"/>
  <c r="F1927" i="4" s="1"/>
  <c r="F1928" i="4" s="1"/>
  <c r="F1929" i="4" s="1"/>
  <c r="F1930" i="4" s="1"/>
  <c r="F1931" i="4" s="1"/>
  <c r="F1932" i="4" s="1"/>
  <c r="F1933" i="4" s="1"/>
  <c r="E1924" i="4"/>
  <c r="E1925" i="4" s="1"/>
  <c r="E1926" i="4" s="1"/>
  <c r="E1927" i="4" s="1"/>
  <c r="E1928" i="4" s="1"/>
  <c r="E1929" i="4" s="1"/>
  <c r="E1930" i="4" s="1"/>
  <c r="E1931" i="4" s="1"/>
  <c r="E1932" i="4" s="1"/>
  <c r="E1933" i="4" s="1"/>
  <c r="L1923" i="4"/>
  <c r="L1922" i="4"/>
  <c r="L1921" i="4"/>
  <c r="G1921" i="4"/>
  <c r="L1920" i="4"/>
  <c r="L1919" i="4"/>
  <c r="L1918" i="4"/>
  <c r="L1917" i="4"/>
  <c r="L1916" i="4"/>
  <c r="L1915" i="4"/>
  <c r="L1914" i="4"/>
  <c r="L1913" i="4"/>
  <c r="L1912" i="4"/>
  <c r="F1912" i="4"/>
  <c r="F1913" i="4" s="1"/>
  <c r="F1914" i="4" s="1"/>
  <c r="F1915" i="4" s="1"/>
  <c r="F1916" i="4" s="1"/>
  <c r="F1917" i="4" s="1"/>
  <c r="F1918" i="4" s="1"/>
  <c r="F1919" i="4" s="1"/>
  <c r="F1920" i="4" s="1"/>
  <c r="F1921" i="4" s="1"/>
  <c r="E1912" i="4"/>
  <c r="E1913" i="4" s="1"/>
  <c r="E1914" i="4" s="1"/>
  <c r="E1915" i="4" s="1"/>
  <c r="E1916" i="4" s="1"/>
  <c r="E1917" i="4" s="1"/>
  <c r="E1918" i="4" s="1"/>
  <c r="E1919" i="4" s="1"/>
  <c r="E1920" i="4" s="1"/>
  <c r="E1921" i="4" s="1"/>
  <c r="L1910" i="4"/>
  <c r="L1909" i="4"/>
  <c r="G1909" i="4"/>
  <c r="L1908" i="4"/>
  <c r="L1906" i="4"/>
  <c r="L1905" i="4"/>
  <c r="L1904" i="4"/>
  <c r="L1903" i="4"/>
  <c r="L1901" i="4"/>
  <c r="L1900" i="4"/>
  <c r="F1900" i="4"/>
  <c r="F1901" i="4" s="1"/>
  <c r="F1902" i="4" s="1"/>
  <c r="F1903" i="4" s="1"/>
  <c r="F1904" i="4" s="1"/>
  <c r="F1905" i="4" s="1"/>
  <c r="F1906" i="4" s="1"/>
  <c r="F1907" i="4" s="1"/>
  <c r="F1908" i="4" s="1"/>
  <c r="F1909" i="4" s="1"/>
  <c r="E1900" i="4"/>
  <c r="E1901" i="4" s="1"/>
  <c r="E1902" i="4" s="1"/>
  <c r="E1903" i="4" s="1"/>
  <c r="E1904" i="4" s="1"/>
  <c r="E1905" i="4" s="1"/>
  <c r="E1906" i="4" s="1"/>
  <c r="E1907" i="4" s="1"/>
  <c r="E1908" i="4" s="1"/>
  <c r="E1909" i="4" s="1"/>
  <c r="L1899" i="4"/>
  <c r="L1898" i="4"/>
  <c r="L1897" i="4"/>
  <c r="G1897" i="4"/>
  <c r="L1896" i="4"/>
  <c r="L1894" i="4"/>
  <c r="L1893" i="4"/>
  <c r="L1892" i="4"/>
  <c r="L1891" i="4"/>
  <c r="L1890" i="4"/>
  <c r="L1889" i="4"/>
  <c r="L1888" i="4"/>
  <c r="F1888" i="4"/>
  <c r="F1889" i="4" s="1"/>
  <c r="F1890" i="4" s="1"/>
  <c r="F1891" i="4" s="1"/>
  <c r="F1892" i="4" s="1"/>
  <c r="F1893" i="4" s="1"/>
  <c r="F1894" i="4" s="1"/>
  <c r="F1895" i="4" s="1"/>
  <c r="F1896" i="4" s="1"/>
  <c r="F1897" i="4" s="1"/>
  <c r="E1888" i="4"/>
  <c r="E1889" i="4" s="1"/>
  <c r="E1890" i="4" s="1"/>
  <c r="E1891" i="4" s="1"/>
  <c r="E1892" i="4" s="1"/>
  <c r="E1893" i="4" s="1"/>
  <c r="E1894" i="4" s="1"/>
  <c r="E1895" i="4" s="1"/>
  <c r="E1896" i="4" s="1"/>
  <c r="E1897" i="4" s="1"/>
  <c r="L1887" i="4"/>
  <c r="L1886" i="4"/>
  <c r="L1885" i="4"/>
  <c r="G1885" i="4"/>
  <c r="L1884" i="4"/>
  <c r="L1882" i="4"/>
  <c r="L1880" i="4"/>
  <c r="L1879" i="4"/>
  <c r="L1878" i="4"/>
  <c r="L1877" i="4"/>
  <c r="L1876" i="4"/>
  <c r="F1876" i="4"/>
  <c r="F1877" i="4" s="1"/>
  <c r="F1878" i="4" s="1"/>
  <c r="F1879" i="4" s="1"/>
  <c r="F1880" i="4" s="1"/>
  <c r="F1881" i="4" s="1"/>
  <c r="F1882" i="4" s="1"/>
  <c r="F1883" i="4" s="1"/>
  <c r="F1884" i="4" s="1"/>
  <c r="F1885" i="4" s="1"/>
  <c r="E1876" i="4"/>
  <c r="E1877" i="4" s="1"/>
  <c r="E1878" i="4" s="1"/>
  <c r="E1879" i="4" s="1"/>
  <c r="E1880" i="4" s="1"/>
  <c r="E1881" i="4" s="1"/>
  <c r="E1882" i="4" s="1"/>
  <c r="E1883" i="4" s="1"/>
  <c r="E1884" i="4" s="1"/>
  <c r="E1885" i="4" s="1"/>
  <c r="L1875" i="4"/>
  <c r="L1874" i="4"/>
  <c r="L1873" i="4"/>
  <c r="G1873" i="4"/>
  <c r="L1872" i="4"/>
  <c r="L1871" i="4"/>
  <c r="L1870" i="4"/>
  <c r="L1869" i="4"/>
  <c r="L1868" i="4"/>
  <c r="L1867" i="4"/>
  <c r="L1866" i="4"/>
  <c r="L1865" i="4"/>
  <c r="L1864" i="4"/>
  <c r="F1864" i="4"/>
  <c r="F1865" i="4" s="1"/>
  <c r="F1866" i="4" s="1"/>
  <c r="F1867" i="4" s="1"/>
  <c r="F1868" i="4" s="1"/>
  <c r="F1869" i="4" s="1"/>
  <c r="F1870" i="4" s="1"/>
  <c r="F1871" i="4" s="1"/>
  <c r="F1872" i="4" s="1"/>
  <c r="F1873" i="4" s="1"/>
  <c r="E1864" i="4"/>
  <c r="E1865" i="4" s="1"/>
  <c r="E1866" i="4" s="1"/>
  <c r="E1867" i="4" s="1"/>
  <c r="E1868" i="4" s="1"/>
  <c r="E1869" i="4" s="1"/>
  <c r="E1870" i="4" s="1"/>
  <c r="E1871" i="4" s="1"/>
  <c r="E1872" i="4" s="1"/>
  <c r="E1873" i="4" s="1"/>
  <c r="L1863" i="4"/>
  <c r="E1863" i="4"/>
  <c r="L1862" i="4"/>
  <c r="L1861" i="4"/>
  <c r="G1861" i="4"/>
  <c r="L1860" i="4"/>
  <c r="L1859" i="4"/>
  <c r="L1858" i="4"/>
  <c r="L1857" i="4"/>
  <c r="L1856" i="4"/>
  <c r="L1855" i="4"/>
  <c r="L1854" i="4"/>
  <c r="L1853" i="4"/>
  <c r="L1852" i="4"/>
  <c r="F1852" i="4"/>
  <c r="F1853" i="4" s="1"/>
  <c r="F1854" i="4" s="1"/>
  <c r="F1855" i="4" s="1"/>
  <c r="F1856" i="4" s="1"/>
  <c r="F1857" i="4" s="1"/>
  <c r="F1858" i="4" s="1"/>
  <c r="F1859" i="4" s="1"/>
  <c r="F1860" i="4" s="1"/>
  <c r="F1861" i="4" s="1"/>
  <c r="E1852" i="4"/>
  <c r="E1853" i="4" s="1"/>
  <c r="E1854" i="4" s="1"/>
  <c r="E1855" i="4" s="1"/>
  <c r="E1856" i="4" s="1"/>
  <c r="E1857" i="4" s="1"/>
  <c r="E1858" i="4" s="1"/>
  <c r="E1859" i="4" s="1"/>
  <c r="E1860" i="4" s="1"/>
  <c r="E1861" i="4" s="1"/>
  <c r="L1851" i="4"/>
  <c r="L1850" i="4"/>
  <c r="E1574" i="4"/>
  <c r="E1575" i="4" s="1"/>
  <c r="K1584" i="4"/>
  <c r="E1682" i="4"/>
  <c r="E1683" i="4" s="1"/>
  <c r="K1691" i="4"/>
  <c r="J1691" i="4"/>
  <c r="K1689" i="4"/>
  <c r="J1689" i="4"/>
  <c r="E1826" i="4"/>
  <c r="E1827" i="4" s="1"/>
  <c r="K1835" i="4"/>
  <c r="J1835" i="4"/>
  <c r="K1837" i="4"/>
  <c r="J1837" i="4"/>
  <c r="J1823" i="4"/>
  <c r="L1823" i="4" s="1"/>
  <c r="K1825" i="4"/>
  <c r="J1825" i="4"/>
  <c r="E1814" i="4"/>
  <c r="E1815" i="4" s="1"/>
  <c r="K1813" i="4"/>
  <c r="J1813" i="4"/>
  <c r="E1802" i="4"/>
  <c r="E1803" i="4" s="1"/>
  <c r="E1790" i="4"/>
  <c r="E1791" i="4" s="1"/>
  <c r="K1792" i="4"/>
  <c r="J1792" i="4"/>
  <c r="K1793" i="4"/>
  <c r="J1793" i="4"/>
  <c r="E1778" i="4"/>
  <c r="E1779" i="4" s="1"/>
  <c r="K1780" i="4"/>
  <c r="J1780" i="4"/>
  <c r="L1780" i="4" s="1"/>
  <c r="K1787" i="4"/>
  <c r="J1787" i="4"/>
  <c r="L1787" i="4" s="1"/>
  <c r="K1789" i="4"/>
  <c r="J1789" i="4"/>
  <c r="K1777" i="4"/>
  <c r="J1777" i="4"/>
  <c r="K1767" i="4"/>
  <c r="J1767" i="4"/>
  <c r="L1767" i="4" s="1"/>
  <c r="K1775" i="4"/>
  <c r="L1775" i="4" s="1"/>
  <c r="E1766" i="4"/>
  <c r="E1767" i="4" s="1"/>
  <c r="K1765" i="4"/>
  <c r="K1763" i="4"/>
  <c r="J1765" i="4"/>
  <c r="J1763" i="4"/>
  <c r="L1763" i="4" s="1"/>
  <c r="K1756" i="4"/>
  <c r="J1756" i="4"/>
  <c r="L1756" i="4" s="1"/>
  <c r="E1754" i="4"/>
  <c r="E1755" i="4" s="1"/>
  <c r="E1742" i="4"/>
  <c r="E1743" i="4" s="1"/>
  <c r="K1742" i="4"/>
  <c r="J1742" i="4"/>
  <c r="L1849" i="4"/>
  <c r="G1849" i="4"/>
  <c r="L1848" i="4"/>
  <c r="L1847" i="4"/>
  <c r="L1846" i="4"/>
  <c r="L1845" i="4"/>
  <c r="L1844" i="4"/>
  <c r="L1843" i="4"/>
  <c r="L1842" i="4"/>
  <c r="L1841" i="4"/>
  <c r="L1840" i="4"/>
  <c r="F1840" i="4"/>
  <c r="F1841" i="4" s="1"/>
  <c r="F1842" i="4" s="1"/>
  <c r="F1843" i="4" s="1"/>
  <c r="F1844" i="4" s="1"/>
  <c r="F1845" i="4" s="1"/>
  <c r="F1846" i="4" s="1"/>
  <c r="F1847" i="4" s="1"/>
  <c r="F1848" i="4" s="1"/>
  <c r="F1849" i="4" s="1"/>
  <c r="E1840" i="4"/>
  <c r="E1841" i="4" s="1"/>
  <c r="E1842" i="4" s="1"/>
  <c r="E1843" i="4" s="1"/>
  <c r="E1844" i="4" s="1"/>
  <c r="E1845" i="4" s="1"/>
  <c r="E1846" i="4" s="1"/>
  <c r="E1847" i="4" s="1"/>
  <c r="E1848" i="4" s="1"/>
  <c r="E1849" i="4" s="1"/>
  <c r="L1839" i="4"/>
  <c r="E1839" i="4"/>
  <c r="L1838" i="4"/>
  <c r="G1837" i="4"/>
  <c r="L1836" i="4"/>
  <c r="L1834" i="4"/>
  <c r="L1833" i="4"/>
  <c r="L1832" i="4"/>
  <c r="L1831" i="4"/>
  <c r="L1830" i="4"/>
  <c r="L1829" i="4"/>
  <c r="L1828" i="4"/>
  <c r="F1828" i="4"/>
  <c r="F1829" i="4" s="1"/>
  <c r="F1830" i="4" s="1"/>
  <c r="F1831" i="4" s="1"/>
  <c r="F1832" i="4" s="1"/>
  <c r="F1833" i="4" s="1"/>
  <c r="F1834" i="4" s="1"/>
  <c r="F1835" i="4" s="1"/>
  <c r="F1836" i="4" s="1"/>
  <c r="F1837" i="4" s="1"/>
  <c r="E1828" i="4"/>
  <c r="E1829" i="4" s="1"/>
  <c r="E1830" i="4" s="1"/>
  <c r="E1831" i="4" s="1"/>
  <c r="E1832" i="4" s="1"/>
  <c r="E1833" i="4" s="1"/>
  <c r="E1834" i="4" s="1"/>
  <c r="E1835" i="4" s="1"/>
  <c r="E1836" i="4" s="1"/>
  <c r="E1837" i="4" s="1"/>
  <c r="L1827" i="4"/>
  <c r="L1826" i="4"/>
  <c r="G1825" i="4"/>
  <c r="L1824" i="4"/>
  <c r="L1822" i="4"/>
  <c r="L1821" i="4"/>
  <c r="L1820" i="4"/>
  <c r="L1819" i="4"/>
  <c r="L1818" i="4"/>
  <c r="L1817" i="4"/>
  <c r="L1816" i="4"/>
  <c r="F1816" i="4"/>
  <c r="F1817" i="4" s="1"/>
  <c r="F1818" i="4" s="1"/>
  <c r="F1819" i="4" s="1"/>
  <c r="F1820" i="4" s="1"/>
  <c r="F1821" i="4" s="1"/>
  <c r="F1822" i="4" s="1"/>
  <c r="F1823" i="4" s="1"/>
  <c r="F1824" i="4" s="1"/>
  <c r="F1825" i="4" s="1"/>
  <c r="E1816" i="4"/>
  <c r="E1817" i="4" s="1"/>
  <c r="E1818" i="4" s="1"/>
  <c r="E1819" i="4" s="1"/>
  <c r="E1820" i="4" s="1"/>
  <c r="E1821" i="4" s="1"/>
  <c r="E1822" i="4" s="1"/>
  <c r="E1823" i="4" s="1"/>
  <c r="E1824" i="4" s="1"/>
  <c r="E1825" i="4" s="1"/>
  <c r="L1815" i="4"/>
  <c r="L1814" i="4"/>
  <c r="G1813" i="4"/>
  <c r="L1812" i="4"/>
  <c r="L1811" i="4"/>
  <c r="L1810" i="4"/>
  <c r="L1809" i="4"/>
  <c r="L1808" i="4"/>
  <c r="L1807" i="4"/>
  <c r="L1806" i="4"/>
  <c r="L1805" i="4"/>
  <c r="L1804" i="4"/>
  <c r="F1804" i="4"/>
  <c r="F1805" i="4" s="1"/>
  <c r="F1806" i="4" s="1"/>
  <c r="F1807" i="4" s="1"/>
  <c r="F1808" i="4" s="1"/>
  <c r="F1809" i="4" s="1"/>
  <c r="F1810" i="4" s="1"/>
  <c r="F1811" i="4" s="1"/>
  <c r="F1812" i="4" s="1"/>
  <c r="F1813" i="4" s="1"/>
  <c r="E1804" i="4"/>
  <c r="E1805" i="4" s="1"/>
  <c r="E1806" i="4" s="1"/>
  <c r="E1807" i="4" s="1"/>
  <c r="E1808" i="4" s="1"/>
  <c r="E1809" i="4" s="1"/>
  <c r="E1810" i="4" s="1"/>
  <c r="E1811" i="4" s="1"/>
  <c r="E1812" i="4" s="1"/>
  <c r="E1813" i="4" s="1"/>
  <c r="L1803" i="4"/>
  <c r="L1802" i="4"/>
  <c r="L1801" i="4"/>
  <c r="G1801" i="4"/>
  <c r="L1800" i="4"/>
  <c r="L1799" i="4"/>
  <c r="L1798" i="4"/>
  <c r="L1797" i="4"/>
  <c r="L1796" i="4"/>
  <c r="L1795" i="4"/>
  <c r="L1794" i="4"/>
  <c r="L1793" i="4"/>
  <c r="F1792" i="4"/>
  <c r="F1793" i="4" s="1"/>
  <c r="F1794" i="4" s="1"/>
  <c r="F1795" i="4" s="1"/>
  <c r="F1796" i="4" s="1"/>
  <c r="F1797" i="4" s="1"/>
  <c r="F1798" i="4" s="1"/>
  <c r="F1799" i="4" s="1"/>
  <c r="F1800" i="4" s="1"/>
  <c r="F1801" i="4" s="1"/>
  <c r="E1792" i="4"/>
  <c r="E1793" i="4" s="1"/>
  <c r="E1794" i="4" s="1"/>
  <c r="E1795" i="4" s="1"/>
  <c r="E1796" i="4" s="1"/>
  <c r="E1797" i="4" s="1"/>
  <c r="E1798" i="4" s="1"/>
  <c r="E1799" i="4" s="1"/>
  <c r="E1800" i="4" s="1"/>
  <c r="E1801" i="4" s="1"/>
  <c r="L1791" i="4"/>
  <c r="L1790" i="4"/>
  <c r="G1789" i="4"/>
  <c r="L1788" i="4"/>
  <c r="L1786" i="4"/>
  <c r="L1785" i="4"/>
  <c r="L1784" i="4"/>
  <c r="L1783" i="4"/>
  <c r="L1782" i="4"/>
  <c r="L1781" i="4"/>
  <c r="F1780" i="4"/>
  <c r="F1781" i="4" s="1"/>
  <c r="F1782" i="4" s="1"/>
  <c r="F1783" i="4" s="1"/>
  <c r="F1784" i="4" s="1"/>
  <c r="F1785" i="4" s="1"/>
  <c r="F1786" i="4" s="1"/>
  <c r="F1787" i="4" s="1"/>
  <c r="F1788" i="4" s="1"/>
  <c r="F1789" i="4" s="1"/>
  <c r="E1780" i="4"/>
  <c r="E1781" i="4" s="1"/>
  <c r="E1782" i="4" s="1"/>
  <c r="E1783" i="4" s="1"/>
  <c r="E1784" i="4" s="1"/>
  <c r="E1785" i="4" s="1"/>
  <c r="E1786" i="4" s="1"/>
  <c r="E1787" i="4" s="1"/>
  <c r="E1788" i="4" s="1"/>
  <c r="E1789" i="4" s="1"/>
  <c r="L1779" i="4"/>
  <c r="L1778" i="4"/>
  <c r="E1730" i="4"/>
  <c r="E1731" i="4" s="1"/>
  <c r="K1741" i="4"/>
  <c r="J1741" i="4"/>
  <c r="K1739" i="4"/>
  <c r="L1739" i="4" s="1"/>
  <c r="K1731" i="4"/>
  <c r="L1731" i="4" s="1"/>
  <c r="E1718" i="4"/>
  <c r="E1719" i="4" s="1"/>
  <c r="K1720" i="4"/>
  <c r="J1720" i="4"/>
  <c r="L1720" i="4" s="1"/>
  <c r="K1729" i="4"/>
  <c r="J1729" i="4"/>
  <c r="K1727" i="4"/>
  <c r="J1727" i="4"/>
  <c r="K1721" i="4"/>
  <c r="J1721" i="4"/>
  <c r="K1719" i="4"/>
  <c r="J1719" i="4"/>
  <c r="L1719" i="4" s="1"/>
  <c r="J1722" i="4"/>
  <c r="L1722" i="4" s="1"/>
  <c r="J1725" i="4"/>
  <c r="L1725" i="4" s="1"/>
  <c r="K1706" i="4"/>
  <c r="J1706" i="4"/>
  <c r="K1707" i="4"/>
  <c r="J1707" i="4"/>
  <c r="K1715" i="4"/>
  <c r="J1715" i="4"/>
  <c r="L1715" i="4" s="1"/>
  <c r="K1710" i="4"/>
  <c r="J1710" i="4"/>
  <c r="K1713" i="4"/>
  <c r="J1713" i="4"/>
  <c r="E1706" i="4"/>
  <c r="E1707" i="4" s="1"/>
  <c r="K1694" i="4"/>
  <c r="J1694" i="4"/>
  <c r="K1703" i="4"/>
  <c r="J1703" i="4"/>
  <c r="L1703" i="4" s="1"/>
  <c r="E1694" i="4"/>
  <c r="E1695" i="4" s="1"/>
  <c r="J1679" i="4"/>
  <c r="K1679" i="4"/>
  <c r="E1670" i="4"/>
  <c r="E1671" i="4" s="1"/>
  <c r="J1667" i="4"/>
  <c r="K1667" i="4"/>
  <c r="E1658" i="4"/>
  <c r="E1659" i="4" s="1"/>
  <c r="E1646" i="4"/>
  <c r="E1647" i="4" s="1"/>
  <c r="K1650" i="4"/>
  <c r="J1650" i="4"/>
  <c r="K1657" i="4"/>
  <c r="J1657" i="4"/>
  <c r="J1656" i="4"/>
  <c r="L1656" i="4" s="1"/>
  <c r="K1651" i="4"/>
  <c r="J1651" i="4"/>
  <c r="E1634" i="4"/>
  <c r="E1635" i="4" s="1"/>
  <c r="J1643" i="4"/>
  <c r="L1643" i="4" s="1"/>
  <c r="K1643" i="4"/>
  <c r="K1638" i="4"/>
  <c r="J1638" i="4"/>
  <c r="L1638" i="4" s="1"/>
  <c r="K1645" i="4"/>
  <c r="J1645" i="4"/>
  <c r="K1624" i="4"/>
  <c r="J1624" i="4"/>
  <c r="L1624" i="4" s="1"/>
  <c r="K1631" i="4"/>
  <c r="J1631" i="4"/>
  <c r="K1622" i="4"/>
  <c r="J1622" i="4"/>
  <c r="L1622" i="4" s="1"/>
  <c r="K1625" i="4"/>
  <c r="J1625" i="4"/>
  <c r="G1777" i="4"/>
  <c r="L1776" i="4"/>
  <c r="L1774" i="4"/>
  <c r="L1773" i="4"/>
  <c r="L1772" i="4"/>
  <c r="L1771" i="4"/>
  <c r="L1770" i="4"/>
  <c r="L1769" i="4"/>
  <c r="L1768" i="4"/>
  <c r="F1768" i="4"/>
  <c r="F1769" i="4" s="1"/>
  <c r="F1770" i="4" s="1"/>
  <c r="F1771" i="4" s="1"/>
  <c r="F1772" i="4" s="1"/>
  <c r="F1773" i="4" s="1"/>
  <c r="F1774" i="4" s="1"/>
  <c r="F1775" i="4" s="1"/>
  <c r="F1776" i="4" s="1"/>
  <c r="F1777" i="4" s="1"/>
  <c r="E1768" i="4"/>
  <c r="E1769" i="4" s="1"/>
  <c r="E1770" i="4" s="1"/>
  <c r="E1771" i="4" s="1"/>
  <c r="E1772" i="4" s="1"/>
  <c r="E1773" i="4" s="1"/>
  <c r="E1774" i="4" s="1"/>
  <c r="E1775" i="4" s="1"/>
  <c r="E1776" i="4" s="1"/>
  <c r="E1777" i="4" s="1"/>
  <c r="L1766" i="4"/>
  <c r="G1765" i="4"/>
  <c r="L1764" i="4"/>
  <c r="L1762" i="4"/>
  <c r="L1761" i="4"/>
  <c r="L1760" i="4"/>
  <c r="L1759" i="4"/>
  <c r="L1758" i="4"/>
  <c r="L1757" i="4"/>
  <c r="F1756" i="4"/>
  <c r="F1757" i="4" s="1"/>
  <c r="F1758" i="4" s="1"/>
  <c r="F1759" i="4" s="1"/>
  <c r="F1760" i="4" s="1"/>
  <c r="F1761" i="4" s="1"/>
  <c r="F1762" i="4" s="1"/>
  <c r="F1763" i="4" s="1"/>
  <c r="F1764" i="4" s="1"/>
  <c r="F1765" i="4" s="1"/>
  <c r="E1756" i="4"/>
  <c r="E1757" i="4" s="1"/>
  <c r="E1758" i="4" s="1"/>
  <c r="E1759" i="4" s="1"/>
  <c r="E1760" i="4" s="1"/>
  <c r="E1761" i="4" s="1"/>
  <c r="E1762" i="4" s="1"/>
  <c r="E1763" i="4" s="1"/>
  <c r="E1764" i="4" s="1"/>
  <c r="E1765" i="4" s="1"/>
  <c r="L1755" i="4"/>
  <c r="L1754" i="4"/>
  <c r="L1753" i="4"/>
  <c r="G1753" i="4"/>
  <c r="L1752" i="4"/>
  <c r="L1751" i="4"/>
  <c r="L1750" i="4"/>
  <c r="L1749" i="4"/>
  <c r="L1748" i="4"/>
  <c r="L1747" i="4"/>
  <c r="L1746" i="4"/>
  <c r="L1745" i="4"/>
  <c r="F1745" i="4"/>
  <c r="F1746" i="4" s="1"/>
  <c r="F1747" i="4" s="1"/>
  <c r="F1748" i="4" s="1"/>
  <c r="F1749" i="4" s="1"/>
  <c r="F1750" i="4" s="1"/>
  <c r="F1751" i="4" s="1"/>
  <c r="F1752" i="4" s="1"/>
  <c r="F1753" i="4" s="1"/>
  <c r="L1744" i="4"/>
  <c r="F1744" i="4"/>
  <c r="E1744" i="4"/>
  <c r="E1745" i="4" s="1"/>
  <c r="E1746" i="4" s="1"/>
  <c r="E1747" i="4" s="1"/>
  <c r="E1748" i="4" s="1"/>
  <c r="E1749" i="4" s="1"/>
  <c r="E1750" i="4" s="1"/>
  <c r="E1751" i="4" s="1"/>
  <c r="E1752" i="4" s="1"/>
  <c r="E1753" i="4" s="1"/>
  <c r="L1743" i="4"/>
  <c r="L1742" i="4"/>
  <c r="G1741" i="4"/>
  <c r="L1740" i="4"/>
  <c r="L1738" i="4"/>
  <c r="L1737" i="4"/>
  <c r="L1736" i="4"/>
  <c r="L1735" i="4"/>
  <c r="L1734" i="4"/>
  <c r="L1733" i="4"/>
  <c r="L1732" i="4"/>
  <c r="F1732" i="4"/>
  <c r="F1733" i="4" s="1"/>
  <c r="F1734" i="4" s="1"/>
  <c r="F1735" i="4" s="1"/>
  <c r="F1736" i="4" s="1"/>
  <c r="F1737" i="4" s="1"/>
  <c r="F1738" i="4" s="1"/>
  <c r="F1739" i="4" s="1"/>
  <c r="F1740" i="4" s="1"/>
  <c r="F1741" i="4" s="1"/>
  <c r="E1732" i="4"/>
  <c r="E1733" i="4" s="1"/>
  <c r="E1734" i="4" s="1"/>
  <c r="E1735" i="4" s="1"/>
  <c r="E1736" i="4" s="1"/>
  <c r="E1737" i="4" s="1"/>
  <c r="E1738" i="4" s="1"/>
  <c r="E1739" i="4" s="1"/>
  <c r="E1740" i="4" s="1"/>
  <c r="E1741" i="4" s="1"/>
  <c r="L1730" i="4"/>
  <c r="G1729" i="4"/>
  <c r="L1728" i="4"/>
  <c r="L1726" i="4"/>
  <c r="L1724" i="4"/>
  <c r="L1723" i="4"/>
  <c r="L1721" i="4"/>
  <c r="F1720" i="4"/>
  <c r="F1721" i="4" s="1"/>
  <c r="F1722" i="4" s="1"/>
  <c r="F1723" i="4" s="1"/>
  <c r="F1724" i="4" s="1"/>
  <c r="F1725" i="4" s="1"/>
  <c r="F1726" i="4" s="1"/>
  <c r="F1727" i="4" s="1"/>
  <c r="F1728" i="4" s="1"/>
  <c r="F1729" i="4" s="1"/>
  <c r="E1720" i="4"/>
  <c r="E1721" i="4" s="1"/>
  <c r="E1722" i="4" s="1"/>
  <c r="E1723" i="4" s="1"/>
  <c r="E1724" i="4" s="1"/>
  <c r="E1725" i="4" s="1"/>
  <c r="E1726" i="4" s="1"/>
  <c r="E1727" i="4" s="1"/>
  <c r="E1728" i="4" s="1"/>
  <c r="E1729" i="4" s="1"/>
  <c r="L1718" i="4"/>
  <c r="L1717" i="4"/>
  <c r="G1717" i="4"/>
  <c r="L1716" i="4"/>
  <c r="L1714" i="4"/>
  <c r="L1712" i="4"/>
  <c r="L1711" i="4"/>
  <c r="L1709" i="4"/>
  <c r="L1708" i="4"/>
  <c r="F1708" i="4"/>
  <c r="F1709" i="4" s="1"/>
  <c r="F1710" i="4" s="1"/>
  <c r="F1711" i="4" s="1"/>
  <c r="F1712" i="4" s="1"/>
  <c r="F1713" i="4" s="1"/>
  <c r="F1714" i="4" s="1"/>
  <c r="F1715" i="4" s="1"/>
  <c r="F1716" i="4" s="1"/>
  <c r="F1717" i="4" s="1"/>
  <c r="E1708" i="4"/>
  <c r="E1709" i="4" s="1"/>
  <c r="E1710" i="4" s="1"/>
  <c r="E1711" i="4" s="1"/>
  <c r="E1712" i="4" s="1"/>
  <c r="E1713" i="4" s="1"/>
  <c r="E1714" i="4" s="1"/>
  <c r="E1715" i="4" s="1"/>
  <c r="E1716" i="4" s="1"/>
  <c r="E1717" i="4" s="1"/>
  <c r="L1705" i="4"/>
  <c r="G1705" i="4"/>
  <c r="L1704" i="4"/>
  <c r="L1702" i="4"/>
  <c r="L1701" i="4"/>
  <c r="L1700" i="4"/>
  <c r="L1699" i="4"/>
  <c r="L1698" i="4"/>
  <c r="L1697" i="4"/>
  <c r="L1696" i="4"/>
  <c r="F1696" i="4"/>
  <c r="F1697" i="4" s="1"/>
  <c r="F1698" i="4" s="1"/>
  <c r="F1699" i="4" s="1"/>
  <c r="F1700" i="4" s="1"/>
  <c r="F1701" i="4" s="1"/>
  <c r="F1702" i="4" s="1"/>
  <c r="F1703" i="4" s="1"/>
  <c r="F1704" i="4" s="1"/>
  <c r="F1705" i="4" s="1"/>
  <c r="E1696" i="4"/>
  <c r="E1697" i="4" s="1"/>
  <c r="E1698" i="4" s="1"/>
  <c r="E1699" i="4" s="1"/>
  <c r="E1700" i="4" s="1"/>
  <c r="E1701" i="4" s="1"/>
  <c r="E1702" i="4" s="1"/>
  <c r="E1703" i="4" s="1"/>
  <c r="E1704" i="4" s="1"/>
  <c r="E1705" i="4" s="1"/>
  <c r="L1695" i="4"/>
  <c r="L1693" i="4"/>
  <c r="G1693" i="4"/>
  <c r="L1692" i="4"/>
  <c r="L1690" i="4"/>
  <c r="L1688" i="4"/>
  <c r="L1687" i="4"/>
  <c r="L1686" i="4"/>
  <c r="L1685" i="4"/>
  <c r="L1684" i="4"/>
  <c r="F1684" i="4"/>
  <c r="F1685" i="4" s="1"/>
  <c r="F1686" i="4" s="1"/>
  <c r="F1687" i="4" s="1"/>
  <c r="F1688" i="4" s="1"/>
  <c r="F1689" i="4" s="1"/>
  <c r="F1690" i="4" s="1"/>
  <c r="F1691" i="4" s="1"/>
  <c r="F1692" i="4" s="1"/>
  <c r="F1693" i="4" s="1"/>
  <c r="E1684" i="4"/>
  <c r="E1685" i="4" s="1"/>
  <c r="E1686" i="4" s="1"/>
  <c r="E1687" i="4" s="1"/>
  <c r="E1688" i="4" s="1"/>
  <c r="E1689" i="4" s="1"/>
  <c r="E1690" i="4" s="1"/>
  <c r="E1691" i="4" s="1"/>
  <c r="E1692" i="4" s="1"/>
  <c r="E1693" i="4" s="1"/>
  <c r="L1683" i="4"/>
  <c r="L1682" i="4"/>
  <c r="L1681" i="4"/>
  <c r="G1681" i="4"/>
  <c r="L1680" i="4"/>
  <c r="L1678" i="4"/>
  <c r="L1677" i="4"/>
  <c r="L1676" i="4"/>
  <c r="L1675" i="4"/>
  <c r="L1674" i="4"/>
  <c r="L1673" i="4"/>
  <c r="L1672" i="4"/>
  <c r="F1672" i="4"/>
  <c r="F1673" i="4" s="1"/>
  <c r="F1674" i="4" s="1"/>
  <c r="F1675" i="4" s="1"/>
  <c r="F1676" i="4" s="1"/>
  <c r="F1677" i="4" s="1"/>
  <c r="F1678" i="4" s="1"/>
  <c r="F1679" i="4" s="1"/>
  <c r="F1680" i="4" s="1"/>
  <c r="F1681" i="4" s="1"/>
  <c r="E1672" i="4"/>
  <c r="E1673" i="4" s="1"/>
  <c r="E1674" i="4" s="1"/>
  <c r="E1675" i="4" s="1"/>
  <c r="E1676" i="4" s="1"/>
  <c r="E1677" i="4" s="1"/>
  <c r="E1678" i="4" s="1"/>
  <c r="E1679" i="4" s="1"/>
  <c r="E1680" i="4" s="1"/>
  <c r="E1681" i="4" s="1"/>
  <c r="L1671" i="4"/>
  <c r="L1670" i="4"/>
  <c r="L1669" i="4"/>
  <c r="G1669" i="4"/>
  <c r="L1668" i="4"/>
  <c r="L1667" i="4"/>
  <c r="L1666" i="4"/>
  <c r="L1665" i="4"/>
  <c r="L1664" i="4"/>
  <c r="L1663" i="4"/>
  <c r="L1662" i="4"/>
  <c r="L1661" i="4"/>
  <c r="L1660" i="4"/>
  <c r="F1660" i="4"/>
  <c r="F1661" i="4" s="1"/>
  <c r="F1662" i="4" s="1"/>
  <c r="F1663" i="4" s="1"/>
  <c r="F1664" i="4" s="1"/>
  <c r="F1665" i="4" s="1"/>
  <c r="F1666" i="4" s="1"/>
  <c r="F1667" i="4" s="1"/>
  <c r="F1668" i="4" s="1"/>
  <c r="F1669" i="4" s="1"/>
  <c r="E1660" i="4"/>
  <c r="E1661" i="4" s="1"/>
  <c r="E1662" i="4" s="1"/>
  <c r="E1663" i="4" s="1"/>
  <c r="E1664" i="4" s="1"/>
  <c r="E1665" i="4" s="1"/>
  <c r="E1666" i="4" s="1"/>
  <c r="E1667" i="4" s="1"/>
  <c r="E1668" i="4" s="1"/>
  <c r="E1669" i="4" s="1"/>
  <c r="L1659" i="4"/>
  <c r="L1658" i="4"/>
  <c r="E1622" i="4"/>
  <c r="E1623" i="4" s="1"/>
  <c r="K1621" i="4"/>
  <c r="J1621" i="4"/>
  <c r="K1612" i="4"/>
  <c r="J1612" i="4"/>
  <c r="K1611" i="4"/>
  <c r="J1611" i="4"/>
  <c r="E1610" i="4"/>
  <c r="E1611" i="4" s="1"/>
  <c r="J1598" i="4"/>
  <c r="K1598" i="4"/>
  <c r="K1599" i="4"/>
  <c r="J1599" i="4"/>
  <c r="L1599" i="4" s="1"/>
  <c r="E1598" i="4"/>
  <c r="E1599" i="4" s="1"/>
  <c r="K1596" i="4"/>
  <c r="J1596" i="4"/>
  <c r="E1586" i="4"/>
  <c r="E1587" i="4" s="1"/>
  <c r="J1584" i="4"/>
  <c r="K1577" i="4"/>
  <c r="J1577" i="4"/>
  <c r="K1578" i="4"/>
  <c r="J1578" i="4"/>
  <c r="K1585" i="4"/>
  <c r="J1585" i="4"/>
  <c r="K1576" i="4"/>
  <c r="L1576" i="4" s="1"/>
  <c r="J1576" i="4"/>
  <c r="K1571" i="4"/>
  <c r="J1571" i="4"/>
  <c r="K1569" i="4"/>
  <c r="J1569" i="4"/>
  <c r="K1573" i="4"/>
  <c r="J1573" i="4"/>
  <c r="K1568" i="4"/>
  <c r="L1568" i="4" s="1"/>
  <c r="J1568" i="4"/>
  <c r="E1562" i="4"/>
  <c r="E1563" i="4" s="1"/>
  <c r="J1559" i="4"/>
  <c r="K1559" i="4"/>
  <c r="K1561" i="4"/>
  <c r="J1561" i="4"/>
  <c r="K1556" i="4"/>
  <c r="J1556" i="4"/>
  <c r="L1556" i="4" s="1"/>
  <c r="E1550" i="4"/>
  <c r="E1551" i="4" s="1"/>
  <c r="L1657" i="4"/>
  <c r="G1657" i="4"/>
  <c r="L1655" i="4"/>
  <c r="L1654" i="4"/>
  <c r="L1653" i="4"/>
  <c r="L1652" i="4"/>
  <c r="L1651" i="4"/>
  <c r="L1649" i="4"/>
  <c r="L1648" i="4"/>
  <c r="F1648" i="4"/>
  <c r="F1649" i="4" s="1"/>
  <c r="F1650" i="4" s="1"/>
  <c r="F1651" i="4" s="1"/>
  <c r="F1652" i="4" s="1"/>
  <c r="F1653" i="4" s="1"/>
  <c r="F1654" i="4" s="1"/>
  <c r="F1655" i="4" s="1"/>
  <c r="F1656" i="4" s="1"/>
  <c r="F1657" i="4" s="1"/>
  <c r="E1648" i="4"/>
  <c r="E1649" i="4" s="1"/>
  <c r="E1650" i="4" s="1"/>
  <c r="E1651" i="4" s="1"/>
  <c r="E1652" i="4" s="1"/>
  <c r="E1653" i="4" s="1"/>
  <c r="E1654" i="4" s="1"/>
  <c r="E1655" i="4" s="1"/>
  <c r="E1656" i="4" s="1"/>
  <c r="E1657" i="4" s="1"/>
  <c r="L1647" i="4"/>
  <c r="L1646" i="4"/>
  <c r="K1548" i="4"/>
  <c r="J1548" i="4"/>
  <c r="K1549" i="4"/>
  <c r="J1549" i="4"/>
  <c r="K1547" i="4"/>
  <c r="J1547" i="4"/>
  <c r="L1547" i="4" s="1"/>
  <c r="E1538" i="4"/>
  <c r="E1539" i="4" s="1"/>
  <c r="K1537" i="4"/>
  <c r="J1537" i="4"/>
  <c r="K1529" i="4"/>
  <c r="J1529" i="4"/>
  <c r="K1526" i="4"/>
  <c r="J1526" i="4"/>
  <c r="L1526" i="4" s="1"/>
  <c r="K1536" i="4"/>
  <c r="L1536" i="4" s="1"/>
  <c r="J1536" i="4"/>
  <c r="K1528" i="4"/>
  <c r="L1528" i="4" s="1"/>
  <c r="E1526" i="4"/>
  <c r="E1527" i="4" s="1"/>
  <c r="K1515" i="4"/>
  <c r="J1515" i="4"/>
  <c r="E1514" i="4"/>
  <c r="E1515" i="4" s="1"/>
  <c r="K1503" i="4"/>
  <c r="J1503" i="4"/>
  <c r="L1503" i="4" s="1"/>
  <c r="K1511" i="4"/>
  <c r="J1511" i="4"/>
  <c r="K1502" i="4"/>
  <c r="L1502" i="4" s="1"/>
  <c r="E1502" i="4"/>
  <c r="E1503" i="4" s="1"/>
  <c r="K1493" i="4"/>
  <c r="J1493" i="4"/>
  <c r="E1490" i="4"/>
  <c r="E1491" i="4" s="1"/>
  <c r="K1481" i="4"/>
  <c r="L1481" i="4" s="1"/>
  <c r="J1481" i="4"/>
  <c r="E1478" i="4"/>
  <c r="E1479" i="4" s="1"/>
  <c r="E1466" i="4"/>
  <c r="E1467" i="4" s="1"/>
  <c r="K1474" i="4"/>
  <c r="J1474" i="4"/>
  <c r="K1462" i="4"/>
  <c r="J1462" i="4"/>
  <c r="L1462" i="4" s="1"/>
  <c r="K1463" i="4"/>
  <c r="L1463" i="4" s="1"/>
  <c r="J1463" i="4"/>
  <c r="E1454" i="4"/>
  <c r="E1455" i="4" s="1"/>
  <c r="K1450" i="4"/>
  <c r="J1450" i="4"/>
  <c r="E1442" i="4"/>
  <c r="E1443" i="4" s="1"/>
  <c r="E1430" i="4"/>
  <c r="E1431" i="4" s="1"/>
  <c r="K1439" i="4"/>
  <c r="J1439" i="4"/>
  <c r="L1439" i="4" s="1"/>
  <c r="K1436" i="4"/>
  <c r="J1436" i="4"/>
  <c r="L1436" i="4" s="1"/>
  <c r="K1441" i="4"/>
  <c r="J1441" i="4"/>
  <c r="L1438" i="4"/>
  <c r="E1418" i="4"/>
  <c r="E1419" i="4" s="1"/>
  <c r="J1420" i="4"/>
  <c r="J1419" i="4"/>
  <c r="L1419" i="4" s="1"/>
  <c r="K1419" i="4"/>
  <c r="K1420" i="4"/>
  <c r="J1422" i="4"/>
  <c r="L1422" i="4" s="1"/>
  <c r="K1417" i="4"/>
  <c r="L1417" i="4" s="1"/>
  <c r="K1408" i="4"/>
  <c r="J1408" i="4"/>
  <c r="L1408" i="4" s="1"/>
  <c r="E1406" i="4"/>
  <c r="E1407" i="4" s="1"/>
  <c r="K1398" i="4"/>
  <c r="L1398" i="4" s="1"/>
  <c r="J1398" i="4"/>
  <c r="K1405" i="4"/>
  <c r="J1405" i="4"/>
  <c r="E1394" i="4"/>
  <c r="E1395" i="4" s="1"/>
  <c r="K1385" i="4"/>
  <c r="J1385" i="4"/>
  <c r="L1385" i="4" s="1"/>
  <c r="K1384" i="4"/>
  <c r="J1384" i="4"/>
  <c r="K1391" i="4"/>
  <c r="J1391" i="4"/>
  <c r="L1391" i="4" s="1"/>
  <c r="K1392" i="4"/>
  <c r="J1392" i="4"/>
  <c r="G1645" i="4"/>
  <c r="L1644" i="4"/>
  <c r="L1642" i="4"/>
  <c r="L1641" i="4"/>
  <c r="L1640" i="4"/>
  <c r="L1639" i="4"/>
  <c r="L1637" i="4"/>
  <c r="L1636" i="4"/>
  <c r="F1636" i="4"/>
  <c r="F1637" i="4" s="1"/>
  <c r="F1638" i="4" s="1"/>
  <c r="F1639" i="4" s="1"/>
  <c r="F1640" i="4" s="1"/>
  <c r="F1641" i="4" s="1"/>
  <c r="F1642" i="4" s="1"/>
  <c r="F1643" i="4" s="1"/>
  <c r="F1644" i="4" s="1"/>
  <c r="F1645" i="4" s="1"/>
  <c r="E1636" i="4"/>
  <c r="E1637" i="4" s="1"/>
  <c r="E1638" i="4" s="1"/>
  <c r="E1639" i="4" s="1"/>
  <c r="E1640" i="4" s="1"/>
  <c r="E1641" i="4" s="1"/>
  <c r="E1642" i="4" s="1"/>
  <c r="E1643" i="4" s="1"/>
  <c r="E1644" i="4" s="1"/>
  <c r="E1645" i="4" s="1"/>
  <c r="L1635" i="4"/>
  <c r="L1634" i="4"/>
  <c r="L1633" i="4"/>
  <c r="G1633" i="4"/>
  <c r="L1632" i="4"/>
  <c r="L1630" i="4"/>
  <c r="L1629" i="4"/>
  <c r="L1628" i="4"/>
  <c r="L1627" i="4"/>
  <c r="L1626" i="4"/>
  <c r="F1624" i="4"/>
  <c r="F1625" i="4" s="1"/>
  <c r="F1626" i="4" s="1"/>
  <c r="F1627" i="4" s="1"/>
  <c r="F1628" i="4" s="1"/>
  <c r="F1629" i="4" s="1"/>
  <c r="F1630" i="4" s="1"/>
  <c r="F1631" i="4" s="1"/>
  <c r="F1632" i="4" s="1"/>
  <c r="F1633" i="4" s="1"/>
  <c r="E1624" i="4"/>
  <c r="E1625" i="4" s="1"/>
  <c r="E1626" i="4" s="1"/>
  <c r="E1627" i="4" s="1"/>
  <c r="E1628" i="4" s="1"/>
  <c r="E1629" i="4" s="1"/>
  <c r="E1630" i="4" s="1"/>
  <c r="E1631" i="4" s="1"/>
  <c r="E1632" i="4" s="1"/>
  <c r="E1633" i="4" s="1"/>
  <c r="L1623" i="4"/>
  <c r="G1621" i="4"/>
  <c r="L1620" i="4"/>
  <c r="L1619" i="4"/>
  <c r="L1618" i="4"/>
  <c r="L1617" i="4"/>
  <c r="L1616" i="4"/>
  <c r="L1615" i="4"/>
  <c r="L1614" i="4"/>
  <c r="L1613" i="4"/>
  <c r="F1612" i="4"/>
  <c r="F1613" i="4" s="1"/>
  <c r="F1614" i="4" s="1"/>
  <c r="F1615" i="4" s="1"/>
  <c r="F1616" i="4" s="1"/>
  <c r="F1617" i="4" s="1"/>
  <c r="F1618" i="4" s="1"/>
  <c r="F1619" i="4" s="1"/>
  <c r="F1620" i="4" s="1"/>
  <c r="F1621" i="4" s="1"/>
  <c r="E1612" i="4"/>
  <c r="E1613" i="4" s="1"/>
  <c r="E1614" i="4" s="1"/>
  <c r="E1615" i="4" s="1"/>
  <c r="E1616" i="4" s="1"/>
  <c r="E1617" i="4" s="1"/>
  <c r="E1618" i="4" s="1"/>
  <c r="E1619" i="4" s="1"/>
  <c r="E1620" i="4" s="1"/>
  <c r="E1621" i="4" s="1"/>
  <c r="L1610" i="4"/>
  <c r="L1609" i="4"/>
  <c r="G1609" i="4"/>
  <c r="L1608" i="4"/>
  <c r="L1607" i="4"/>
  <c r="L1606" i="4"/>
  <c r="L1605" i="4"/>
  <c r="L1604" i="4"/>
  <c r="L1603" i="4"/>
  <c r="L1602" i="4"/>
  <c r="L1601" i="4"/>
  <c r="L1600" i="4"/>
  <c r="F1600" i="4"/>
  <c r="F1601" i="4" s="1"/>
  <c r="F1602" i="4" s="1"/>
  <c r="F1603" i="4" s="1"/>
  <c r="F1604" i="4" s="1"/>
  <c r="F1605" i="4" s="1"/>
  <c r="F1606" i="4" s="1"/>
  <c r="F1607" i="4" s="1"/>
  <c r="F1608" i="4" s="1"/>
  <c r="F1609" i="4" s="1"/>
  <c r="E1600" i="4"/>
  <c r="E1601" i="4" s="1"/>
  <c r="E1602" i="4" s="1"/>
  <c r="E1603" i="4" s="1"/>
  <c r="E1604" i="4" s="1"/>
  <c r="E1605" i="4" s="1"/>
  <c r="E1606" i="4" s="1"/>
  <c r="E1607" i="4" s="1"/>
  <c r="E1608" i="4" s="1"/>
  <c r="E1609" i="4" s="1"/>
  <c r="L1597" i="4"/>
  <c r="G1597" i="4"/>
  <c r="L1595" i="4"/>
  <c r="L1594" i="4"/>
  <c r="L1593" i="4"/>
  <c r="L1592" i="4"/>
  <c r="L1591" i="4"/>
  <c r="L1590" i="4"/>
  <c r="L1589" i="4"/>
  <c r="L1588" i="4"/>
  <c r="F1588" i="4"/>
  <c r="F1589" i="4" s="1"/>
  <c r="F1590" i="4" s="1"/>
  <c r="F1591" i="4" s="1"/>
  <c r="F1592" i="4" s="1"/>
  <c r="F1593" i="4" s="1"/>
  <c r="F1594" i="4" s="1"/>
  <c r="F1595" i="4" s="1"/>
  <c r="F1596" i="4" s="1"/>
  <c r="F1597" i="4" s="1"/>
  <c r="E1588" i="4"/>
  <c r="E1589" i="4" s="1"/>
  <c r="E1590" i="4" s="1"/>
  <c r="E1591" i="4" s="1"/>
  <c r="E1592" i="4" s="1"/>
  <c r="E1593" i="4" s="1"/>
  <c r="E1594" i="4" s="1"/>
  <c r="E1595" i="4" s="1"/>
  <c r="E1596" i="4" s="1"/>
  <c r="E1597" i="4" s="1"/>
  <c r="L1587" i="4"/>
  <c r="L1586" i="4"/>
  <c r="G1585" i="4"/>
  <c r="L1583" i="4"/>
  <c r="L1582" i="4"/>
  <c r="L1581" i="4"/>
  <c r="L1580" i="4"/>
  <c r="L1579" i="4"/>
  <c r="F1576" i="4"/>
  <c r="F1577" i="4" s="1"/>
  <c r="F1578" i="4" s="1"/>
  <c r="F1579" i="4" s="1"/>
  <c r="F1580" i="4" s="1"/>
  <c r="F1581" i="4" s="1"/>
  <c r="F1582" i="4" s="1"/>
  <c r="F1583" i="4" s="1"/>
  <c r="F1584" i="4" s="1"/>
  <c r="F1585" i="4" s="1"/>
  <c r="E1576" i="4"/>
  <c r="E1577" i="4" s="1"/>
  <c r="E1578" i="4" s="1"/>
  <c r="E1579" i="4" s="1"/>
  <c r="E1580" i="4" s="1"/>
  <c r="E1581" i="4" s="1"/>
  <c r="E1582" i="4" s="1"/>
  <c r="E1583" i="4" s="1"/>
  <c r="E1584" i="4" s="1"/>
  <c r="E1585" i="4" s="1"/>
  <c r="L1575" i="4"/>
  <c r="L1574" i="4"/>
  <c r="G1573" i="4"/>
  <c r="L1572" i="4"/>
  <c r="L1570" i="4"/>
  <c r="L1567" i="4"/>
  <c r="L1566" i="4"/>
  <c r="L1565" i="4"/>
  <c r="L1564" i="4"/>
  <c r="F1564" i="4"/>
  <c r="F1565" i="4" s="1"/>
  <c r="F1566" i="4" s="1"/>
  <c r="F1567" i="4" s="1"/>
  <c r="F1568" i="4" s="1"/>
  <c r="F1569" i="4" s="1"/>
  <c r="F1570" i="4" s="1"/>
  <c r="F1571" i="4" s="1"/>
  <c r="F1572" i="4" s="1"/>
  <c r="F1573" i="4" s="1"/>
  <c r="E1564" i="4"/>
  <c r="E1565" i="4" s="1"/>
  <c r="E1566" i="4" s="1"/>
  <c r="E1567" i="4" s="1"/>
  <c r="E1568" i="4" s="1"/>
  <c r="E1569" i="4" s="1"/>
  <c r="E1570" i="4" s="1"/>
  <c r="E1571" i="4" s="1"/>
  <c r="E1572" i="4" s="1"/>
  <c r="E1573" i="4" s="1"/>
  <c r="L1563" i="4"/>
  <c r="L1562" i="4"/>
  <c r="G1561" i="4"/>
  <c r="L1560" i="4"/>
  <c r="L1558" i="4"/>
  <c r="L1557" i="4"/>
  <c r="L1555" i="4"/>
  <c r="L1554" i="4"/>
  <c r="L1553" i="4"/>
  <c r="L1552" i="4"/>
  <c r="F1552" i="4"/>
  <c r="F1553" i="4" s="1"/>
  <c r="F1554" i="4" s="1"/>
  <c r="F1555" i="4" s="1"/>
  <c r="F1556" i="4" s="1"/>
  <c r="F1557" i="4" s="1"/>
  <c r="F1558" i="4" s="1"/>
  <c r="F1559" i="4" s="1"/>
  <c r="F1560" i="4" s="1"/>
  <c r="F1561" i="4" s="1"/>
  <c r="E1552" i="4"/>
  <c r="E1553" i="4" s="1"/>
  <c r="E1554" i="4" s="1"/>
  <c r="E1555" i="4" s="1"/>
  <c r="E1556" i="4" s="1"/>
  <c r="E1557" i="4" s="1"/>
  <c r="E1558" i="4" s="1"/>
  <c r="E1559" i="4" s="1"/>
  <c r="E1560" i="4" s="1"/>
  <c r="E1561" i="4" s="1"/>
  <c r="L1551" i="4"/>
  <c r="L1550" i="4"/>
  <c r="G1549" i="4"/>
  <c r="L1546" i="4"/>
  <c r="L1545" i="4"/>
  <c r="L1544" i="4"/>
  <c r="L1543" i="4"/>
  <c r="L1542" i="4"/>
  <c r="L1541" i="4"/>
  <c r="L1540" i="4"/>
  <c r="F1540" i="4"/>
  <c r="F1541" i="4" s="1"/>
  <c r="F1542" i="4" s="1"/>
  <c r="F1543" i="4" s="1"/>
  <c r="F1544" i="4" s="1"/>
  <c r="F1545" i="4" s="1"/>
  <c r="F1546" i="4" s="1"/>
  <c r="F1547" i="4" s="1"/>
  <c r="F1548" i="4" s="1"/>
  <c r="F1549" i="4" s="1"/>
  <c r="E1540" i="4"/>
  <c r="E1541" i="4" s="1"/>
  <c r="E1542" i="4" s="1"/>
  <c r="E1543" i="4" s="1"/>
  <c r="E1544" i="4" s="1"/>
  <c r="E1545" i="4" s="1"/>
  <c r="E1546" i="4" s="1"/>
  <c r="E1547" i="4" s="1"/>
  <c r="E1548" i="4" s="1"/>
  <c r="E1549" i="4" s="1"/>
  <c r="L1539" i="4"/>
  <c r="L1538" i="4"/>
  <c r="G1537" i="4"/>
  <c r="L1535" i="4"/>
  <c r="L1534" i="4"/>
  <c r="L1533" i="4"/>
  <c r="L1532" i="4"/>
  <c r="L1531" i="4"/>
  <c r="L1530" i="4"/>
  <c r="F1528" i="4"/>
  <c r="F1529" i="4" s="1"/>
  <c r="F1530" i="4" s="1"/>
  <c r="F1531" i="4" s="1"/>
  <c r="F1532" i="4" s="1"/>
  <c r="F1533" i="4" s="1"/>
  <c r="F1534" i="4" s="1"/>
  <c r="F1535" i="4" s="1"/>
  <c r="F1536" i="4" s="1"/>
  <c r="F1537" i="4" s="1"/>
  <c r="E1528" i="4"/>
  <c r="E1529" i="4" s="1"/>
  <c r="E1530" i="4" s="1"/>
  <c r="E1531" i="4" s="1"/>
  <c r="E1532" i="4" s="1"/>
  <c r="E1533" i="4" s="1"/>
  <c r="E1534" i="4" s="1"/>
  <c r="E1535" i="4" s="1"/>
  <c r="E1536" i="4" s="1"/>
  <c r="E1537" i="4" s="1"/>
  <c r="L1527" i="4"/>
  <c r="L1525" i="4"/>
  <c r="G1525" i="4"/>
  <c r="L1524" i="4"/>
  <c r="L1523" i="4"/>
  <c r="L1522" i="4"/>
  <c r="L1521" i="4"/>
  <c r="L1520" i="4"/>
  <c r="L1519" i="4"/>
  <c r="L1518" i="4"/>
  <c r="L1517" i="4"/>
  <c r="L1516" i="4"/>
  <c r="F1516" i="4"/>
  <c r="F1517" i="4" s="1"/>
  <c r="F1518" i="4" s="1"/>
  <c r="F1519" i="4" s="1"/>
  <c r="F1520" i="4" s="1"/>
  <c r="F1521" i="4" s="1"/>
  <c r="F1522" i="4" s="1"/>
  <c r="F1523" i="4" s="1"/>
  <c r="F1524" i="4" s="1"/>
  <c r="F1525" i="4" s="1"/>
  <c r="E1516" i="4"/>
  <c r="E1517" i="4" s="1"/>
  <c r="E1518" i="4" s="1"/>
  <c r="E1519" i="4" s="1"/>
  <c r="E1520" i="4" s="1"/>
  <c r="E1521" i="4" s="1"/>
  <c r="E1522" i="4" s="1"/>
  <c r="E1523" i="4" s="1"/>
  <c r="E1524" i="4" s="1"/>
  <c r="E1525" i="4" s="1"/>
  <c r="L1515" i="4"/>
  <c r="L1514" i="4"/>
  <c r="L1513" i="4"/>
  <c r="G1513" i="4"/>
  <c r="L1512" i="4"/>
  <c r="L1510" i="4"/>
  <c r="L1509" i="4"/>
  <c r="L1508" i="4"/>
  <c r="L1507" i="4"/>
  <c r="L1506" i="4"/>
  <c r="L1505" i="4"/>
  <c r="L1504" i="4"/>
  <c r="F1504" i="4"/>
  <c r="F1505" i="4" s="1"/>
  <c r="F1506" i="4" s="1"/>
  <c r="F1507" i="4" s="1"/>
  <c r="F1508" i="4" s="1"/>
  <c r="F1509" i="4" s="1"/>
  <c r="F1510" i="4" s="1"/>
  <c r="F1511" i="4" s="1"/>
  <c r="F1512" i="4" s="1"/>
  <c r="F1513" i="4" s="1"/>
  <c r="E1504" i="4"/>
  <c r="E1505" i="4" s="1"/>
  <c r="E1506" i="4" s="1"/>
  <c r="E1507" i="4" s="1"/>
  <c r="E1508" i="4" s="1"/>
  <c r="E1509" i="4" s="1"/>
  <c r="E1510" i="4" s="1"/>
  <c r="E1511" i="4" s="1"/>
  <c r="E1512" i="4" s="1"/>
  <c r="E1513" i="4" s="1"/>
  <c r="L1501" i="4"/>
  <c r="G1501" i="4"/>
  <c r="L1500" i="4"/>
  <c r="L1499" i="4"/>
  <c r="L1498" i="4"/>
  <c r="L1497" i="4"/>
  <c r="L1496" i="4"/>
  <c r="L1495" i="4"/>
  <c r="L1494" i="4"/>
  <c r="L1492" i="4"/>
  <c r="F1492" i="4"/>
  <c r="F1493" i="4" s="1"/>
  <c r="F1494" i="4" s="1"/>
  <c r="F1495" i="4" s="1"/>
  <c r="F1496" i="4" s="1"/>
  <c r="F1497" i="4" s="1"/>
  <c r="F1498" i="4" s="1"/>
  <c r="F1499" i="4" s="1"/>
  <c r="F1500" i="4" s="1"/>
  <c r="F1501" i="4" s="1"/>
  <c r="E1492" i="4"/>
  <c r="E1493" i="4" s="1"/>
  <c r="E1494" i="4" s="1"/>
  <c r="E1495" i="4" s="1"/>
  <c r="E1496" i="4" s="1"/>
  <c r="E1497" i="4" s="1"/>
  <c r="E1498" i="4" s="1"/>
  <c r="E1499" i="4" s="1"/>
  <c r="E1500" i="4" s="1"/>
  <c r="E1501" i="4" s="1"/>
  <c r="L1491" i="4"/>
  <c r="L1490" i="4"/>
  <c r="L1489" i="4"/>
  <c r="G1489" i="4"/>
  <c r="L1488" i="4"/>
  <c r="L1487" i="4"/>
  <c r="L1486" i="4"/>
  <c r="L1485" i="4"/>
  <c r="L1484" i="4"/>
  <c r="L1483" i="4"/>
  <c r="L1482" i="4"/>
  <c r="L1480" i="4"/>
  <c r="F1480" i="4"/>
  <c r="F1481" i="4" s="1"/>
  <c r="F1482" i="4" s="1"/>
  <c r="F1483" i="4" s="1"/>
  <c r="F1484" i="4" s="1"/>
  <c r="F1485" i="4" s="1"/>
  <c r="F1486" i="4" s="1"/>
  <c r="F1487" i="4" s="1"/>
  <c r="F1488" i="4" s="1"/>
  <c r="F1489" i="4" s="1"/>
  <c r="E1480" i="4"/>
  <c r="E1481" i="4" s="1"/>
  <c r="E1482" i="4" s="1"/>
  <c r="E1483" i="4" s="1"/>
  <c r="E1484" i="4" s="1"/>
  <c r="E1485" i="4" s="1"/>
  <c r="E1486" i="4" s="1"/>
  <c r="E1487" i="4" s="1"/>
  <c r="E1488" i="4" s="1"/>
  <c r="E1489" i="4" s="1"/>
  <c r="L1479" i="4"/>
  <c r="L1478" i="4"/>
  <c r="L1477" i="4"/>
  <c r="G1477" i="4"/>
  <c r="L1476" i="4"/>
  <c r="L1475" i="4"/>
  <c r="L1473" i="4"/>
  <c r="L1472" i="4"/>
  <c r="L1471" i="4"/>
  <c r="L1470" i="4"/>
  <c r="L1469" i="4"/>
  <c r="L1468" i="4"/>
  <c r="F1468" i="4"/>
  <c r="F1469" i="4" s="1"/>
  <c r="F1470" i="4" s="1"/>
  <c r="F1471" i="4" s="1"/>
  <c r="F1472" i="4" s="1"/>
  <c r="F1473" i="4" s="1"/>
  <c r="F1474" i="4" s="1"/>
  <c r="F1475" i="4" s="1"/>
  <c r="F1476" i="4" s="1"/>
  <c r="F1477" i="4" s="1"/>
  <c r="E1468" i="4"/>
  <c r="E1469" i="4" s="1"/>
  <c r="E1470" i="4" s="1"/>
  <c r="E1471" i="4" s="1"/>
  <c r="E1472" i="4" s="1"/>
  <c r="E1473" i="4" s="1"/>
  <c r="E1474" i="4" s="1"/>
  <c r="E1475" i="4" s="1"/>
  <c r="E1476" i="4" s="1"/>
  <c r="E1477" i="4" s="1"/>
  <c r="L1467" i="4"/>
  <c r="L1466" i="4"/>
  <c r="L1465" i="4"/>
  <c r="G1465" i="4"/>
  <c r="L1464" i="4"/>
  <c r="L1461" i="4"/>
  <c r="L1460" i="4"/>
  <c r="L1459" i="4"/>
  <c r="L1458" i="4"/>
  <c r="L1457" i="4"/>
  <c r="L1456" i="4"/>
  <c r="F1456" i="4"/>
  <c r="F1457" i="4" s="1"/>
  <c r="F1458" i="4" s="1"/>
  <c r="F1459" i="4" s="1"/>
  <c r="F1460" i="4" s="1"/>
  <c r="F1461" i="4" s="1"/>
  <c r="F1462" i="4" s="1"/>
  <c r="F1463" i="4" s="1"/>
  <c r="F1464" i="4" s="1"/>
  <c r="F1465" i="4" s="1"/>
  <c r="E1456" i="4"/>
  <c r="E1457" i="4" s="1"/>
  <c r="E1458" i="4" s="1"/>
  <c r="E1459" i="4" s="1"/>
  <c r="E1460" i="4" s="1"/>
  <c r="E1461" i="4" s="1"/>
  <c r="E1462" i="4" s="1"/>
  <c r="E1463" i="4" s="1"/>
  <c r="E1464" i="4" s="1"/>
  <c r="E1465" i="4" s="1"/>
  <c r="L1455" i="4"/>
  <c r="L1454" i="4"/>
  <c r="L1453" i="4"/>
  <c r="G1453" i="4"/>
  <c r="L1452" i="4"/>
  <c r="L1451" i="4"/>
  <c r="L1449" i="4"/>
  <c r="L1448" i="4"/>
  <c r="L1447" i="4"/>
  <c r="L1446" i="4"/>
  <c r="L1445" i="4"/>
  <c r="L1444" i="4"/>
  <c r="F1444" i="4"/>
  <c r="F1445" i="4" s="1"/>
  <c r="F1446" i="4" s="1"/>
  <c r="F1447" i="4" s="1"/>
  <c r="F1448" i="4" s="1"/>
  <c r="F1449" i="4" s="1"/>
  <c r="F1450" i="4" s="1"/>
  <c r="F1451" i="4" s="1"/>
  <c r="F1452" i="4" s="1"/>
  <c r="F1453" i="4" s="1"/>
  <c r="E1444" i="4"/>
  <c r="E1445" i="4" s="1"/>
  <c r="E1446" i="4" s="1"/>
  <c r="E1447" i="4" s="1"/>
  <c r="E1448" i="4" s="1"/>
  <c r="E1449" i="4" s="1"/>
  <c r="E1450" i="4" s="1"/>
  <c r="E1451" i="4" s="1"/>
  <c r="E1452" i="4" s="1"/>
  <c r="E1453" i="4" s="1"/>
  <c r="L1443" i="4"/>
  <c r="L1442" i="4"/>
  <c r="G1441" i="4"/>
  <c r="L1440" i="4"/>
  <c r="L1437" i="4"/>
  <c r="L1435" i="4"/>
  <c r="L1434" i="4"/>
  <c r="L1433" i="4"/>
  <c r="L1432" i="4"/>
  <c r="F1432" i="4"/>
  <c r="F1433" i="4" s="1"/>
  <c r="F1434" i="4" s="1"/>
  <c r="F1435" i="4" s="1"/>
  <c r="F1436" i="4" s="1"/>
  <c r="F1437" i="4" s="1"/>
  <c r="F1438" i="4" s="1"/>
  <c r="F1439" i="4" s="1"/>
  <c r="F1440" i="4" s="1"/>
  <c r="F1441" i="4" s="1"/>
  <c r="E1432" i="4"/>
  <c r="E1433" i="4" s="1"/>
  <c r="E1434" i="4" s="1"/>
  <c r="E1435" i="4" s="1"/>
  <c r="E1436" i="4" s="1"/>
  <c r="E1437" i="4" s="1"/>
  <c r="E1438" i="4" s="1"/>
  <c r="E1439" i="4" s="1"/>
  <c r="E1440" i="4" s="1"/>
  <c r="E1441" i="4" s="1"/>
  <c r="L1431" i="4"/>
  <c r="L1430" i="4"/>
  <c r="L1429" i="4"/>
  <c r="G1429" i="4"/>
  <c r="L1428" i="4"/>
  <c r="L1427" i="4"/>
  <c r="L1426" i="4"/>
  <c r="L1425" i="4"/>
  <c r="L1424" i="4"/>
  <c r="L1423" i="4"/>
  <c r="L1421" i="4"/>
  <c r="F1420" i="4"/>
  <c r="F1421" i="4" s="1"/>
  <c r="F1422" i="4" s="1"/>
  <c r="F1423" i="4" s="1"/>
  <c r="F1424" i="4" s="1"/>
  <c r="F1425" i="4" s="1"/>
  <c r="F1426" i="4" s="1"/>
  <c r="F1427" i="4" s="1"/>
  <c r="F1428" i="4" s="1"/>
  <c r="F1429" i="4" s="1"/>
  <c r="E1420" i="4"/>
  <c r="E1421" i="4" s="1"/>
  <c r="E1422" i="4" s="1"/>
  <c r="E1423" i="4" s="1"/>
  <c r="E1424" i="4" s="1"/>
  <c r="E1425" i="4" s="1"/>
  <c r="E1426" i="4" s="1"/>
  <c r="E1427" i="4" s="1"/>
  <c r="E1428" i="4" s="1"/>
  <c r="E1429" i="4" s="1"/>
  <c r="L1418" i="4"/>
  <c r="G1417" i="4"/>
  <c r="L1416" i="4"/>
  <c r="L1415" i="4"/>
  <c r="L1414" i="4"/>
  <c r="L1413" i="4"/>
  <c r="L1412" i="4"/>
  <c r="L1411" i="4"/>
  <c r="L1410" i="4"/>
  <c r="L1409" i="4"/>
  <c r="F1408" i="4"/>
  <c r="F1409" i="4" s="1"/>
  <c r="F1410" i="4" s="1"/>
  <c r="F1411" i="4" s="1"/>
  <c r="F1412" i="4" s="1"/>
  <c r="F1413" i="4" s="1"/>
  <c r="F1414" i="4" s="1"/>
  <c r="F1415" i="4" s="1"/>
  <c r="F1416" i="4" s="1"/>
  <c r="F1417" i="4" s="1"/>
  <c r="E1408" i="4"/>
  <c r="E1409" i="4" s="1"/>
  <c r="E1410" i="4" s="1"/>
  <c r="E1411" i="4" s="1"/>
  <c r="E1412" i="4" s="1"/>
  <c r="E1413" i="4" s="1"/>
  <c r="E1414" i="4" s="1"/>
  <c r="E1415" i="4" s="1"/>
  <c r="E1416" i="4" s="1"/>
  <c r="E1417" i="4" s="1"/>
  <c r="L1407" i="4"/>
  <c r="L1406" i="4"/>
  <c r="E1382" i="4"/>
  <c r="E1383" i="4" s="1"/>
  <c r="K1380" i="4"/>
  <c r="K1381" i="4"/>
  <c r="J1381" i="4"/>
  <c r="J1380" i="4"/>
  <c r="K1371" i="4"/>
  <c r="L1371" i="4" s="1"/>
  <c r="E1370" i="4"/>
  <c r="E1371" i="4" s="1"/>
  <c r="K1369" i="4"/>
  <c r="J1369" i="4"/>
  <c r="K1368" i="4"/>
  <c r="J1368" i="4"/>
  <c r="E1358" i="4"/>
  <c r="E1359" i="4" s="1"/>
  <c r="J1357" i="4"/>
  <c r="K1357" i="4"/>
  <c r="K1346" i="4"/>
  <c r="K1347" i="4"/>
  <c r="L1347" i="4" s="1"/>
  <c r="J1346" i="4"/>
  <c r="E1346" i="4"/>
  <c r="E1347" i="4" s="1"/>
  <c r="K1334" i="4"/>
  <c r="J1334" i="4"/>
  <c r="E1322" i="4"/>
  <c r="K1331" i="4"/>
  <c r="J1331" i="4"/>
  <c r="E1334" i="4"/>
  <c r="E1335" i="4" s="1"/>
  <c r="E1323" i="4"/>
  <c r="E1310" i="4"/>
  <c r="E1311" i="4" s="1"/>
  <c r="K1319" i="4"/>
  <c r="J1319" i="4"/>
  <c r="K1317" i="4"/>
  <c r="K1307" i="4"/>
  <c r="J1307" i="4"/>
  <c r="K1305" i="4"/>
  <c r="J1305" i="4"/>
  <c r="E1298" i="4"/>
  <c r="E1299" i="4" s="1"/>
  <c r="J1293" i="4"/>
  <c r="K1293" i="4"/>
  <c r="E1286" i="4"/>
  <c r="K1281" i="4"/>
  <c r="J1281" i="4"/>
  <c r="K1283" i="4"/>
  <c r="J1283" i="4"/>
  <c r="E1274" i="4"/>
  <c r="E1275" i="4" s="1"/>
  <c r="E1262" i="4"/>
  <c r="E1263" i="4" s="1"/>
  <c r="K1269" i="4"/>
  <c r="J1269" i="4"/>
  <c r="K1257" i="4"/>
  <c r="J1257" i="4"/>
  <c r="K1250" i="4"/>
  <c r="J1250" i="4"/>
  <c r="K1259" i="4"/>
  <c r="L1259" i="4" s="1"/>
  <c r="J1259" i="4"/>
  <c r="K1260" i="4"/>
  <c r="L1260" i="4" s="1"/>
  <c r="J1260" i="4"/>
  <c r="K1261" i="4"/>
  <c r="J1261" i="4"/>
  <c r="L1261" i="4" s="1"/>
  <c r="E1250" i="4"/>
  <c r="E1251" i="4" s="1"/>
  <c r="E1238" i="4"/>
  <c r="E1239" i="4" s="1"/>
  <c r="J1238" i="4"/>
  <c r="L1238" i="4" s="1"/>
  <c r="K1245" i="4"/>
  <c r="J1245" i="4"/>
  <c r="L1245" i="4" s="1"/>
  <c r="K1239" i="4"/>
  <c r="K1247" i="4"/>
  <c r="J1247" i="4"/>
  <c r="K1248" i="4"/>
  <c r="J1248" i="4"/>
  <c r="K1249" i="4"/>
  <c r="L1249" i="4" s="1"/>
  <c r="J1249" i="4"/>
  <c r="J1233" i="4"/>
  <c r="G1405" i="4"/>
  <c r="L1404" i="4"/>
  <c r="L1403" i="4"/>
  <c r="L1402" i="4"/>
  <c r="L1401" i="4"/>
  <c r="L1400" i="4"/>
  <c r="L1399" i="4"/>
  <c r="L1397" i="4"/>
  <c r="L1396" i="4"/>
  <c r="F1396" i="4"/>
  <c r="F1397" i="4" s="1"/>
  <c r="F1398" i="4" s="1"/>
  <c r="F1399" i="4" s="1"/>
  <c r="F1400" i="4" s="1"/>
  <c r="F1401" i="4" s="1"/>
  <c r="F1402" i="4" s="1"/>
  <c r="F1403" i="4" s="1"/>
  <c r="F1404" i="4" s="1"/>
  <c r="F1405" i="4" s="1"/>
  <c r="E1396" i="4"/>
  <c r="E1397" i="4" s="1"/>
  <c r="E1398" i="4" s="1"/>
  <c r="E1399" i="4" s="1"/>
  <c r="E1400" i="4" s="1"/>
  <c r="E1401" i="4" s="1"/>
  <c r="E1402" i="4" s="1"/>
  <c r="E1403" i="4" s="1"/>
  <c r="E1404" i="4" s="1"/>
  <c r="E1405" i="4" s="1"/>
  <c r="L1395" i="4"/>
  <c r="L1394" i="4"/>
  <c r="L1393" i="4"/>
  <c r="G1393" i="4"/>
  <c r="L1390" i="4"/>
  <c r="L1389" i="4"/>
  <c r="L1388" i="4"/>
  <c r="L1387" i="4"/>
  <c r="L1386" i="4"/>
  <c r="F1385" i="4"/>
  <c r="F1386" i="4" s="1"/>
  <c r="F1387" i="4" s="1"/>
  <c r="F1388" i="4" s="1"/>
  <c r="F1389" i="4" s="1"/>
  <c r="F1390" i="4" s="1"/>
  <c r="F1391" i="4" s="1"/>
  <c r="F1392" i="4" s="1"/>
  <c r="F1393" i="4" s="1"/>
  <c r="F1384" i="4"/>
  <c r="E1384" i="4"/>
  <c r="E1385" i="4" s="1"/>
  <c r="E1386" i="4" s="1"/>
  <c r="E1387" i="4" s="1"/>
  <c r="E1388" i="4" s="1"/>
  <c r="E1389" i="4" s="1"/>
  <c r="E1390" i="4" s="1"/>
  <c r="E1391" i="4" s="1"/>
  <c r="E1392" i="4" s="1"/>
  <c r="E1393" i="4" s="1"/>
  <c r="L1383" i="4"/>
  <c r="L1382" i="4"/>
  <c r="G1381" i="4"/>
  <c r="L1379" i="4"/>
  <c r="L1378" i="4"/>
  <c r="L1377" i="4"/>
  <c r="L1376" i="4"/>
  <c r="L1375" i="4"/>
  <c r="L1374" i="4"/>
  <c r="L1373" i="4"/>
  <c r="L1372" i="4"/>
  <c r="F1372" i="4"/>
  <c r="F1373" i="4" s="1"/>
  <c r="F1374" i="4" s="1"/>
  <c r="F1375" i="4" s="1"/>
  <c r="F1376" i="4" s="1"/>
  <c r="F1377" i="4" s="1"/>
  <c r="F1378" i="4" s="1"/>
  <c r="F1379" i="4" s="1"/>
  <c r="F1380" i="4" s="1"/>
  <c r="F1381" i="4" s="1"/>
  <c r="E1372" i="4"/>
  <c r="E1373" i="4" s="1"/>
  <c r="E1374" i="4" s="1"/>
  <c r="E1375" i="4" s="1"/>
  <c r="E1376" i="4" s="1"/>
  <c r="E1377" i="4" s="1"/>
  <c r="E1378" i="4" s="1"/>
  <c r="E1379" i="4" s="1"/>
  <c r="E1380" i="4" s="1"/>
  <c r="E1381" i="4" s="1"/>
  <c r="L1370" i="4"/>
  <c r="G1369" i="4"/>
  <c r="L1367" i="4"/>
  <c r="L1366" i="4"/>
  <c r="L1365" i="4"/>
  <c r="L1364" i="4"/>
  <c r="L1363" i="4"/>
  <c r="L1362" i="4"/>
  <c r="L1361" i="4"/>
  <c r="L1360" i="4"/>
  <c r="F1360" i="4"/>
  <c r="F1361" i="4" s="1"/>
  <c r="F1362" i="4" s="1"/>
  <c r="F1363" i="4" s="1"/>
  <c r="F1364" i="4" s="1"/>
  <c r="F1365" i="4" s="1"/>
  <c r="F1366" i="4" s="1"/>
  <c r="F1367" i="4" s="1"/>
  <c r="F1368" i="4" s="1"/>
  <c r="F1369" i="4" s="1"/>
  <c r="E1360" i="4"/>
  <c r="E1361" i="4" s="1"/>
  <c r="E1362" i="4" s="1"/>
  <c r="E1363" i="4" s="1"/>
  <c r="E1364" i="4" s="1"/>
  <c r="E1365" i="4" s="1"/>
  <c r="E1366" i="4" s="1"/>
  <c r="E1367" i="4" s="1"/>
  <c r="E1368" i="4" s="1"/>
  <c r="E1369" i="4" s="1"/>
  <c r="L1359" i="4"/>
  <c r="L1358" i="4"/>
  <c r="G1357" i="4"/>
  <c r="L1356" i="4"/>
  <c r="L1355" i="4"/>
  <c r="L1354" i="4"/>
  <c r="L1353" i="4"/>
  <c r="L1352" i="4"/>
  <c r="L1351" i="4"/>
  <c r="L1350" i="4"/>
  <c r="L1349" i="4"/>
  <c r="L1348" i="4"/>
  <c r="F1348" i="4"/>
  <c r="F1349" i="4" s="1"/>
  <c r="F1350" i="4" s="1"/>
  <c r="F1351" i="4" s="1"/>
  <c r="F1352" i="4" s="1"/>
  <c r="F1353" i="4" s="1"/>
  <c r="F1354" i="4" s="1"/>
  <c r="F1355" i="4" s="1"/>
  <c r="F1356" i="4" s="1"/>
  <c r="F1357" i="4" s="1"/>
  <c r="E1348" i="4"/>
  <c r="E1349" i="4" s="1"/>
  <c r="E1350" i="4" s="1"/>
  <c r="E1351" i="4" s="1"/>
  <c r="E1352" i="4" s="1"/>
  <c r="E1353" i="4" s="1"/>
  <c r="E1354" i="4" s="1"/>
  <c r="E1355" i="4" s="1"/>
  <c r="E1356" i="4" s="1"/>
  <c r="E1357" i="4" s="1"/>
  <c r="L1345" i="4"/>
  <c r="G1345" i="4"/>
  <c r="L1344" i="4"/>
  <c r="L1343" i="4"/>
  <c r="L1342" i="4"/>
  <c r="L1341" i="4"/>
  <c r="L1340" i="4"/>
  <c r="L1339" i="4"/>
  <c r="L1338" i="4"/>
  <c r="L1337" i="4"/>
  <c r="L1336" i="4"/>
  <c r="F1336" i="4"/>
  <c r="F1337" i="4" s="1"/>
  <c r="F1338" i="4" s="1"/>
  <c r="F1339" i="4" s="1"/>
  <c r="F1340" i="4" s="1"/>
  <c r="F1341" i="4" s="1"/>
  <c r="F1342" i="4" s="1"/>
  <c r="F1343" i="4" s="1"/>
  <c r="F1344" i="4" s="1"/>
  <c r="F1345" i="4" s="1"/>
  <c r="E1336" i="4"/>
  <c r="E1337" i="4" s="1"/>
  <c r="E1338" i="4" s="1"/>
  <c r="E1339" i="4" s="1"/>
  <c r="E1340" i="4" s="1"/>
  <c r="E1341" i="4" s="1"/>
  <c r="E1342" i="4" s="1"/>
  <c r="E1343" i="4" s="1"/>
  <c r="E1344" i="4" s="1"/>
  <c r="E1345" i="4" s="1"/>
  <c r="L1335" i="4"/>
  <c r="L1333" i="4"/>
  <c r="G1333" i="4"/>
  <c r="L1332" i="4"/>
  <c r="L1330" i="4"/>
  <c r="L1329" i="4"/>
  <c r="L1328" i="4"/>
  <c r="L1327" i="4"/>
  <c r="L1326" i="4"/>
  <c r="L1325" i="4"/>
  <c r="L1324" i="4"/>
  <c r="F1324" i="4"/>
  <c r="F1325" i="4" s="1"/>
  <c r="F1326" i="4" s="1"/>
  <c r="F1327" i="4" s="1"/>
  <c r="F1328" i="4" s="1"/>
  <c r="F1329" i="4" s="1"/>
  <c r="F1330" i="4" s="1"/>
  <c r="F1331" i="4" s="1"/>
  <c r="F1332" i="4" s="1"/>
  <c r="F1333" i="4" s="1"/>
  <c r="E1324" i="4"/>
  <c r="E1325" i="4" s="1"/>
  <c r="E1326" i="4" s="1"/>
  <c r="E1327" i="4" s="1"/>
  <c r="E1328" i="4" s="1"/>
  <c r="E1329" i="4" s="1"/>
  <c r="E1330" i="4" s="1"/>
  <c r="E1331" i="4" s="1"/>
  <c r="E1332" i="4" s="1"/>
  <c r="E1333" i="4" s="1"/>
  <c r="L1323" i="4"/>
  <c r="L1322" i="4"/>
  <c r="L1321" i="4"/>
  <c r="G1321" i="4"/>
  <c r="L1320" i="4"/>
  <c r="L1318" i="4"/>
  <c r="L1317" i="4"/>
  <c r="L1316" i="4"/>
  <c r="L1315" i="4"/>
  <c r="L1314" i="4"/>
  <c r="L1313" i="4"/>
  <c r="L1312" i="4"/>
  <c r="F1312" i="4"/>
  <c r="F1313" i="4" s="1"/>
  <c r="F1314" i="4" s="1"/>
  <c r="F1315" i="4" s="1"/>
  <c r="F1316" i="4" s="1"/>
  <c r="F1317" i="4" s="1"/>
  <c r="F1318" i="4" s="1"/>
  <c r="F1319" i="4" s="1"/>
  <c r="F1320" i="4" s="1"/>
  <c r="F1321" i="4" s="1"/>
  <c r="E1312" i="4"/>
  <c r="E1313" i="4" s="1"/>
  <c r="E1314" i="4" s="1"/>
  <c r="E1315" i="4" s="1"/>
  <c r="E1316" i="4" s="1"/>
  <c r="E1317" i="4" s="1"/>
  <c r="E1318" i="4" s="1"/>
  <c r="E1319" i="4" s="1"/>
  <c r="E1320" i="4" s="1"/>
  <c r="E1321" i="4" s="1"/>
  <c r="L1311" i="4"/>
  <c r="L1310" i="4"/>
  <c r="L1309" i="4"/>
  <c r="G1309" i="4"/>
  <c r="L1308" i="4"/>
  <c r="L1306" i="4"/>
  <c r="L1304" i="4"/>
  <c r="L1303" i="4"/>
  <c r="L1302" i="4"/>
  <c r="L1301" i="4"/>
  <c r="L1300" i="4"/>
  <c r="F1300" i="4"/>
  <c r="F1301" i="4" s="1"/>
  <c r="F1302" i="4" s="1"/>
  <c r="F1303" i="4" s="1"/>
  <c r="F1304" i="4" s="1"/>
  <c r="F1305" i="4" s="1"/>
  <c r="F1306" i="4" s="1"/>
  <c r="F1307" i="4" s="1"/>
  <c r="F1308" i="4" s="1"/>
  <c r="F1309" i="4" s="1"/>
  <c r="E1300" i="4"/>
  <c r="E1301" i="4" s="1"/>
  <c r="E1302" i="4" s="1"/>
  <c r="E1303" i="4" s="1"/>
  <c r="E1304" i="4" s="1"/>
  <c r="E1305" i="4" s="1"/>
  <c r="E1306" i="4" s="1"/>
  <c r="E1307" i="4" s="1"/>
  <c r="E1308" i="4" s="1"/>
  <c r="E1309" i="4" s="1"/>
  <c r="L1299" i="4"/>
  <c r="L1298" i="4"/>
  <c r="L1297" i="4"/>
  <c r="G1297" i="4"/>
  <c r="L1296" i="4"/>
  <c r="L1295" i="4"/>
  <c r="L1294" i="4"/>
  <c r="L1292" i="4"/>
  <c r="L1291" i="4"/>
  <c r="L1290" i="4"/>
  <c r="L1289" i="4"/>
  <c r="L1288" i="4"/>
  <c r="F1288" i="4"/>
  <c r="F1289" i="4" s="1"/>
  <c r="F1290" i="4" s="1"/>
  <c r="F1291" i="4" s="1"/>
  <c r="F1292" i="4" s="1"/>
  <c r="F1293" i="4" s="1"/>
  <c r="F1294" i="4" s="1"/>
  <c r="F1295" i="4" s="1"/>
  <c r="F1296" i="4" s="1"/>
  <c r="F1297" i="4" s="1"/>
  <c r="E1288" i="4"/>
  <c r="E1289" i="4" s="1"/>
  <c r="E1290" i="4" s="1"/>
  <c r="E1291" i="4" s="1"/>
  <c r="E1292" i="4" s="1"/>
  <c r="E1293" i="4" s="1"/>
  <c r="E1294" i="4" s="1"/>
  <c r="E1295" i="4" s="1"/>
  <c r="E1296" i="4" s="1"/>
  <c r="E1297" i="4" s="1"/>
  <c r="L1287" i="4"/>
  <c r="E1287" i="4"/>
  <c r="L1286" i="4"/>
  <c r="L1285" i="4"/>
  <c r="G1285" i="4"/>
  <c r="L1284" i="4"/>
  <c r="L1282" i="4"/>
  <c r="L1280" i="4"/>
  <c r="L1279" i="4"/>
  <c r="L1278" i="4"/>
  <c r="L1277" i="4"/>
  <c r="L1276" i="4"/>
  <c r="F1276" i="4"/>
  <c r="F1277" i="4" s="1"/>
  <c r="F1278" i="4" s="1"/>
  <c r="F1279" i="4" s="1"/>
  <c r="F1280" i="4" s="1"/>
  <c r="F1281" i="4" s="1"/>
  <c r="F1282" i="4" s="1"/>
  <c r="F1283" i="4" s="1"/>
  <c r="F1284" i="4" s="1"/>
  <c r="F1285" i="4" s="1"/>
  <c r="E1276" i="4"/>
  <c r="E1277" i="4" s="1"/>
  <c r="E1278" i="4" s="1"/>
  <c r="E1279" i="4" s="1"/>
  <c r="E1280" i="4" s="1"/>
  <c r="E1281" i="4" s="1"/>
  <c r="E1282" i="4" s="1"/>
  <c r="E1283" i="4" s="1"/>
  <c r="E1284" i="4" s="1"/>
  <c r="E1285" i="4" s="1"/>
  <c r="L1275" i="4"/>
  <c r="L1274" i="4"/>
  <c r="L1273" i="4"/>
  <c r="G1273" i="4"/>
  <c r="L1272" i="4"/>
  <c r="L1271" i="4"/>
  <c r="L1270" i="4"/>
  <c r="L1269" i="4"/>
  <c r="L1268" i="4"/>
  <c r="L1267" i="4"/>
  <c r="L1266" i="4"/>
  <c r="L1265" i="4"/>
  <c r="L1264" i="4"/>
  <c r="F1264" i="4"/>
  <c r="F1265" i="4" s="1"/>
  <c r="F1266" i="4" s="1"/>
  <c r="F1267" i="4" s="1"/>
  <c r="F1268" i="4" s="1"/>
  <c r="F1269" i="4" s="1"/>
  <c r="F1270" i="4" s="1"/>
  <c r="F1271" i="4" s="1"/>
  <c r="F1272" i="4" s="1"/>
  <c r="F1273" i="4" s="1"/>
  <c r="E1264" i="4"/>
  <c r="E1265" i="4" s="1"/>
  <c r="E1266" i="4" s="1"/>
  <c r="E1267" i="4" s="1"/>
  <c r="E1268" i="4" s="1"/>
  <c r="E1269" i="4" s="1"/>
  <c r="E1270" i="4" s="1"/>
  <c r="E1271" i="4" s="1"/>
  <c r="E1272" i="4" s="1"/>
  <c r="E1273" i="4" s="1"/>
  <c r="L1263" i="4"/>
  <c r="L1262" i="4"/>
  <c r="G1261" i="4"/>
  <c r="L1258" i="4"/>
  <c r="L1256" i="4"/>
  <c r="L1255" i="4"/>
  <c r="L1254" i="4"/>
  <c r="L1253" i="4"/>
  <c r="L1252" i="4"/>
  <c r="F1252" i="4"/>
  <c r="F1253" i="4" s="1"/>
  <c r="F1254" i="4" s="1"/>
  <c r="F1255" i="4" s="1"/>
  <c r="F1256" i="4" s="1"/>
  <c r="F1257" i="4" s="1"/>
  <c r="F1258" i="4" s="1"/>
  <c r="F1259" i="4" s="1"/>
  <c r="F1260" i="4" s="1"/>
  <c r="F1261" i="4" s="1"/>
  <c r="E1252" i="4"/>
  <c r="E1253" i="4" s="1"/>
  <c r="E1254" i="4" s="1"/>
  <c r="E1255" i="4" s="1"/>
  <c r="E1256" i="4" s="1"/>
  <c r="E1257" i="4" s="1"/>
  <c r="E1258" i="4" s="1"/>
  <c r="E1259" i="4" s="1"/>
  <c r="E1260" i="4" s="1"/>
  <c r="E1261" i="4" s="1"/>
  <c r="L1251" i="4"/>
  <c r="G1249" i="4"/>
  <c r="L1246" i="4"/>
  <c r="L1244" i="4"/>
  <c r="L1243" i="4"/>
  <c r="L1242" i="4"/>
  <c r="L1241" i="4"/>
  <c r="L1240" i="4"/>
  <c r="F1240" i="4"/>
  <c r="F1241" i="4" s="1"/>
  <c r="F1242" i="4" s="1"/>
  <c r="F1243" i="4" s="1"/>
  <c r="F1244" i="4" s="1"/>
  <c r="F1245" i="4" s="1"/>
  <c r="F1246" i="4" s="1"/>
  <c r="F1247" i="4" s="1"/>
  <c r="F1248" i="4" s="1"/>
  <c r="F1249" i="4" s="1"/>
  <c r="E1240" i="4"/>
  <c r="E1241" i="4" s="1"/>
  <c r="E1242" i="4" s="1"/>
  <c r="E1243" i="4" s="1"/>
  <c r="E1244" i="4" s="1"/>
  <c r="E1245" i="4" s="1"/>
  <c r="E1246" i="4" s="1"/>
  <c r="E1247" i="4" s="1"/>
  <c r="E1248" i="4" s="1"/>
  <c r="E1249" i="4" s="1"/>
  <c r="L1239" i="4"/>
  <c r="E1226" i="4"/>
  <c r="E1227" i="4" s="1"/>
  <c r="K1226" i="4"/>
  <c r="J1226" i="4"/>
  <c r="K1233" i="4"/>
  <c r="K1235" i="4"/>
  <c r="J1235" i="4"/>
  <c r="K1237" i="4"/>
  <c r="J1237" i="4"/>
  <c r="K1236" i="4"/>
  <c r="J1236" i="4"/>
  <c r="K1227" i="4"/>
  <c r="J1227" i="4"/>
  <c r="J1230" i="4"/>
  <c r="L1230" i="4" s="1"/>
  <c r="G1237" i="4"/>
  <c r="L1234" i="4"/>
  <c r="L1232" i="4"/>
  <c r="L1231" i="4"/>
  <c r="L1229" i="4"/>
  <c r="L1228" i="4"/>
  <c r="F1228" i="4"/>
  <c r="F1229" i="4" s="1"/>
  <c r="F1230" i="4" s="1"/>
  <c r="F1231" i="4" s="1"/>
  <c r="F1232" i="4" s="1"/>
  <c r="F1233" i="4" s="1"/>
  <c r="F1234" i="4" s="1"/>
  <c r="F1235" i="4" s="1"/>
  <c r="F1236" i="4" s="1"/>
  <c r="F1237" i="4" s="1"/>
  <c r="E1228" i="4"/>
  <c r="E1229" i="4" s="1"/>
  <c r="E1230" i="4" s="1"/>
  <c r="E1231" i="4" s="1"/>
  <c r="E1232" i="4" s="1"/>
  <c r="E1233" i="4" s="1"/>
  <c r="E1234" i="4" s="1"/>
  <c r="E1235" i="4" s="1"/>
  <c r="E1236" i="4" s="1"/>
  <c r="E1237" i="4" s="1"/>
  <c r="L1895" i="4" l="1"/>
  <c r="L1911" i="4"/>
  <c r="L1493" i="4"/>
  <c r="L1777" i="4"/>
  <c r="L1293" i="4"/>
  <c r="L1319" i="4"/>
  <c r="L1334" i="4"/>
  <c r="L1381" i="4"/>
  <c r="M1370" i="4" s="1"/>
  <c r="L1537" i="4"/>
  <c r="L1765" i="4"/>
  <c r="L1789" i="4"/>
  <c r="L1689" i="4"/>
  <c r="L1511" i="4"/>
  <c r="L1713" i="4"/>
  <c r="L1706" i="4"/>
  <c r="L1727" i="4"/>
  <c r="M1720" i="4" s="1"/>
  <c r="L1331" i="4"/>
  <c r="L1561" i="4"/>
  <c r="L1573" i="4"/>
  <c r="L1585" i="4"/>
  <c r="L1596" i="4"/>
  <c r="L1611" i="4"/>
  <c r="L1813" i="4"/>
  <c r="L1835" i="4"/>
  <c r="M1835" i="4" s="1"/>
  <c r="L1569" i="4"/>
  <c r="L1578" i="4"/>
  <c r="L1612" i="4"/>
  <c r="L1559" i="4"/>
  <c r="L1679" i="4"/>
  <c r="L1650" i="4"/>
  <c r="L1257" i="4"/>
  <c r="L1307" i="4"/>
  <c r="M1306" i="4" s="1"/>
  <c r="L1729" i="4"/>
  <c r="L1883" i="4"/>
  <c r="L1233" i="4"/>
  <c r="L1392" i="4"/>
  <c r="L1474" i="4"/>
  <c r="L1529" i="4"/>
  <c r="M2456" i="4"/>
  <c r="M2457" i="4"/>
  <c r="M2459" i="4"/>
  <c r="L1625" i="4"/>
  <c r="L1645" i="4"/>
  <c r="M1635" i="4" s="1"/>
  <c r="L1441" i="4"/>
  <c r="L1598" i="4"/>
  <c r="L1707" i="4"/>
  <c r="L1931" i="4"/>
  <c r="L1368" i="4"/>
  <c r="M1365" i="4" s="1"/>
  <c r="L1380" i="4"/>
  <c r="L1420" i="4"/>
  <c r="L1248" i="4"/>
  <c r="L1250" i="4"/>
  <c r="L1283" i="4"/>
  <c r="L1305" i="4"/>
  <c r="L1346" i="4"/>
  <c r="L1369" i="4"/>
  <c r="M1369" i="4" s="1"/>
  <c r="L1631" i="4"/>
  <c r="L1741" i="4"/>
  <c r="M2460" i="4" s="1"/>
  <c r="L1902" i="4"/>
  <c r="L1956" i="4"/>
  <c r="L1247" i="4"/>
  <c r="L1281" i="4"/>
  <c r="L1384" i="4"/>
  <c r="L1837" i="4"/>
  <c r="M1837" i="4" s="1"/>
  <c r="L1710" i="4"/>
  <c r="L1933" i="4"/>
  <c r="M1924" i="4" s="1"/>
  <c r="L1947" i="4"/>
  <c r="L1357" i="4"/>
  <c r="L1881" i="4"/>
  <c r="L1549" i="4"/>
  <c r="L1694" i="4"/>
  <c r="M1697" i="4" s="1"/>
  <c r="L1405" i="4"/>
  <c r="M1398" i="4" s="1"/>
  <c r="L1450" i="4"/>
  <c r="L1548" i="4"/>
  <c r="L1571" i="4"/>
  <c r="L1577" i="4"/>
  <c r="L1621" i="4"/>
  <c r="L1825" i="4"/>
  <c r="M1478" i="4"/>
  <c r="L1792" i="4"/>
  <c r="M1795" i="4" s="1"/>
  <c r="M1668" i="4"/>
  <c r="L1584" i="4"/>
  <c r="L1969" i="4"/>
  <c r="L1960" i="4"/>
  <c r="L1968" i="4"/>
  <c r="M1968" i="4" s="1"/>
  <c r="M1958" i="4"/>
  <c r="M1967" i="4"/>
  <c r="L1955" i="4"/>
  <c r="M1951" i="4" s="1"/>
  <c r="M1934" i="4"/>
  <c r="M1941" i="4"/>
  <c r="M1936" i="4"/>
  <c r="M1938" i="4"/>
  <c r="M1939" i="4"/>
  <c r="M1942" i="4"/>
  <c r="M1943" i="4"/>
  <c r="M1935" i="4"/>
  <c r="M1937" i="4"/>
  <c r="M1940" i="4"/>
  <c r="M1944" i="4"/>
  <c r="M1945" i="4"/>
  <c r="M1929" i="4"/>
  <c r="M1926" i="4"/>
  <c r="M1930" i="4"/>
  <c r="M1931" i="4"/>
  <c r="M1927" i="4"/>
  <c r="M1922" i="4"/>
  <c r="M1923" i="4"/>
  <c r="M1925" i="4"/>
  <c r="M1928" i="4"/>
  <c r="M1932" i="4"/>
  <c r="M1933" i="4"/>
  <c r="M1912" i="4"/>
  <c r="M1914" i="4"/>
  <c r="M1918" i="4"/>
  <c r="M1915" i="4"/>
  <c r="M1919" i="4"/>
  <c r="M1910" i="4"/>
  <c r="M1911" i="4"/>
  <c r="M1913" i="4"/>
  <c r="M1916" i="4"/>
  <c r="M1917" i="4"/>
  <c r="M1920" i="4"/>
  <c r="M1921" i="4"/>
  <c r="M1900" i="4"/>
  <c r="M1902" i="4"/>
  <c r="M1903" i="4"/>
  <c r="M1906" i="4"/>
  <c r="M1907" i="4"/>
  <c r="M1898" i="4"/>
  <c r="M1899" i="4"/>
  <c r="M1901" i="4"/>
  <c r="M1904" i="4"/>
  <c r="M1905" i="4"/>
  <c r="M1908" i="4"/>
  <c r="M1909" i="4"/>
  <c r="M1893" i="4"/>
  <c r="M1888" i="4"/>
  <c r="M1890" i="4"/>
  <c r="M1891" i="4"/>
  <c r="M1894" i="4"/>
  <c r="M1895" i="4"/>
  <c r="M1886" i="4"/>
  <c r="M1887" i="4"/>
  <c r="M1889" i="4"/>
  <c r="M1892" i="4"/>
  <c r="M1896" i="4"/>
  <c r="M1897" i="4"/>
  <c r="M1881" i="4"/>
  <c r="M1876" i="4"/>
  <c r="M1878" i="4"/>
  <c r="M1879" i="4"/>
  <c r="M1882" i="4"/>
  <c r="M1883" i="4"/>
  <c r="M1874" i="4"/>
  <c r="M1875" i="4"/>
  <c r="M1877" i="4"/>
  <c r="M1880" i="4"/>
  <c r="M1884" i="4"/>
  <c r="M1885" i="4"/>
  <c r="M1862" i="4"/>
  <c r="M1867" i="4"/>
  <c r="M1866" i="4"/>
  <c r="M1869" i="4"/>
  <c r="M1864" i="4"/>
  <c r="M1870" i="4"/>
  <c r="M1871" i="4"/>
  <c r="M1863" i="4"/>
  <c r="M1865" i="4"/>
  <c r="M1868" i="4"/>
  <c r="M1872" i="4"/>
  <c r="M1873" i="4"/>
  <c r="F1958" i="4"/>
  <c r="F1959" i="4" s="1"/>
  <c r="F1934" i="4"/>
  <c r="F1935" i="4" s="1"/>
  <c r="F1922" i="4"/>
  <c r="F1923" i="4" s="1"/>
  <c r="F1910" i="4"/>
  <c r="F1911" i="4" s="1"/>
  <c r="F1898" i="4"/>
  <c r="F1899" i="4" s="1"/>
  <c r="F1886" i="4"/>
  <c r="F1887" i="4" s="1"/>
  <c r="F1874" i="4"/>
  <c r="F1875" i="4" s="1"/>
  <c r="F1862" i="4"/>
  <c r="F1863" i="4" s="1"/>
  <c r="F1850" i="4"/>
  <c r="F1851" i="4" s="1"/>
  <c r="M1838" i="4"/>
  <c r="M1842" i="4"/>
  <c r="M1843" i="4"/>
  <c r="M1840" i="4"/>
  <c r="M1846" i="4"/>
  <c r="M1847" i="4"/>
  <c r="M1839" i="4"/>
  <c r="M1841" i="4"/>
  <c r="M1844" i="4"/>
  <c r="M1845" i="4"/>
  <c r="M1848" i="4"/>
  <c r="M1849" i="4"/>
  <c r="L1691" i="4"/>
  <c r="M1690" i="4" s="1"/>
  <c r="M1834" i="4"/>
  <c r="M1815" i="4"/>
  <c r="M1817" i="4"/>
  <c r="M1814" i="4"/>
  <c r="M1816" i="4"/>
  <c r="M1824" i="4"/>
  <c r="M1825" i="4"/>
  <c r="M1820" i="4"/>
  <c r="M1821" i="4"/>
  <c r="M1818" i="4"/>
  <c r="M1819" i="4"/>
  <c r="M1822" i="4"/>
  <c r="M1823" i="4"/>
  <c r="M1809" i="4"/>
  <c r="M1812" i="4"/>
  <c r="M1813" i="4"/>
  <c r="M1803" i="4"/>
  <c r="M1805" i="4"/>
  <c r="M1808" i="4"/>
  <c r="M1802" i="4"/>
  <c r="M1804" i="4"/>
  <c r="M1806" i="4"/>
  <c r="M1807" i="4"/>
  <c r="M1810" i="4"/>
  <c r="M1811" i="4"/>
  <c r="M1792" i="4"/>
  <c r="M1793" i="4"/>
  <c r="M1778" i="4"/>
  <c r="M1785" i="4"/>
  <c r="M1780" i="4"/>
  <c r="M1782" i="4"/>
  <c r="M1783" i="4"/>
  <c r="M1786" i="4"/>
  <c r="M1787" i="4"/>
  <c r="M1779" i="4"/>
  <c r="M1781" i="4"/>
  <c r="M1784" i="4"/>
  <c r="M1788" i="4"/>
  <c r="M1789" i="4"/>
  <c r="M1769" i="4"/>
  <c r="M1768" i="4"/>
  <c r="M1770" i="4"/>
  <c r="M1774" i="4"/>
  <c r="M1777" i="4"/>
  <c r="M1772" i="4"/>
  <c r="M1776" i="4"/>
  <c r="M1766" i="4"/>
  <c r="M1767" i="4"/>
  <c r="M1771" i="4"/>
  <c r="M1773" i="4"/>
  <c r="M1775" i="4"/>
  <c r="M1755" i="4"/>
  <c r="M1758" i="4"/>
  <c r="M1760" i="4"/>
  <c r="M1764" i="4"/>
  <c r="M1762" i="4"/>
  <c r="M1754" i="4"/>
  <c r="M1756" i="4"/>
  <c r="M1757" i="4"/>
  <c r="M1759" i="4"/>
  <c r="M1761" i="4"/>
  <c r="M1765" i="4"/>
  <c r="M1763" i="4"/>
  <c r="M1742" i="4"/>
  <c r="M1744" i="4"/>
  <c r="M1745" i="4"/>
  <c r="M1747" i="4"/>
  <c r="M1750" i="4"/>
  <c r="M1752" i="4"/>
  <c r="M1753" i="4"/>
  <c r="M1743" i="4"/>
  <c r="M1746" i="4"/>
  <c r="M1748" i="4"/>
  <c r="M1749" i="4"/>
  <c r="M1751" i="4"/>
  <c r="F1838" i="4"/>
  <c r="F1839" i="4" s="1"/>
  <c r="F1814" i="4"/>
  <c r="F1815" i="4" s="1"/>
  <c r="F1802" i="4"/>
  <c r="F1803" i="4" s="1"/>
  <c r="F1790" i="4"/>
  <c r="F1791" i="4" s="1"/>
  <c r="F1778" i="4"/>
  <c r="F1779" i="4" s="1"/>
  <c r="M1730" i="4"/>
  <c r="M1732" i="4"/>
  <c r="M1731" i="4"/>
  <c r="M1734" i="4"/>
  <c r="M1736" i="4"/>
  <c r="M1738" i="4"/>
  <c r="M1739" i="4"/>
  <c r="M1733" i="4"/>
  <c r="M1735" i="4"/>
  <c r="M1737" i="4"/>
  <c r="M1740" i="4"/>
  <c r="M1741" i="4"/>
  <c r="M1719" i="4"/>
  <c r="M1726" i="4"/>
  <c r="M1706" i="4"/>
  <c r="M1707" i="4"/>
  <c r="M1710" i="4"/>
  <c r="M1712" i="4"/>
  <c r="M1714" i="4"/>
  <c r="M1715" i="4"/>
  <c r="M1708" i="4"/>
  <c r="M1709" i="4"/>
  <c r="M1711" i="4"/>
  <c r="M1713" i="4"/>
  <c r="M1716" i="4"/>
  <c r="M1717" i="4"/>
  <c r="M1694" i="4"/>
  <c r="M1696" i="4"/>
  <c r="M1698" i="4"/>
  <c r="M1700" i="4"/>
  <c r="M1702" i="4"/>
  <c r="M1704" i="4"/>
  <c r="M1705" i="4"/>
  <c r="M1670" i="4"/>
  <c r="M1672" i="4"/>
  <c r="M1673" i="4"/>
  <c r="M1675" i="4"/>
  <c r="M1678" i="4"/>
  <c r="M1680" i="4"/>
  <c r="M1681" i="4"/>
  <c r="M1671" i="4"/>
  <c r="M1674" i="4"/>
  <c r="M1676" i="4"/>
  <c r="M1677" i="4"/>
  <c r="M1679" i="4"/>
  <c r="M1660" i="4"/>
  <c r="M1661" i="4"/>
  <c r="M1663" i="4"/>
  <c r="M1665" i="4"/>
  <c r="M1669" i="4"/>
  <c r="M1658" i="4"/>
  <c r="M1659" i="4"/>
  <c r="M1662" i="4"/>
  <c r="M1664" i="4"/>
  <c r="M1666" i="4"/>
  <c r="M1667" i="4"/>
  <c r="M1648" i="4"/>
  <c r="M1637" i="4"/>
  <c r="M1311" i="4"/>
  <c r="M1361" i="4"/>
  <c r="M1479" i="4"/>
  <c r="M1640" i="4"/>
  <c r="M1649" i="4"/>
  <c r="M1653" i="4"/>
  <c r="M1313" i="4"/>
  <c r="M1346" i="4"/>
  <c r="M1470" i="4"/>
  <c r="M1485" i="4"/>
  <c r="M1538" i="4"/>
  <c r="M1591" i="4"/>
  <c r="M1639" i="4"/>
  <c r="M1643" i="4"/>
  <c r="M1646" i="4"/>
  <c r="M1647" i="4"/>
  <c r="M1362" i="4"/>
  <c r="M1482" i="4"/>
  <c r="M1486" i="4"/>
  <c r="M1489" i="4"/>
  <c r="M1641" i="4"/>
  <c r="M1645" i="4"/>
  <c r="M1651" i="4"/>
  <c r="M1363" i="4"/>
  <c r="M1474" i="4"/>
  <c r="M1483" i="4"/>
  <c r="M1488" i="4"/>
  <c r="M1644" i="4"/>
  <c r="M1650" i="4"/>
  <c r="M1654" i="4"/>
  <c r="M1655" i="4"/>
  <c r="M1466" i="4"/>
  <c r="M1480" i="4"/>
  <c r="M1481" i="4"/>
  <c r="M1484" i="4"/>
  <c r="M1487" i="4"/>
  <c r="M1634" i="4"/>
  <c r="M1636" i="4"/>
  <c r="M1638" i="4"/>
  <c r="M1642" i="4"/>
  <c r="M1652" i="4"/>
  <c r="M1656" i="4"/>
  <c r="M1657" i="4"/>
  <c r="M1624" i="4"/>
  <c r="M1628" i="4"/>
  <c r="M1629" i="4"/>
  <c r="M1622" i="4"/>
  <c r="M1623" i="4"/>
  <c r="M1625" i="4"/>
  <c r="M1632" i="4"/>
  <c r="M1633" i="4"/>
  <c r="M1626" i="4"/>
  <c r="M1627" i="4"/>
  <c r="M1630" i="4"/>
  <c r="M1631" i="4"/>
  <c r="F1766" i="4"/>
  <c r="F1767" i="4" s="1"/>
  <c r="F1754" i="4"/>
  <c r="F1755" i="4" s="1"/>
  <c r="F1742" i="4"/>
  <c r="F1743" i="4" s="1"/>
  <c r="F1730" i="4"/>
  <c r="F1731" i="4" s="1"/>
  <c r="F1706" i="4"/>
  <c r="F1707" i="4" s="1"/>
  <c r="F1694" i="4"/>
  <c r="F1695" i="4" s="1"/>
  <c r="F1682" i="4"/>
  <c r="F1683" i="4" s="1"/>
  <c r="F1670" i="4"/>
  <c r="F1671" i="4" s="1"/>
  <c r="F1658" i="4"/>
  <c r="F1659" i="4" s="1"/>
  <c r="M1612" i="4"/>
  <c r="M1616" i="4"/>
  <c r="M1617" i="4"/>
  <c r="M1610" i="4"/>
  <c r="M1611" i="4"/>
  <c r="M1613" i="4"/>
  <c r="M1620" i="4"/>
  <c r="M1621" i="4"/>
  <c r="M1614" i="4"/>
  <c r="M1615" i="4"/>
  <c r="M1618" i="4"/>
  <c r="M1619" i="4"/>
  <c r="M1598" i="4"/>
  <c r="M1600" i="4"/>
  <c r="M1602" i="4"/>
  <c r="M1599" i="4"/>
  <c r="M1601" i="4"/>
  <c r="M1604" i="4"/>
  <c r="M1605" i="4"/>
  <c r="M1608" i="4"/>
  <c r="M1609" i="4"/>
  <c r="M1603" i="4"/>
  <c r="M1606" i="4"/>
  <c r="M1607" i="4"/>
  <c r="M1590" i="4"/>
  <c r="M1595" i="4"/>
  <c r="M1588" i="4"/>
  <c r="M1593" i="4"/>
  <c r="M1586" i="4"/>
  <c r="M1587" i="4"/>
  <c r="M1589" i="4"/>
  <c r="M1592" i="4"/>
  <c r="M1596" i="4"/>
  <c r="M1594" i="4"/>
  <c r="M1597" i="4"/>
  <c r="M1576" i="4"/>
  <c r="M1580" i="4"/>
  <c r="M1581" i="4"/>
  <c r="M1574" i="4"/>
  <c r="M1575" i="4"/>
  <c r="M1577" i="4"/>
  <c r="M1584" i="4"/>
  <c r="M1585" i="4"/>
  <c r="M1578" i="4"/>
  <c r="M1579" i="4"/>
  <c r="M1582" i="4"/>
  <c r="M1583" i="4"/>
  <c r="M1565" i="4"/>
  <c r="M1562" i="4"/>
  <c r="M1563" i="4"/>
  <c r="M1568" i="4"/>
  <c r="M1569" i="4"/>
  <c r="M1572" i="4"/>
  <c r="M1573" i="4"/>
  <c r="M1564" i="4"/>
  <c r="M1566" i="4"/>
  <c r="M1567" i="4"/>
  <c r="M1570" i="4"/>
  <c r="M1571" i="4"/>
  <c r="M1556" i="4"/>
  <c r="M1550" i="4"/>
  <c r="M1551" i="4"/>
  <c r="M1553" i="4"/>
  <c r="M1557" i="4"/>
  <c r="M1560" i="4"/>
  <c r="M1561" i="4"/>
  <c r="M1552" i="4"/>
  <c r="M1554" i="4"/>
  <c r="M1555" i="4"/>
  <c r="M1558" i="4"/>
  <c r="M1559" i="4"/>
  <c r="F1646" i="4"/>
  <c r="F1647" i="4" s="1"/>
  <c r="M1545" i="4"/>
  <c r="M1548" i="4"/>
  <c r="M1540" i="4"/>
  <c r="M1547" i="4"/>
  <c r="M1549" i="4"/>
  <c r="M1539" i="4"/>
  <c r="M1541" i="4"/>
  <c r="M1544" i="4"/>
  <c r="M1542" i="4"/>
  <c r="M1543" i="4"/>
  <c r="M1546" i="4"/>
  <c r="M1528" i="4"/>
  <c r="M1530" i="4"/>
  <c r="M1531" i="4"/>
  <c r="M1533" i="4"/>
  <c r="M1534" i="4"/>
  <c r="M1535" i="4"/>
  <c r="M1526" i="4"/>
  <c r="M1527" i="4"/>
  <c r="M1529" i="4"/>
  <c r="M1532" i="4"/>
  <c r="M1536" i="4"/>
  <c r="M1537" i="4"/>
  <c r="M1523" i="4"/>
  <c r="M1520" i="4"/>
  <c r="M1521" i="4"/>
  <c r="M1514" i="4"/>
  <c r="M1515" i="4"/>
  <c r="M1517" i="4"/>
  <c r="M1524" i="4"/>
  <c r="M1516" i="4"/>
  <c r="M1518" i="4"/>
  <c r="M1519" i="4"/>
  <c r="M1522" i="4"/>
  <c r="M1525" i="4"/>
  <c r="M1502" i="4"/>
  <c r="M1511" i="4"/>
  <c r="M1503" i="4"/>
  <c r="M1505" i="4"/>
  <c r="M1512" i="4"/>
  <c r="M1513" i="4"/>
  <c r="M1508" i="4"/>
  <c r="M1509" i="4"/>
  <c r="M1504" i="4"/>
  <c r="M1506" i="4"/>
  <c r="M1507" i="4"/>
  <c r="M1510" i="4"/>
  <c r="M1490" i="4"/>
  <c r="M1492" i="4"/>
  <c r="M1499" i="4"/>
  <c r="M1500" i="4"/>
  <c r="M1501" i="4"/>
  <c r="M1491" i="4"/>
  <c r="M1493" i="4"/>
  <c r="M1496" i="4"/>
  <c r="M1497" i="4"/>
  <c r="M1494" i="4"/>
  <c r="M1495" i="4"/>
  <c r="M1498" i="4"/>
  <c r="M1476" i="4"/>
  <c r="M1477" i="4"/>
  <c r="M1468" i="4"/>
  <c r="M1471" i="4"/>
  <c r="M1467" i="4"/>
  <c r="M1469" i="4"/>
  <c r="M1472" i="4"/>
  <c r="M1473" i="4"/>
  <c r="M1475" i="4"/>
  <c r="M1456" i="4"/>
  <c r="M1462" i="4"/>
  <c r="M1454" i="4"/>
  <c r="M1458" i="4"/>
  <c r="M1459" i="4"/>
  <c r="M1464" i="4"/>
  <c r="M1465" i="4"/>
  <c r="M1455" i="4"/>
  <c r="M1457" i="4"/>
  <c r="M1460" i="4"/>
  <c r="M1461" i="4"/>
  <c r="M1463" i="4"/>
  <c r="M1442" i="4"/>
  <c r="M1445" i="4"/>
  <c r="M1443" i="4"/>
  <c r="M1448" i="4"/>
  <c r="M1444" i="4"/>
  <c r="M1446" i="4"/>
  <c r="M1447" i="4"/>
  <c r="M1449" i="4"/>
  <c r="M1450" i="4"/>
  <c r="M1452" i="4"/>
  <c r="M1453" i="4"/>
  <c r="M1451" i="4"/>
  <c r="M1430" i="4"/>
  <c r="M1437" i="4"/>
  <c r="M1436" i="4"/>
  <c r="M1440" i="4"/>
  <c r="M1432" i="4"/>
  <c r="M1439" i="4"/>
  <c r="M1441" i="4"/>
  <c r="M1431" i="4"/>
  <c r="M1433" i="4"/>
  <c r="M1434" i="4"/>
  <c r="M1435" i="4"/>
  <c r="M1438" i="4"/>
  <c r="M1418" i="4"/>
  <c r="M1425" i="4"/>
  <c r="M1420" i="4"/>
  <c r="M1423" i="4"/>
  <c r="M1422" i="4"/>
  <c r="M1426" i="4"/>
  <c r="M1427" i="4"/>
  <c r="M1419" i="4"/>
  <c r="M1421" i="4"/>
  <c r="M1424" i="4"/>
  <c r="M1428" i="4"/>
  <c r="M1429" i="4"/>
  <c r="M1408" i="4"/>
  <c r="M1410" i="4"/>
  <c r="M1411" i="4"/>
  <c r="M1414" i="4"/>
  <c r="M1415" i="4"/>
  <c r="M1406" i="4"/>
  <c r="M1407" i="4"/>
  <c r="M1409" i="4"/>
  <c r="M1412" i="4"/>
  <c r="M1413" i="4"/>
  <c r="M1416" i="4"/>
  <c r="M1417" i="4"/>
  <c r="M1396" i="4"/>
  <c r="M1405" i="4"/>
  <c r="M1391" i="4"/>
  <c r="M1387" i="4"/>
  <c r="M1389" i="4"/>
  <c r="M1385" i="4"/>
  <c r="M1383" i="4"/>
  <c r="M1393" i="4"/>
  <c r="M1388" i="4"/>
  <c r="M1392" i="4"/>
  <c r="M1382" i="4"/>
  <c r="M1384" i="4"/>
  <c r="M1386" i="4"/>
  <c r="M1390" i="4"/>
  <c r="F1634" i="4"/>
  <c r="F1635" i="4" s="1"/>
  <c r="F1622" i="4"/>
  <c r="F1623" i="4" s="1"/>
  <c r="F1610" i="4"/>
  <c r="F1611" i="4" s="1"/>
  <c r="F1598" i="4"/>
  <c r="F1599" i="4" s="1"/>
  <c r="F1586" i="4"/>
  <c r="F1587" i="4" s="1"/>
  <c r="F1574" i="4"/>
  <c r="F1575" i="4" s="1"/>
  <c r="F1562" i="4"/>
  <c r="F1563" i="4" s="1"/>
  <c r="F1550" i="4"/>
  <c r="F1551" i="4" s="1"/>
  <c r="F1538" i="4"/>
  <c r="F1539" i="4" s="1"/>
  <c r="F1526" i="4"/>
  <c r="F1527" i="4" s="1"/>
  <c r="F1514" i="4"/>
  <c r="F1515" i="4" s="1"/>
  <c r="F1502" i="4"/>
  <c r="F1503" i="4" s="1"/>
  <c r="F1490" i="4"/>
  <c r="F1491" i="4" s="1"/>
  <c r="F1478" i="4"/>
  <c r="F1479" i="4" s="1"/>
  <c r="F1466" i="4"/>
  <c r="F1467" i="4" s="1"/>
  <c r="F1454" i="4"/>
  <c r="F1455" i="4" s="1"/>
  <c r="F1442" i="4"/>
  <c r="F1443" i="4" s="1"/>
  <c r="F1430" i="4"/>
  <c r="F1431" i="4" s="1"/>
  <c r="F1418" i="4"/>
  <c r="F1419" i="4" s="1"/>
  <c r="F1406" i="4"/>
  <c r="F1407" i="4" s="1"/>
  <c r="M1379" i="4"/>
  <c r="M1348" i="4"/>
  <c r="M1350" i="4"/>
  <c r="M1351" i="4"/>
  <c r="M1354" i="4"/>
  <c r="M1355" i="4"/>
  <c r="M1347" i="4"/>
  <c r="M1349" i="4"/>
  <c r="M1352" i="4"/>
  <c r="M1353" i="4"/>
  <c r="M1356" i="4"/>
  <c r="M1357" i="4"/>
  <c r="M1334" i="4"/>
  <c r="M1336" i="4"/>
  <c r="M1338" i="4"/>
  <c r="M1339" i="4"/>
  <c r="M1342" i="4"/>
  <c r="M1343" i="4"/>
  <c r="M1335" i="4"/>
  <c r="M1337" i="4"/>
  <c r="M1340" i="4"/>
  <c r="M1341" i="4"/>
  <c r="M1344" i="4"/>
  <c r="M1345" i="4"/>
  <c r="M1329" i="4"/>
  <c r="M1328" i="4"/>
  <c r="M1331" i="4"/>
  <c r="M1322" i="4"/>
  <c r="M1323" i="4"/>
  <c r="M1325" i="4"/>
  <c r="M1332" i="4"/>
  <c r="M1333" i="4"/>
  <c r="M1324" i="4"/>
  <c r="M1326" i="4"/>
  <c r="M1327" i="4"/>
  <c r="M1330" i="4"/>
  <c r="M1317" i="4"/>
  <c r="M1316" i="4"/>
  <c r="M1319" i="4"/>
  <c r="M1310" i="4"/>
  <c r="M1312" i="4"/>
  <c r="M1314" i="4"/>
  <c r="M1315" i="4"/>
  <c r="M1318" i="4"/>
  <c r="M1320" i="4"/>
  <c r="M1321" i="4"/>
  <c r="M1300" i="4"/>
  <c r="M1292" i="4"/>
  <c r="M1287" i="4"/>
  <c r="M1289" i="4"/>
  <c r="M1293" i="4"/>
  <c r="M1296" i="4"/>
  <c r="M1297" i="4"/>
  <c r="M1286" i="4"/>
  <c r="M1288" i="4"/>
  <c r="M1290" i="4"/>
  <c r="M1291" i="4"/>
  <c r="M1294" i="4"/>
  <c r="M1295" i="4"/>
  <c r="M1277" i="4"/>
  <c r="M1275" i="4"/>
  <c r="M1280" i="4"/>
  <c r="M1281" i="4"/>
  <c r="M1285" i="4"/>
  <c r="M1284" i="4"/>
  <c r="M1274" i="4"/>
  <c r="M1276" i="4"/>
  <c r="M1278" i="4"/>
  <c r="M1279" i="4"/>
  <c r="M1282" i="4"/>
  <c r="M1283" i="4"/>
  <c r="M1268" i="4"/>
  <c r="M1272" i="4"/>
  <c r="M1263" i="4"/>
  <c r="M1265" i="4"/>
  <c r="M1269" i="4"/>
  <c r="M1271" i="4"/>
  <c r="M1273" i="4"/>
  <c r="M1262" i="4"/>
  <c r="M1264" i="4"/>
  <c r="M1266" i="4"/>
  <c r="M1267" i="4"/>
  <c r="M1270" i="4"/>
  <c r="M1256" i="4"/>
  <c r="M1253" i="4"/>
  <c r="M1251" i="4"/>
  <c r="M1257" i="4"/>
  <c r="M1260" i="4"/>
  <c r="M1261" i="4"/>
  <c r="M1250" i="4"/>
  <c r="M1252" i="4"/>
  <c r="M1254" i="4"/>
  <c r="M1255" i="4"/>
  <c r="M1258" i="4"/>
  <c r="M1259" i="4"/>
  <c r="M1239" i="4"/>
  <c r="M1240" i="4"/>
  <c r="F1382" i="4"/>
  <c r="F1383" i="4" s="1"/>
  <c r="F1346" i="4"/>
  <c r="F1347" i="4" s="1"/>
  <c r="F1334" i="4"/>
  <c r="F1335" i="4" s="1"/>
  <c r="F1322" i="4"/>
  <c r="F1323" i="4" s="1"/>
  <c r="F1310" i="4"/>
  <c r="F1311" i="4" s="1"/>
  <c r="F1286" i="4"/>
  <c r="F1287" i="4" s="1"/>
  <c r="F1274" i="4"/>
  <c r="F1275" i="4" s="1"/>
  <c r="F1262" i="4"/>
  <c r="F1263" i="4" s="1"/>
  <c r="F1250" i="4"/>
  <c r="F1251" i="4" s="1"/>
  <c r="M1238" i="4"/>
  <c r="F1238" i="4"/>
  <c r="F1239" i="4" s="1"/>
  <c r="M1246" i="4"/>
  <c r="M1241" i="4"/>
  <c r="M1244" i="4"/>
  <c r="M1245" i="4"/>
  <c r="M1243" i="4"/>
  <c r="M1248" i="4"/>
  <c r="M1242" i="4"/>
  <c r="M1247" i="4"/>
  <c r="M1249" i="4"/>
  <c r="L1226" i="4"/>
  <c r="L1235" i="4"/>
  <c r="L1237" i="4"/>
  <c r="L1227" i="4"/>
  <c r="L1236" i="4"/>
  <c r="AX63" i="12"/>
  <c r="AX62" i="12"/>
  <c r="AX61" i="12"/>
  <c r="AX60" i="12"/>
  <c r="AX59" i="12"/>
  <c r="AX58" i="12"/>
  <c r="AX57" i="12"/>
  <c r="AX56" i="12"/>
  <c r="AX55" i="12"/>
  <c r="AX54" i="12"/>
  <c r="AX53" i="12"/>
  <c r="AX52" i="12"/>
  <c r="AX51" i="12"/>
  <c r="AV63" i="12"/>
  <c r="AV69" i="12" s="1"/>
  <c r="AU63" i="12"/>
  <c r="AU69" i="12" s="1"/>
  <c r="AT63" i="12"/>
  <c r="AT69" i="12" s="1"/>
  <c r="AV62" i="12"/>
  <c r="AU62" i="12"/>
  <c r="AT62" i="12"/>
  <c r="AV61" i="12"/>
  <c r="AU61" i="12"/>
  <c r="AT61" i="12"/>
  <c r="AV60" i="12"/>
  <c r="AU60" i="12"/>
  <c r="AT60" i="12"/>
  <c r="AV59" i="12"/>
  <c r="AU59" i="12"/>
  <c r="AT59" i="12"/>
  <c r="AV58" i="12"/>
  <c r="AU58" i="12"/>
  <c r="AT58" i="12"/>
  <c r="AV57" i="12"/>
  <c r="AU57" i="12"/>
  <c r="AT57" i="12"/>
  <c r="AV56" i="12"/>
  <c r="AU56" i="12"/>
  <c r="AT56" i="12"/>
  <c r="AV55" i="12"/>
  <c r="AU55" i="12"/>
  <c r="AT55" i="12"/>
  <c r="AV54" i="12"/>
  <c r="AU54" i="12"/>
  <c r="AT54" i="12"/>
  <c r="AV53" i="12"/>
  <c r="AV71" i="12" s="1"/>
  <c r="AU53" i="12"/>
  <c r="AU71" i="12" s="1"/>
  <c r="AT53" i="12"/>
  <c r="AT71" i="12" s="1"/>
  <c r="AV52" i="12"/>
  <c r="AU52" i="12"/>
  <c r="AT52" i="12"/>
  <c r="AV51" i="12"/>
  <c r="AV68" i="12" s="1"/>
  <c r="AU51" i="12"/>
  <c r="AU68" i="12" s="1"/>
  <c r="AT51" i="12"/>
  <c r="AR63" i="12"/>
  <c r="AR69" i="12" s="1"/>
  <c r="AQ63" i="12"/>
  <c r="AQ69" i="12" s="1"/>
  <c r="AP63" i="12"/>
  <c r="AP69" i="12" s="1"/>
  <c r="AR62" i="12"/>
  <c r="AQ62" i="12"/>
  <c r="AP62" i="12"/>
  <c r="AR61" i="12"/>
  <c r="AQ61" i="12"/>
  <c r="AP61" i="12"/>
  <c r="AR60" i="12"/>
  <c r="AQ60" i="12"/>
  <c r="AP60" i="12"/>
  <c r="AR59" i="12"/>
  <c r="AQ59" i="12"/>
  <c r="AP59" i="12"/>
  <c r="AR58" i="12"/>
  <c r="AQ58" i="12"/>
  <c r="AP58" i="12"/>
  <c r="AR57" i="12"/>
  <c r="AQ57" i="12"/>
  <c r="AP57" i="12"/>
  <c r="AR56" i="12"/>
  <c r="AQ56" i="12"/>
  <c r="AP56" i="12"/>
  <c r="AR55" i="12"/>
  <c r="AQ55" i="12"/>
  <c r="AP55" i="12"/>
  <c r="AR54" i="12"/>
  <c r="AQ54" i="12"/>
  <c r="AP54" i="12"/>
  <c r="AR53" i="12"/>
  <c r="AQ53" i="12"/>
  <c r="AP53" i="12"/>
  <c r="AR52" i="12"/>
  <c r="AR71" i="12" s="1"/>
  <c r="AQ52" i="12"/>
  <c r="AQ71" i="12" s="1"/>
  <c r="AP52" i="12"/>
  <c r="AP71" i="12" s="1"/>
  <c r="AR51" i="12"/>
  <c r="AR68" i="12" s="1"/>
  <c r="AQ51" i="12"/>
  <c r="AQ68" i="12" s="1"/>
  <c r="AP51" i="12"/>
  <c r="AP68" i="12" s="1"/>
  <c r="AN63" i="12"/>
  <c r="AN69" i="12" s="1"/>
  <c r="AM63" i="12"/>
  <c r="AM69" i="12" s="1"/>
  <c r="AL63" i="12"/>
  <c r="AL69" i="12" s="1"/>
  <c r="AN62" i="12"/>
  <c r="AM62" i="12"/>
  <c r="AL62" i="12"/>
  <c r="AN61" i="12"/>
  <c r="AM61" i="12"/>
  <c r="AL61" i="12"/>
  <c r="AN60" i="12"/>
  <c r="AM60" i="12"/>
  <c r="AL60" i="12"/>
  <c r="AN59" i="12"/>
  <c r="AM59" i="12"/>
  <c r="AL59" i="12"/>
  <c r="AN58" i="12"/>
  <c r="AM58" i="12"/>
  <c r="AL58" i="12"/>
  <c r="AN57" i="12"/>
  <c r="AN71" i="12" s="1"/>
  <c r="AM57" i="12"/>
  <c r="AM71" i="12" s="1"/>
  <c r="AL57" i="12"/>
  <c r="AL71" i="12" s="1"/>
  <c r="AN56" i="12"/>
  <c r="AM56" i="12"/>
  <c r="AL56" i="12"/>
  <c r="AN55" i="12"/>
  <c r="AM55" i="12"/>
  <c r="AL55" i="12"/>
  <c r="AN54" i="12"/>
  <c r="AM54" i="12"/>
  <c r="AL54" i="12"/>
  <c r="AN53" i="12"/>
  <c r="AM53" i="12"/>
  <c r="AL53" i="12"/>
  <c r="AN52" i="12"/>
  <c r="AM52" i="12"/>
  <c r="AL52" i="12"/>
  <c r="AN51" i="12"/>
  <c r="AN68" i="12" s="1"/>
  <c r="AM51" i="12"/>
  <c r="AM68" i="12" s="1"/>
  <c r="AL51" i="12"/>
  <c r="AL68" i="12" s="1"/>
  <c r="AJ63" i="12"/>
  <c r="AI63" i="12"/>
  <c r="AI69" i="12" s="1"/>
  <c r="AH63" i="12"/>
  <c r="AH69" i="12" s="1"/>
  <c r="AJ62" i="12"/>
  <c r="AI62" i="12"/>
  <c r="AH62" i="12"/>
  <c r="AJ61" i="12"/>
  <c r="AI61" i="12"/>
  <c r="AH61" i="12"/>
  <c r="AJ60" i="12"/>
  <c r="AI60" i="12"/>
  <c r="AH60" i="12"/>
  <c r="AJ59" i="12"/>
  <c r="AI59" i="12"/>
  <c r="AH59" i="12"/>
  <c r="AJ58" i="12"/>
  <c r="AI58" i="12"/>
  <c r="AI71" i="12" s="1"/>
  <c r="AH58" i="12"/>
  <c r="AH71" i="12" s="1"/>
  <c r="AJ57" i="12"/>
  <c r="AI57" i="12"/>
  <c r="AH57" i="12"/>
  <c r="AJ56" i="12"/>
  <c r="AI56" i="12"/>
  <c r="AH56" i="12"/>
  <c r="AJ55" i="12"/>
  <c r="AI55" i="12"/>
  <c r="AH55" i="12"/>
  <c r="AJ54" i="12"/>
  <c r="AI54" i="12"/>
  <c r="AH54" i="12"/>
  <c r="AJ53" i="12"/>
  <c r="AI53" i="12"/>
  <c r="AH53" i="12"/>
  <c r="AJ52" i="12"/>
  <c r="AI52" i="12"/>
  <c r="AH52" i="12"/>
  <c r="AJ51" i="12"/>
  <c r="AJ68" i="12" s="1"/>
  <c r="AI51" i="12"/>
  <c r="AI68" i="12" s="1"/>
  <c r="AH51" i="12"/>
  <c r="AH68" i="12" s="1"/>
  <c r="AF63" i="12"/>
  <c r="AF69" i="12" s="1"/>
  <c r="AE63" i="12"/>
  <c r="AE69" i="12" s="1"/>
  <c r="AD63" i="12"/>
  <c r="AD69" i="12" s="1"/>
  <c r="AF62" i="12"/>
  <c r="AE62" i="12"/>
  <c r="AD62" i="12"/>
  <c r="AF61" i="12"/>
  <c r="AF71" i="12" s="1"/>
  <c r="AE61" i="12"/>
  <c r="AE71" i="12" s="1"/>
  <c r="AD61" i="12"/>
  <c r="AD71" i="12" s="1"/>
  <c r="AF60" i="12"/>
  <c r="AE60" i="12"/>
  <c r="AD60" i="12"/>
  <c r="AF59" i="12"/>
  <c r="AE59" i="12"/>
  <c r="AD59" i="12"/>
  <c r="AF58" i="12"/>
  <c r="AE58" i="12"/>
  <c r="AD58" i="12"/>
  <c r="AF57" i="12"/>
  <c r="AE57" i="12"/>
  <c r="AD57" i="12"/>
  <c r="AF56" i="12"/>
  <c r="AE56" i="12"/>
  <c r="AD56" i="12"/>
  <c r="AF55" i="12"/>
  <c r="AE55" i="12"/>
  <c r="AD55" i="12"/>
  <c r="AF54" i="12"/>
  <c r="AE54" i="12"/>
  <c r="AD54" i="12"/>
  <c r="AF53" i="12"/>
  <c r="AE53" i="12"/>
  <c r="AD53" i="12"/>
  <c r="AF52" i="12"/>
  <c r="AE52" i="12"/>
  <c r="AD52" i="12"/>
  <c r="AF51" i="12"/>
  <c r="AF68" i="12" s="1"/>
  <c r="AE51" i="12"/>
  <c r="AE68" i="12" s="1"/>
  <c r="AD51" i="12"/>
  <c r="AD68" i="12" s="1"/>
  <c r="AB63" i="12"/>
  <c r="AA63" i="12"/>
  <c r="AA69" i="12" s="1"/>
  <c r="Z63" i="12"/>
  <c r="AB62" i="12"/>
  <c r="AA62" i="12"/>
  <c r="Z62" i="12"/>
  <c r="AB61" i="12"/>
  <c r="AA61" i="12"/>
  <c r="Z61" i="12"/>
  <c r="AB60" i="12"/>
  <c r="AA60" i="12"/>
  <c r="Z60" i="12"/>
  <c r="AB59" i="12"/>
  <c r="AA59" i="12"/>
  <c r="Z59" i="12"/>
  <c r="AB58" i="12"/>
  <c r="AA58" i="12"/>
  <c r="Z58" i="12"/>
  <c r="AB57" i="12"/>
  <c r="AA57" i="12"/>
  <c r="Z57" i="12"/>
  <c r="AB56" i="12"/>
  <c r="AA56" i="12"/>
  <c r="Z56" i="12"/>
  <c r="AB55" i="12"/>
  <c r="AA55" i="12"/>
  <c r="AA71" i="12" s="1"/>
  <c r="Z55" i="12"/>
  <c r="Z71" i="12" s="1"/>
  <c r="AB54" i="12"/>
  <c r="AA54" i="12"/>
  <c r="Z54" i="12"/>
  <c r="AB53" i="12"/>
  <c r="AA53" i="12"/>
  <c r="Z53" i="12"/>
  <c r="AB52" i="12"/>
  <c r="AA52" i="12"/>
  <c r="Z52" i="12"/>
  <c r="AB51" i="12"/>
  <c r="AB68" i="12" s="1"/>
  <c r="AA51" i="12"/>
  <c r="AA68" i="12" s="1"/>
  <c r="Z51" i="12"/>
  <c r="Z68" i="12" s="1"/>
  <c r="X63" i="12"/>
  <c r="X69" i="12" s="1"/>
  <c r="W63" i="12"/>
  <c r="W69" i="12" s="1"/>
  <c r="V63" i="12"/>
  <c r="V69" i="12" s="1"/>
  <c r="X62" i="12"/>
  <c r="W62" i="12"/>
  <c r="V62" i="12"/>
  <c r="X61" i="12"/>
  <c r="W61" i="12"/>
  <c r="V61" i="12"/>
  <c r="X60" i="12"/>
  <c r="W60" i="12"/>
  <c r="V60" i="12"/>
  <c r="X59" i="12"/>
  <c r="W59" i="12"/>
  <c r="V59" i="12"/>
  <c r="X58" i="12"/>
  <c r="W58" i="12"/>
  <c r="V58" i="12"/>
  <c r="X57" i="12"/>
  <c r="W57" i="12"/>
  <c r="V57" i="12"/>
  <c r="X56" i="12"/>
  <c r="X71" i="12" s="1"/>
  <c r="W56" i="12"/>
  <c r="W71" i="12" s="1"/>
  <c r="V56" i="12"/>
  <c r="X55" i="12"/>
  <c r="W55" i="12"/>
  <c r="V55" i="12"/>
  <c r="X54" i="12"/>
  <c r="W54" i="12"/>
  <c r="V54" i="12"/>
  <c r="X53" i="12"/>
  <c r="W53" i="12"/>
  <c r="V53" i="12"/>
  <c r="X52" i="12"/>
  <c r="W52" i="12"/>
  <c r="V52" i="12"/>
  <c r="X51" i="12"/>
  <c r="X68" i="12" s="1"/>
  <c r="W51" i="12"/>
  <c r="W68" i="12" s="1"/>
  <c r="V51" i="12"/>
  <c r="V68" i="12" s="1"/>
  <c r="T63" i="12"/>
  <c r="T69" i="12" s="1"/>
  <c r="S63" i="12"/>
  <c r="S69" i="12" s="1"/>
  <c r="R63" i="12"/>
  <c r="R69" i="12" s="1"/>
  <c r="T62" i="12"/>
  <c r="S62" i="12"/>
  <c r="R62" i="12"/>
  <c r="T61" i="12"/>
  <c r="S61" i="12"/>
  <c r="R61" i="12"/>
  <c r="T60" i="12"/>
  <c r="S60" i="12"/>
  <c r="R60" i="12"/>
  <c r="T59" i="12"/>
  <c r="T71" i="12" s="1"/>
  <c r="S59" i="12"/>
  <c r="S71" i="12" s="1"/>
  <c r="R59" i="12"/>
  <c r="R71" i="12" s="1"/>
  <c r="T58" i="12"/>
  <c r="S58" i="12"/>
  <c r="R58" i="12"/>
  <c r="T57" i="12"/>
  <c r="S57" i="12"/>
  <c r="R57" i="12"/>
  <c r="T56" i="12"/>
  <c r="S56" i="12"/>
  <c r="R56" i="12"/>
  <c r="T55" i="12"/>
  <c r="S55" i="12"/>
  <c r="R55" i="12"/>
  <c r="T54" i="12"/>
  <c r="S54" i="12"/>
  <c r="R54" i="12"/>
  <c r="T53" i="12"/>
  <c r="S53" i="12"/>
  <c r="R53" i="12"/>
  <c r="T52" i="12"/>
  <c r="S52" i="12"/>
  <c r="R52" i="12"/>
  <c r="T51" i="12"/>
  <c r="T68" i="12" s="1"/>
  <c r="S51" i="12"/>
  <c r="S68" i="12" s="1"/>
  <c r="R51" i="12"/>
  <c r="R68" i="12" s="1"/>
  <c r="P63" i="12"/>
  <c r="P69" i="12" s="1"/>
  <c r="O63" i="12"/>
  <c r="O69" i="12" s="1"/>
  <c r="N63" i="12"/>
  <c r="N69" i="12" s="1"/>
  <c r="P62" i="12"/>
  <c r="O62" i="12"/>
  <c r="N62" i="12"/>
  <c r="P61" i="12"/>
  <c r="O61" i="12"/>
  <c r="N61" i="12"/>
  <c r="P60" i="12"/>
  <c r="P71" i="12" s="1"/>
  <c r="O60" i="12"/>
  <c r="N60" i="12"/>
  <c r="N71" i="12" s="1"/>
  <c r="P59" i="12"/>
  <c r="O59" i="12"/>
  <c r="N59" i="12"/>
  <c r="P58" i="12"/>
  <c r="O58" i="12"/>
  <c r="N58" i="12"/>
  <c r="P57" i="12"/>
  <c r="O57" i="12"/>
  <c r="N57" i="12"/>
  <c r="P56" i="12"/>
  <c r="O56" i="12"/>
  <c r="N56" i="12"/>
  <c r="P55" i="12"/>
  <c r="O55" i="12"/>
  <c r="N55" i="12"/>
  <c r="P54" i="12"/>
  <c r="O54" i="12"/>
  <c r="N54" i="12"/>
  <c r="P53" i="12"/>
  <c r="O53" i="12"/>
  <c r="N53" i="12"/>
  <c r="P52" i="12"/>
  <c r="O52" i="12"/>
  <c r="N52" i="12"/>
  <c r="P51" i="12"/>
  <c r="P68" i="12" s="1"/>
  <c r="O51" i="12"/>
  <c r="O68" i="12" s="1"/>
  <c r="N51" i="12"/>
  <c r="N68" i="12" s="1"/>
  <c r="L63" i="12"/>
  <c r="L69" i="12" s="1"/>
  <c r="K63" i="12"/>
  <c r="K69" i="12" s="1"/>
  <c r="J63" i="12"/>
  <c r="J69" i="12" s="1"/>
  <c r="L62" i="12"/>
  <c r="K62" i="12"/>
  <c r="J62" i="12"/>
  <c r="L61" i="12"/>
  <c r="K61" i="12"/>
  <c r="J61" i="12"/>
  <c r="L60" i="12"/>
  <c r="K60" i="12"/>
  <c r="J60" i="12"/>
  <c r="L59" i="12"/>
  <c r="K59" i="12"/>
  <c r="J59" i="12"/>
  <c r="L58" i="12"/>
  <c r="K58" i="12"/>
  <c r="J58" i="12"/>
  <c r="L57" i="12"/>
  <c r="K57" i="12"/>
  <c r="J57" i="12"/>
  <c r="L56" i="12"/>
  <c r="L71" i="12" s="1"/>
  <c r="K56" i="12"/>
  <c r="J56" i="12"/>
  <c r="J71" i="12" s="1"/>
  <c r="L55" i="12"/>
  <c r="K55" i="12"/>
  <c r="J55" i="12"/>
  <c r="L54" i="12"/>
  <c r="K54" i="12"/>
  <c r="J54" i="12"/>
  <c r="L53" i="12"/>
  <c r="K53" i="12"/>
  <c r="J53" i="12"/>
  <c r="L52" i="12"/>
  <c r="K52" i="12"/>
  <c r="J52" i="12"/>
  <c r="L51" i="12"/>
  <c r="L68" i="12" s="1"/>
  <c r="K51" i="12"/>
  <c r="K68" i="12" s="1"/>
  <c r="J51" i="12"/>
  <c r="J68" i="12" s="1"/>
  <c r="H63" i="12"/>
  <c r="H69" i="12" s="1"/>
  <c r="G63" i="12"/>
  <c r="G69" i="12" s="1"/>
  <c r="F63" i="12"/>
  <c r="F69" i="12" s="1"/>
  <c r="H62" i="12"/>
  <c r="G62" i="12"/>
  <c r="G71" i="12" s="1"/>
  <c r="F62" i="12"/>
  <c r="F71" i="12" s="1"/>
  <c r="H61" i="12"/>
  <c r="G61" i="12"/>
  <c r="F61" i="12"/>
  <c r="H60" i="12"/>
  <c r="G60" i="12"/>
  <c r="F60" i="12"/>
  <c r="H59" i="12"/>
  <c r="G59" i="12"/>
  <c r="F59" i="12"/>
  <c r="H58" i="12"/>
  <c r="G58" i="12"/>
  <c r="F58" i="12"/>
  <c r="H57" i="12"/>
  <c r="G57" i="12"/>
  <c r="F57" i="12"/>
  <c r="H56" i="12"/>
  <c r="G56" i="12"/>
  <c r="F56" i="12"/>
  <c r="H55" i="12"/>
  <c r="G55" i="12"/>
  <c r="F55" i="12"/>
  <c r="H54" i="12"/>
  <c r="G54" i="12"/>
  <c r="F54" i="12"/>
  <c r="H53" i="12"/>
  <c r="G53" i="12"/>
  <c r="F53" i="12"/>
  <c r="H52" i="12"/>
  <c r="G52" i="12"/>
  <c r="F52" i="12"/>
  <c r="H51" i="12"/>
  <c r="H68" i="12" s="1"/>
  <c r="G51" i="12"/>
  <c r="G68" i="12" s="1"/>
  <c r="F51" i="12"/>
  <c r="F68" i="12" s="1"/>
  <c r="D51" i="12"/>
  <c r="D68" i="12" s="1"/>
  <c r="C51" i="12"/>
  <c r="C68" i="12" s="1"/>
  <c r="B51" i="12"/>
  <c r="B68" i="12" s="1"/>
  <c r="C52" i="12"/>
  <c r="D52" i="12"/>
  <c r="C53" i="12"/>
  <c r="D53" i="12"/>
  <c r="C54" i="12"/>
  <c r="D54" i="12"/>
  <c r="C55" i="12"/>
  <c r="D55" i="12"/>
  <c r="C56" i="12"/>
  <c r="D56" i="12"/>
  <c r="C57" i="12"/>
  <c r="D57" i="12"/>
  <c r="C58" i="12"/>
  <c r="D58" i="12"/>
  <c r="C59" i="12"/>
  <c r="D59" i="12"/>
  <c r="C60" i="12"/>
  <c r="D60" i="12"/>
  <c r="C61" i="12"/>
  <c r="D61" i="12"/>
  <c r="C62" i="12"/>
  <c r="D62" i="12"/>
  <c r="C63" i="12"/>
  <c r="C69" i="12" s="1"/>
  <c r="C70" i="12" s="1"/>
  <c r="D63" i="12"/>
  <c r="B53" i="12"/>
  <c r="B54" i="12"/>
  <c r="B55" i="12"/>
  <c r="B56" i="12"/>
  <c r="B57" i="12"/>
  <c r="B58" i="12"/>
  <c r="B59" i="12"/>
  <c r="B60" i="12"/>
  <c r="B61" i="12"/>
  <c r="B62" i="12"/>
  <c r="B63" i="12"/>
  <c r="B69" i="12" s="1"/>
  <c r="B70" i="12" s="1"/>
  <c r="B52" i="12"/>
  <c r="B4" i="12"/>
  <c r="AT68" i="12"/>
  <c r="T16" i="10"/>
  <c r="T15" i="10"/>
  <c r="T14" i="10"/>
  <c r="T13" i="10"/>
  <c r="T12" i="10"/>
  <c r="T11" i="10"/>
  <c r="T9" i="10"/>
  <c r="T8" i="10"/>
  <c r="T7" i="10"/>
  <c r="T6" i="10"/>
  <c r="T5" i="10"/>
  <c r="K1219" i="4"/>
  <c r="J1219" i="4"/>
  <c r="K1218" i="4"/>
  <c r="J1218" i="4"/>
  <c r="K1223" i="4"/>
  <c r="J1223" i="4"/>
  <c r="K1217" i="4"/>
  <c r="L1217" i="4" s="1"/>
  <c r="E1214" i="4"/>
  <c r="E1215" i="4" s="1"/>
  <c r="K1206" i="4"/>
  <c r="J1206" i="4"/>
  <c r="K1213" i="4"/>
  <c r="J1213" i="4"/>
  <c r="E1202" i="4"/>
  <c r="E1203" i="4" s="1"/>
  <c r="G1225" i="4"/>
  <c r="L1224" i="4"/>
  <c r="L1222" i="4"/>
  <c r="L1221" i="4"/>
  <c r="L1220" i="4"/>
  <c r="L1216" i="4"/>
  <c r="F1216" i="4"/>
  <c r="F1217" i="4" s="1"/>
  <c r="F1218" i="4" s="1"/>
  <c r="F1219" i="4" s="1"/>
  <c r="F1220" i="4" s="1"/>
  <c r="F1221" i="4" s="1"/>
  <c r="F1222" i="4" s="1"/>
  <c r="F1223" i="4" s="1"/>
  <c r="F1224" i="4" s="1"/>
  <c r="F1225" i="4" s="1"/>
  <c r="E1216" i="4"/>
  <c r="E1217" i="4" s="1"/>
  <c r="E1218" i="4" s="1"/>
  <c r="E1219" i="4" s="1"/>
  <c r="E1220" i="4" s="1"/>
  <c r="E1221" i="4" s="1"/>
  <c r="E1222" i="4" s="1"/>
  <c r="E1223" i="4" s="1"/>
  <c r="E1224" i="4" s="1"/>
  <c r="E1225" i="4" s="1"/>
  <c r="L1215" i="4"/>
  <c r="L1214" i="4"/>
  <c r="G1213" i="4"/>
  <c r="L1212" i="4"/>
  <c r="L1211" i="4"/>
  <c r="L1210" i="4"/>
  <c r="L1209" i="4"/>
  <c r="L1208" i="4"/>
  <c r="L1207" i="4"/>
  <c r="L1205" i="4"/>
  <c r="L1204" i="4"/>
  <c r="F1204" i="4"/>
  <c r="F1205" i="4" s="1"/>
  <c r="F1206" i="4" s="1"/>
  <c r="F1207" i="4" s="1"/>
  <c r="F1208" i="4" s="1"/>
  <c r="F1209" i="4" s="1"/>
  <c r="F1210" i="4" s="1"/>
  <c r="F1211" i="4" s="1"/>
  <c r="F1212" i="4" s="1"/>
  <c r="F1213" i="4" s="1"/>
  <c r="E1204" i="4"/>
  <c r="E1205" i="4" s="1"/>
  <c r="E1206" i="4" s="1"/>
  <c r="E1207" i="4" s="1"/>
  <c r="E1208" i="4" s="1"/>
  <c r="E1209" i="4" s="1"/>
  <c r="E1210" i="4" s="1"/>
  <c r="E1211" i="4" s="1"/>
  <c r="E1212" i="4" s="1"/>
  <c r="E1213" i="4" s="1"/>
  <c r="L1203" i="4"/>
  <c r="L1202" i="4"/>
  <c r="K1194" i="4"/>
  <c r="J1194" i="4"/>
  <c r="K1201" i="4"/>
  <c r="J1201" i="4"/>
  <c r="E1190" i="4"/>
  <c r="E1191" i="4" s="1"/>
  <c r="J1182" i="4"/>
  <c r="K1182" i="4"/>
  <c r="K1185" i="4"/>
  <c r="J1185" i="4"/>
  <c r="K1189" i="4"/>
  <c r="J1189" i="4"/>
  <c r="K1187" i="4"/>
  <c r="J1187" i="4"/>
  <c r="E1178" i="4"/>
  <c r="E1179" i="4" s="1"/>
  <c r="K1177" i="4"/>
  <c r="J1177" i="4"/>
  <c r="L1177" i="4" s="1"/>
  <c r="K1176" i="4"/>
  <c r="J1176" i="4"/>
  <c r="K1167" i="4"/>
  <c r="J1167" i="4"/>
  <c r="K1168" i="4"/>
  <c r="L1168" i="4" s="1"/>
  <c r="K1165" i="4"/>
  <c r="J1165" i="4"/>
  <c r="K1155" i="4"/>
  <c r="J1155" i="4"/>
  <c r="K1164" i="4"/>
  <c r="J1164" i="4"/>
  <c r="K1163" i="4"/>
  <c r="J1163" i="4"/>
  <c r="K1156" i="4"/>
  <c r="J1156" i="4"/>
  <c r="K1151" i="4"/>
  <c r="L1151" i="4" s="1"/>
  <c r="J1151" i="4"/>
  <c r="K1153" i="4"/>
  <c r="J1153" i="4"/>
  <c r="K1152" i="4"/>
  <c r="J1152" i="4"/>
  <c r="K1143" i="4"/>
  <c r="J1143" i="4"/>
  <c r="K1149" i="4"/>
  <c r="J1149" i="4"/>
  <c r="K1145" i="4"/>
  <c r="J1145" i="4"/>
  <c r="K1141" i="4"/>
  <c r="J1141" i="4"/>
  <c r="K1131" i="4"/>
  <c r="J1131" i="4"/>
  <c r="K1129" i="4"/>
  <c r="J1129" i="4"/>
  <c r="K1119" i="4"/>
  <c r="J1119" i="4"/>
  <c r="K1117" i="4"/>
  <c r="J1117" i="4"/>
  <c r="K1107" i="4"/>
  <c r="J1107" i="4"/>
  <c r="J1110" i="4"/>
  <c r="L1110" i="4" s="1"/>
  <c r="J1105" i="4"/>
  <c r="K1101" i="4"/>
  <c r="J1101" i="4"/>
  <c r="K1100" i="4"/>
  <c r="J1100" i="4"/>
  <c r="K1105" i="4"/>
  <c r="J1103" i="4"/>
  <c r="L1103" i="4" s="1"/>
  <c r="K1093" i="4"/>
  <c r="J1093" i="4"/>
  <c r="K1090" i="4"/>
  <c r="J1090" i="4"/>
  <c r="K1078" i="4"/>
  <c r="J1078" i="4"/>
  <c r="K1069" i="4"/>
  <c r="J1069" i="4"/>
  <c r="K1066" i="4"/>
  <c r="J1066" i="4"/>
  <c r="K1048" i="4"/>
  <c r="J1048" i="4"/>
  <c r="J1057" i="4"/>
  <c r="K1057" i="4"/>
  <c r="K1056" i="4"/>
  <c r="J1056" i="4"/>
  <c r="K1044" i="4"/>
  <c r="J1044" i="4"/>
  <c r="K1045" i="4"/>
  <c r="J1045" i="4"/>
  <c r="K1036" i="4"/>
  <c r="L1036" i="4" s="1"/>
  <c r="E1046" i="4"/>
  <c r="E1047" i="4" s="1"/>
  <c r="E1034" i="4"/>
  <c r="E1035" i="4" s="1"/>
  <c r="J1033" i="4"/>
  <c r="J1032" i="4"/>
  <c r="K1033" i="4"/>
  <c r="K1032" i="4"/>
  <c r="G1201" i="4"/>
  <c r="L1200" i="4"/>
  <c r="L1199" i="4"/>
  <c r="L1198" i="4"/>
  <c r="L1197" i="4"/>
  <c r="L1196" i="4"/>
  <c r="L1195" i="4"/>
  <c r="L1193" i="4"/>
  <c r="L1192" i="4"/>
  <c r="F1192" i="4"/>
  <c r="F1193" i="4" s="1"/>
  <c r="F1194" i="4" s="1"/>
  <c r="F1195" i="4" s="1"/>
  <c r="F1196" i="4" s="1"/>
  <c r="F1197" i="4" s="1"/>
  <c r="F1198" i="4" s="1"/>
  <c r="F1199" i="4" s="1"/>
  <c r="F1200" i="4" s="1"/>
  <c r="F1201" i="4" s="1"/>
  <c r="E1192" i="4"/>
  <c r="E1193" i="4" s="1"/>
  <c r="E1194" i="4" s="1"/>
  <c r="E1195" i="4" s="1"/>
  <c r="E1196" i="4" s="1"/>
  <c r="E1197" i="4" s="1"/>
  <c r="E1198" i="4" s="1"/>
  <c r="E1199" i="4" s="1"/>
  <c r="E1200" i="4" s="1"/>
  <c r="E1201" i="4" s="1"/>
  <c r="L1191" i="4"/>
  <c r="L1190" i="4"/>
  <c r="G1189" i="4"/>
  <c r="L1188" i="4"/>
  <c r="L1186" i="4"/>
  <c r="L1184" i="4"/>
  <c r="L1183" i="4"/>
  <c r="L1181" i="4"/>
  <c r="L1180" i="4"/>
  <c r="F1180" i="4"/>
  <c r="F1181" i="4" s="1"/>
  <c r="F1182" i="4" s="1"/>
  <c r="F1183" i="4" s="1"/>
  <c r="F1184" i="4" s="1"/>
  <c r="F1185" i="4" s="1"/>
  <c r="F1186" i="4" s="1"/>
  <c r="F1187" i="4" s="1"/>
  <c r="F1188" i="4" s="1"/>
  <c r="F1189" i="4" s="1"/>
  <c r="E1180" i="4"/>
  <c r="E1181" i="4" s="1"/>
  <c r="E1182" i="4" s="1"/>
  <c r="E1183" i="4" s="1"/>
  <c r="E1184" i="4" s="1"/>
  <c r="E1185" i="4" s="1"/>
  <c r="E1186" i="4" s="1"/>
  <c r="E1187" i="4" s="1"/>
  <c r="E1188" i="4" s="1"/>
  <c r="E1189" i="4" s="1"/>
  <c r="L1179" i="4"/>
  <c r="L1178" i="4"/>
  <c r="G1177" i="4"/>
  <c r="L1175" i="4"/>
  <c r="L1174" i="4"/>
  <c r="L1173" i="4"/>
  <c r="L1172" i="4"/>
  <c r="L1171" i="4"/>
  <c r="L1170" i="4"/>
  <c r="L1169" i="4"/>
  <c r="F1168" i="4"/>
  <c r="F1169" i="4" s="1"/>
  <c r="F1170" i="4" s="1"/>
  <c r="F1171" i="4" s="1"/>
  <c r="F1172" i="4" s="1"/>
  <c r="F1173" i="4" s="1"/>
  <c r="F1174" i="4" s="1"/>
  <c r="F1175" i="4" s="1"/>
  <c r="F1176" i="4" s="1"/>
  <c r="F1177" i="4" s="1"/>
  <c r="E1168" i="4"/>
  <c r="E1169" i="4" s="1"/>
  <c r="E1170" i="4" s="1"/>
  <c r="E1171" i="4" s="1"/>
  <c r="E1172" i="4" s="1"/>
  <c r="E1173" i="4" s="1"/>
  <c r="E1174" i="4" s="1"/>
  <c r="E1175" i="4" s="1"/>
  <c r="E1176" i="4" s="1"/>
  <c r="E1177" i="4" s="1"/>
  <c r="E1167" i="4"/>
  <c r="L1166" i="4"/>
  <c r="G1165" i="4"/>
  <c r="L1162" i="4"/>
  <c r="L1161" i="4"/>
  <c r="L1160" i="4"/>
  <c r="L1159" i="4"/>
  <c r="L1158" i="4"/>
  <c r="L1157" i="4"/>
  <c r="F1156" i="4"/>
  <c r="F1157" i="4" s="1"/>
  <c r="F1158" i="4" s="1"/>
  <c r="F1159" i="4" s="1"/>
  <c r="F1160" i="4" s="1"/>
  <c r="F1161" i="4" s="1"/>
  <c r="F1162" i="4" s="1"/>
  <c r="F1163" i="4" s="1"/>
  <c r="F1164" i="4" s="1"/>
  <c r="F1165" i="4" s="1"/>
  <c r="E1156" i="4"/>
  <c r="E1157" i="4" s="1"/>
  <c r="E1158" i="4" s="1"/>
  <c r="E1159" i="4" s="1"/>
  <c r="E1160" i="4" s="1"/>
  <c r="E1161" i="4" s="1"/>
  <c r="E1162" i="4" s="1"/>
  <c r="E1163" i="4" s="1"/>
  <c r="E1164" i="4" s="1"/>
  <c r="E1165" i="4" s="1"/>
  <c r="E1155" i="4"/>
  <c r="L1154" i="4"/>
  <c r="G1153" i="4"/>
  <c r="L1150" i="4"/>
  <c r="L1148" i="4"/>
  <c r="L1147" i="4"/>
  <c r="L1146" i="4"/>
  <c r="L1144" i="4"/>
  <c r="F1144" i="4"/>
  <c r="F1145" i="4" s="1"/>
  <c r="F1146" i="4" s="1"/>
  <c r="F1147" i="4" s="1"/>
  <c r="F1148" i="4" s="1"/>
  <c r="F1149" i="4" s="1"/>
  <c r="F1150" i="4" s="1"/>
  <c r="F1151" i="4" s="1"/>
  <c r="F1152" i="4" s="1"/>
  <c r="F1153" i="4" s="1"/>
  <c r="E1144" i="4"/>
  <c r="E1145" i="4" s="1"/>
  <c r="E1146" i="4" s="1"/>
  <c r="E1147" i="4" s="1"/>
  <c r="E1148" i="4" s="1"/>
  <c r="E1149" i="4" s="1"/>
  <c r="E1150" i="4" s="1"/>
  <c r="E1151" i="4" s="1"/>
  <c r="E1152" i="4" s="1"/>
  <c r="E1153" i="4" s="1"/>
  <c r="E1143" i="4"/>
  <c r="L1142" i="4"/>
  <c r="G1141" i="4"/>
  <c r="L1140" i="4"/>
  <c r="L1139" i="4"/>
  <c r="L1138" i="4"/>
  <c r="L1137" i="4"/>
  <c r="L1136" i="4"/>
  <c r="L1135" i="4"/>
  <c r="L1134" i="4"/>
  <c r="L1133" i="4"/>
  <c r="L1132" i="4"/>
  <c r="F1132" i="4"/>
  <c r="F1133" i="4" s="1"/>
  <c r="F1134" i="4" s="1"/>
  <c r="F1135" i="4" s="1"/>
  <c r="F1136" i="4" s="1"/>
  <c r="F1137" i="4" s="1"/>
  <c r="F1138" i="4" s="1"/>
  <c r="F1139" i="4" s="1"/>
  <c r="F1140" i="4" s="1"/>
  <c r="F1141" i="4" s="1"/>
  <c r="E1132" i="4"/>
  <c r="E1133" i="4" s="1"/>
  <c r="E1134" i="4" s="1"/>
  <c r="E1135" i="4" s="1"/>
  <c r="E1136" i="4" s="1"/>
  <c r="E1137" i="4" s="1"/>
  <c r="E1138" i="4" s="1"/>
  <c r="E1139" i="4" s="1"/>
  <c r="E1140" i="4" s="1"/>
  <c r="E1141" i="4" s="1"/>
  <c r="E1131" i="4"/>
  <c r="L1130" i="4"/>
  <c r="G1129" i="4"/>
  <c r="L1128" i="4"/>
  <c r="L1127" i="4"/>
  <c r="L1126" i="4"/>
  <c r="L1125" i="4"/>
  <c r="L1124" i="4"/>
  <c r="L1123" i="4"/>
  <c r="L1122" i="4"/>
  <c r="L1121" i="4"/>
  <c r="L1120" i="4"/>
  <c r="F1120" i="4"/>
  <c r="F1121" i="4" s="1"/>
  <c r="F1122" i="4" s="1"/>
  <c r="F1123" i="4" s="1"/>
  <c r="F1124" i="4" s="1"/>
  <c r="F1125" i="4" s="1"/>
  <c r="F1126" i="4" s="1"/>
  <c r="F1127" i="4" s="1"/>
  <c r="F1128" i="4" s="1"/>
  <c r="F1129" i="4" s="1"/>
  <c r="E1120" i="4"/>
  <c r="E1121" i="4" s="1"/>
  <c r="E1122" i="4" s="1"/>
  <c r="E1123" i="4" s="1"/>
  <c r="E1124" i="4" s="1"/>
  <c r="E1125" i="4" s="1"/>
  <c r="E1126" i="4" s="1"/>
  <c r="E1127" i="4" s="1"/>
  <c r="E1128" i="4" s="1"/>
  <c r="E1129" i="4" s="1"/>
  <c r="E1119" i="4"/>
  <c r="L1118" i="4"/>
  <c r="G1117" i="4"/>
  <c r="L1116" i="4"/>
  <c r="L1115" i="4"/>
  <c r="L1114" i="4"/>
  <c r="L1113" i="4"/>
  <c r="L1112" i="4"/>
  <c r="L1111" i="4"/>
  <c r="L1109" i="4"/>
  <c r="L1108" i="4"/>
  <c r="F1108" i="4"/>
  <c r="F1109" i="4" s="1"/>
  <c r="F1110" i="4" s="1"/>
  <c r="F1111" i="4" s="1"/>
  <c r="F1112" i="4" s="1"/>
  <c r="F1113" i="4" s="1"/>
  <c r="F1114" i="4" s="1"/>
  <c r="F1115" i="4" s="1"/>
  <c r="F1116" i="4" s="1"/>
  <c r="F1117" i="4" s="1"/>
  <c r="E1108" i="4"/>
  <c r="E1109" i="4" s="1"/>
  <c r="E1110" i="4" s="1"/>
  <c r="E1111" i="4" s="1"/>
  <c r="E1112" i="4" s="1"/>
  <c r="E1113" i="4" s="1"/>
  <c r="E1114" i="4" s="1"/>
  <c r="E1115" i="4" s="1"/>
  <c r="E1116" i="4" s="1"/>
  <c r="E1117" i="4" s="1"/>
  <c r="E1107" i="4"/>
  <c r="L1106" i="4"/>
  <c r="G1105" i="4"/>
  <c r="L1104" i="4"/>
  <c r="L1102" i="4"/>
  <c r="L1099" i="4"/>
  <c r="L1098" i="4"/>
  <c r="L1097" i="4"/>
  <c r="L1096" i="4"/>
  <c r="F1096" i="4"/>
  <c r="F1097" i="4" s="1"/>
  <c r="F1098" i="4" s="1"/>
  <c r="F1099" i="4" s="1"/>
  <c r="F1100" i="4" s="1"/>
  <c r="F1101" i="4" s="1"/>
  <c r="F1102" i="4" s="1"/>
  <c r="F1103" i="4" s="1"/>
  <c r="F1104" i="4" s="1"/>
  <c r="F1105" i="4" s="1"/>
  <c r="E1096" i="4"/>
  <c r="E1097" i="4" s="1"/>
  <c r="E1098" i="4" s="1"/>
  <c r="E1099" i="4" s="1"/>
  <c r="E1100" i="4" s="1"/>
  <c r="E1101" i="4" s="1"/>
  <c r="E1102" i="4" s="1"/>
  <c r="E1103" i="4" s="1"/>
  <c r="E1104" i="4" s="1"/>
  <c r="E1105" i="4" s="1"/>
  <c r="L1095" i="4"/>
  <c r="E1095" i="4"/>
  <c r="L1094" i="4"/>
  <c r="G1093" i="4"/>
  <c r="L1092" i="4"/>
  <c r="L1091" i="4"/>
  <c r="L1089" i="4"/>
  <c r="L1088" i="4"/>
  <c r="L1087" i="4"/>
  <c r="L1086" i="4"/>
  <c r="L1085" i="4"/>
  <c r="L1084" i="4"/>
  <c r="F1084" i="4"/>
  <c r="F1085" i="4" s="1"/>
  <c r="F1086" i="4" s="1"/>
  <c r="F1087" i="4" s="1"/>
  <c r="F1088" i="4" s="1"/>
  <c r="F1089" i="4" s="1"/>
  <c r="F1090" i="4" s="1"/>
  <c r="F1091" i="4" s="1"/>
  <c r="F1092" i="4" s="1"/>
  <c r="F1093" i="4" s="1"/>
  <c r="E1084" i="4"/>
  <c r="E1085" i="4" s="1"/>
  <c r="E1086" i="4" s="1"/>
  <c r="E1087" i="4" s="1"/>
  <c r="E1088" i="4" s="1"/>
  <c r="E1089" i="4" s="1"/>
  <c r="E1090" i="4" s="1"/>
  <c r="E1091" i="4" s="1"/>
  <c r="E1092" i="4" s="1"/>
  <c r="E1093" i="4" s="1"/>
  <c r="L1083" i="4"/>
  <c r="E1083" i="4"/>
  <c r="L1082" i="4"/>
  <c r="L1081" i="4"/>
  <c r="G1081" i="4"/>
  <c r="L1080" i="4"/>
  <c r="L1079" i="4"/>
  <c r="L1077" i="4"/>
  <c r="L1076" i="4"/>
  <c r="L1075" i="4"/>
  <c r="L1074" i="4"/>
  <c r="L1073" i="4"/>
  <c r="L1072" i="4"/>
  <c r="F1072" i="4"/>
  <c r="F1073" i="4" s="1"/>
  <c r="F1074" i="4" s="1"/>
  <c r="F1075" i="4" s="1"/>
  <c r="F1076" i="4" s="1"/>
  <c r="F1077" i="4" s="1"/>
  <c r="F1078" i="4" s="1"/>
  <c r="F1079" i="4" s="1"/>
  <c r="F1080" i="4" s="1"/>
  <c r="F1081" i="4" s="1"/>
  <c r="E1072" i="4"/>
  <c r="E1073" i="4" s="1"/>
  <c r="E1074" i="4" s="1"/>
  <c r="E1075" i="4" s="1"/>
  <c r="E1076" i="4" s="1"/>
  <c r="E1077" i="4" s="1"/>
  <c r="E1078" i="4" s="1"/>
  <c r="E1079" i="4" s="1"/>
  <c r="E1080" i="4" s="1"/>
  <c r="E1081" i="4" s="1"/>
  <c r="L1071" i="4"/>
  <c r="E1071" i="4"/>
  <c r="L1070" i="4"/>
  <c r="G1069" i="4"/>
  <c r="L1068" i="4"/>
  <c r="L1067" i="4"/>
  <c r="L1065" i="4"/>
  <c r="L1064" i="4"/>
  <c r="L1063" i="4"/>
  <c r="L1062" i="4"/>
  <c r="L1061" i="4"/>
  <c r="L1060" i="4"/>
  <c r="F1060" i="4"/>
  <c r="F1061" i="4" s="1"/>
  <c r="F1062" i="4" s="1"/>
  <c r="F1063" i="4" s="1"/>
  <c r="F1064" i="4" s="1"/>
  <c r="F1065" i="4" s="1"/>
  <c r="F1066" i="4" s="1"/>
  <c r="F1067" i="4" s="1"/>
  <c r="F1068" i="4" s="1"/>
  <c r="F1069" i="4" s="1"/>
  <c r="E1060" i="4"/>
  <c r="E1061" i="4" s="1"/>
  <c r="E1062" i="4" s="1"/>
  <c r="E1063" i="4" s="1"/>
  <c r="E1064" i="4" s="1"/>
  <c r="E1065" i="4" s="1"/>
  <c r="E1066" i="4" s="1"/>
  <c r="E1067" i="4" s="1"/>
  <c r="E1068" i="4" s="1"/>
  <c r="E1069" i="4" s="1"/>
  <c r="L1059" i="4"/>
  <c r="E1059" i="4"/>
  <c r="L1058" i="4"/>
  <c r="G1057" i="4"/>
  <c r="L1055" i="4"/>
  <c r="L1054" i="4"/>
  <c r="L1053" i="4"/>
  <c r="L1052" i="4"/>
  <c r="L1051" i="4"/>
  <c r="L1050" i="4"/>
  <c r="L1049" i="4"/>
  <c r="F1048" i="4"/>
  <c r="F1049" i="4" s="1"/>
  <c r="F1050" i="4" s="1"/>
  <c r="F1051" i="4" s="1"/>
  <c r="F1052" i="4" s="1"/>
  <c r="F1053" i="4" s="1"/>
  <c r="F1054" i="4" s="1"/>
  <c r="F1055" i="4" s="1"/>
  <c r="F1056" i="4" s="1"/>
  <c r="F1057" i="4" s="1"/>
  <c r="E1048" i="4"/>
  <c r="E1049" i="4" s="1"/>
  <c r="E1050" i="4" s="1"/>
  <c r="E1051" i="4" s="1"/>
  <c r="E1052" i="4" s="1"/>
  <c r="E1053" i="4" s="1"/>
  <c r="E1054" i="4" s="1"/>
  <c r="E1055" i="4" s="1"/>
  <c r="E1056" i="4" s="1"/>
  <c r="E1057" i="4" s="1"/>
  <c r="L1047" i="4"/>
  <c r="L1046" i="4"/>
  <c r="G1045" i="4"/>
  <c r="L1043" i="4"/>
  <c r="L1042" i="4"/>
  <c r="L1041" i="4"/>
  <c r="L1040" i="4"/>
  <c r="L1039" i="4"/>
  <c r="L1038" i="4"/>
  <c r="L1037" i="4"/>
  <c r="F1036" i="4"/>
  <c r="F1037" i="4" s="1"/>
  <c r="F1038" i="4" s="1"/>
  <c r="F1039" i="4" s="1"/>
  <c r="F1040" i="4" s="1"/>
  <c r="F1041" i="4" s="1"/>
  <c r="F1042" i="4" s="1"/>
  <c r="F1043" i="4" s="1"/>
  <c r="F1044" i="4" s="1"/>
  <c r="F1045" i="4" s="1"/>
  <c r="E1036" i="4"/>
  <c r="E1037" i="4" s="1"/>
  <c r="E1038" i="4" s="1"/>
  <c r="E1039" i="4" s="1"/>
  <c r="E1040" i="4" s="1"/>
  <c r="E1041" i="4" s="1"/>
  <c r="E1042" i="4" s="1"/>
  <c r="E1043" i="4" s="1"/>
  <c r="E1044" i="4" s="1"/>
  <c r="E1045" i="4" s="1"/>
  <c r="L1035" i="4"/>
  <c r="L1034" i="4"/>
  <c r="E1022" i="4"/>
  <c r="E1023" i="4" s="1"/>
  <c r="K1013" i="4"/>
  <c r="J1013" i="4"/>
  <c r="E1010" i="4"/>
  <c r="E1011" i="4" s="1"/>
  <c r="K1001" i="4"/>
  <c r="J1001" i="4"/>
  <c r="E998" i="4"/>
  <c r="E999" i="4" s="1"/>
  <c r="K989" i="4"/>
  <c r="J989" i="4"/>
  <c r="E986" i="4"/>
  <c r="E987" i="4" s="1"/>
  <c r="K975" i="4"/>
  <c r="J975" i="4"/>
  <c r="K983" i="4"/>
  <c r="J983" i="4"/>
  <c r="K985" i="4"/>
  <c r="J985" i="4"/>
  <c r="K981" i="4"/>
  <c r="J981" i="4"/>
  <c r="K980" i="4"/>
  <c r="J980" i="4"/>
  <c r="K947" i="4"/>
  <c r="J947" i="4"/>
  <c r="L960" i="4"/>
  <c r="L956" i="4"/>
  <c r="K971" i="4"/>
  <c r="J971" i="4"/>
  <c r="K973" i="4"/>
  <c r="J973" i="4"/>
  <c r="K969" i="4"/>
  <c r="J969" i="4"/>
  <c r="K972" i="4"/>
  <c r="J972" i="4"/>
  <c r="K959" i="4"/>
  <c r="J959" i="4"/>
  <c r="K949" i="4"/>
  <c r="J949" i="4"/>
  <c r="K935" i="4"/>
  <c r="J935" i="4"/>
  <c r="K937" i="4"/>
  <c r="J937" i="4"/>
  <c r="K933" i="4"/>
  <c r="J933" i="4"/>
  <c r="K914" i="4"/>
  <c r="J914" i="4"/>
  <c r="K915" i="4"/>
  <c r="J915" i="4"/>
  <c r="K925" i="4"/>
  <c r="J925" i="4"/>
  <c r="K913" i="4"/>
  <c r="J913" i="4"/>
  <c r="K902" i="4"/>
  <c r="J902" i="4"/>
  <c r="K903" i="4"/>
  <c r="J903" i="4"/>
  <c r="K890" i="4"/>
  <c r="J890" i="4"/>
  <c r="J889" i="4"/>
  <c r="K879" i="4"/>
  <c r="J879" i="4"/>
  <c r="K880" i="4"/>
  <c r="J880" i="4"/>
  <c r="K889" i="4"/>
  <c r="K868" i="4"/>
  <c r="J868" i="4"/>
  <c r="J867" i="4"/>
  <c r="K877" i="4"/>
  <c r="J877" i="4"/>
  <c r="K867" i="4"/>
  <c r="K856" i="4"/>
  <c r="J856" i="4"/>
  <c r="K865" i="4"/>
  <c r="J865" i="4"/>
  <c r="E854" i="4"/>
  <c r="K851" i="4"/>
  <c r="J851" i="4"/>
  <c r="K849" i="4"/>
  <c r="J849" i="4"/>
  <c r="K853" i="4"/>
  <c r="J853" i="4"/>
  <c r="K848" i="4"/>
  <c r="J848" i="4"/>
  <c r="K839" i="4"/>
  <c r="J839" i="4"/>
  <c r="K837" i="4"/>
  <c r="J837" i="4"/>
  <c r="K841" i="4"/>
  <c r="J841" i="4"/>
  <c r="E818" i="4"/>
  <c r="K827" i="4"/>
  <c r="J827" i="4"/>
  <c r="K825" i="4"/>
  <c r="J825" i="4"/>
  <c r="K829" i="4"/>
  <c r="J829" i="4"/>
  <c r="G1033" i="4"/>
  <c r="L1031" i="4"/>
  <c r="L1030" i="4"/>
  <c r="L1029" i="4"/>
  <c r="L1028" i="4"/>
  <c r="L1027" i="4"/>
  <c r="L1026" i="4"/>
  <c r="L1025" i="4"/>
  <c r="L1024" i="4"/>
  <c r="F1024" i="4"/>
  <c r="F1025" i="4" s="1"/>
  <c r="F1026" i="4" s="1"/>
  <c r="F1027" i="4" s="1"/>
  <c r="F1028" i="4" s="1"/>
  <c r="F1029" i="4" s="1"/>
  <c r="F1030" i="4" s="1"/>
  <c r="F1031" i="4" s="1"/>
  <c r="F1032" i="4" s="1"/>
  <c r="F1033" i="4" s="1"/>
  <c r="E1024" i="4"/>
  <c r="E1025" i="4" s="1"/>
  <c r="E1026" i="4" s="1"/>
  <c r="E1027" i="4" s="1"/>
  <c r="E1028" i="4" s="1"/>
  <c r="E1029" i="4" s="1"/>
  <c r="E1030" i="4" s="1"/>
  <c r="E1031" i="4" s="1"/>
  <c r="E1032" i="4" s="1"/>
  <c r="E1033" i="4" s="1"/>
  <c r="L1023" i="4"/>
  <c r="L1022" i="4"/>
  <c r="L1021" i="4"/>
  <c r="G1021" i="4"/>
  <c r="L1020" i="4"/>
  <c r="L1019" i="4"/>
  <c r="L1018" i="4"/>
  <c r="L1017" i="4"/>
  <c r="L1016" i="4"/>
  <c r="L1015" i="4"/>
  <c r="L1014" i="4"/>
  <c r="L1012" i="4"/>
  <c r="F1012" i="4"/>
  <c r="F1013" i="4" s="1"/>
  <c r="F1014" i="4" s="1"/>
  <c r="F1015" i="4" s="1"/>
  <c r="F1016" i="4" s="1"/>
  <c r="F1017" i="4" s="1"/>
  <c r="F1018" i="4" s="1"/>
  <c r="F1019" i="4" s="1"/>
  <c r="F1020" i="4" s="1"/>
  <c r="F1021" i="4" s="1"/>
  <c r="E1012" i="4"/>
  <c r="E1013" i="4" s="1"/>
  <c r="E1014" i="4" s="1"/>
  <c r="E1015" i="4" s="1"/>
  <c r="E1016" i="4" s="1"/>
  <c r="E1017" i="4" s="1"/>
  <c r="E1018" i="4" s="1"/>
  <c r="E1019" i="4" s="1"/>
  <c r="E1020" i="4" s="1"/>
  <c r="E1021" i="4" s="1"/>
  <c r="L1011" i="4"/>
  <c r="L1010" i="4"/>
  <c r="L1009" i="4"/>
  <c r="G1009" i="4"/>
  <c r="L1008" i="4"/>
  <c r="L1007" i="4"/>
  <c r="L1006" i="4"/>
  <c r="L1005" i="4"/>
  <c r="L1004" i="4"/>
  <c r="L1003" i="4"/>
  <c r="L1002" i="4"/>
  <c r="L1000" i="4"/>
  <c r="F1000" i="4"/>
  <c r="F1001" i="4" s="1"/>
  <c r="F1002" i="4" s="1"/>
  <c r="F1003" i="4" s="1"/>
  <c r="F1004" i="4" s="1"/>
  <c r="F1005" i="4" s="1"/>
  <c r="F1006" i="4" s="1"/>
  <c r="F1007" i="4" s="1"/>
  <c r="F1008" i="4" s="1"/>
  <c r="F1009" i="4" s="1"/>
  <c r="E1000" i="4"/>
  <c r="E1001" i="4" s="1"/>
  <c r="E1002" i="4" s="1"/>
  <c r="E1003" i="4" s="1"/>
  <c r="E1004" i="4" s="1"/>
  <c r="E1005" i="4" s="1"/>
  <c r="E1006" i="4" s="1"/>
  <c r="E1007" i="4" s="1"/>
  <c r="E1008" i="4" s="1"/>
  <c r="E1009" i="4" s="1"/>
  <c r="L999" i="4"/>
  <c r="L998" i="4"/>
  <c r="L997" i="4"/>
  <c r="G997" i="4"/>
  <c r="L996" i="4"/>
  <c r="L995" i="4"/>
  <c r="L994" i="4"/>
  <c r="L993" i="4"/>
  <c r="L992" i="4"/>
  <c r="L991" i="4"/>
  <c r="L990" i="4"/>
  <c r="L988" i="4"/>
  <c r="F988" i="4"/>
  <c r="F989" i="4" s="1"/>
  <c r="F990" i="4" s="1"/>
  <c r="F991" i="4" s="1"/>
  <c r="F992" i="4" s="1"/>
  <c r="F993" i="4" s="1"/>
  <c r="F994" i="4" s="1"/>
  <c r="F995" i="4" s="1"/>
  <c r="F996" i="4" s="1"/>
  <c r="F997" i="4" s="1"/>
  <c r="E988" i="4"/>
  <c r="E989" i="4" s="1"/>
  <c r="E990" i="4" s="1"/>
  <c r="E991" i="4" s="1"/>
  <c r="E992" i="4" s="1"/>
  <c r="E993" i="4" s="1"/>
  <c r="E994" i="4" s="1"/>
  <c r="E995" i="4" s="1"/>
  <c r="E996" i="4" s="1"/>
  <c r="E997" i="4" s="1"/>
  <c r="L987" i="4"/>
  <c r="L986" i="4"/>
  <c r="G985" i="4"/>
  <c r="L984" i="4"/>
  <c r="L982" i="4"/>
  <c r="L979" i="4"/>
  <c r="L978" i="4"/>
  <c r="L977" i="4"/>
  <c r="L976" i="4"/>
  <c r="F976" i="4"/>
  <c r="F977" i="4" s="1"/>
  <c r="F978" i="4" s="1"/>
  <c r="F979" i="4" s="1"/>
  <c r="F980" i="4" s="1"/>
  <c r="F981" i="4" s="1"/>
  <c r="F982" i="4" s="1"/>
  <c r="F983" i="4" s="1"/>
  <c r="F984" i="4" s="1"/>
  <c r="F985" i="4" s="1"/>
  <c r="E976" i="4"/>
  <c r="E977" i="4" s="1"/>
  <c r="E978" i="4" s="1"/>
  <c r="E979" i="4" s="1"/>
  <c r="E980" i="4" s="1"/>
  <c r="E981" i="4" s="1"/>
  <c r="E982" i="4" s="1"/>
  <c r="E983" i="4" s="1"/>
  <c r="E984" i="4" s="1"/>
  <c r="E985" i="4" s="1"/>
  <c r="E975" i="4"/>
  <c r="L974" i="4"/>
  <c r="G973" i="4"/>
  <c r="L970" i="4"/>
  <c r="L968" i="4"/>
  <c r="L967" i="4"/>
  <c r="L966" i="4"/>
  <c r="L965" i="4"/>
  <c r="F965" i="4"/>
  <c r="F966" i="4" s="1"/>
  <c r="F967" i="4" s="1"/>
  <c r="F968" i="4" s="1"/>
  <c r="F969" i="4" s="1"/>
  <c r="F970" i="4" s="1"/>
  <c r="F971" i="4" s="1"/>
  <c r="F972" i="4" s="1"/>
  <c r="F973" i="4" s="1"/>
  <c r="L964" i="4"/>
  <c r="F964" i="4"/>
  <c r="E964" i="4"/>
  <c r="E965" i="4" s="1"/>
  <c r="E966" i="4" s="1"/>
  <c r="E967" i="4" s="1"/>
  <c r="E968" i="4" s="1"/>
  <c r="E969" i="4" s="1"/>
  <c r="E970" i="4" s="1"/>
  <c r="E971" i="4" s="1"/>
  <c r="E972" i="4" s="1"/>
  <c r="E973" i="4" s="1"/>
  <c r="L963" i="4"/>
  <c r="E963" i="4"/>
  <c r="L962" i="4"/>
  <c r="J817" i="4"/>
  <c r="K813" i="4"/>
  <c r="J813" i="4"/>
  <c r="K815" i="4"/>
  <c r="J815" i="4"/>
  <c r="K817" i="4"/>
  <c r="E806" i="4"/>
  <c r="K801" i="4"/>
  <c r="J801" i="4"/>
  <c r="K805" i="4"/>
  <c r="J805" i="4"/>
  <c r="K803" i="4"/>
  <c r="J803" i="4"/>
  <c r="E794" i="4"/>
  <c r="K789" i="4"/>
  <c r="J789" i="4"/>
  <c r="K791" i="4"/>
  <c r="J791" i="4"/>
  <c r="K793" i="4"/>
  <c r="J793" i="4"/>
  <c r="E782" i="4"/>
  <c r="E746" i="4"/>
  <c r="E758" i="4"/>
  <c r="E770" i="4"/>
  <c r="K777" i="4"/>
  <c r="J777" i="4"/>
  <c r="K781" i="4"/>
  <c r="J781" i="4"/>
  <c r="K779" i="4"/>
  <c r="J779" i="4"/>
  <c r="K755" i="4"/>
  <c r="K765" i="4"/>
  <c r="J765" i="4"/>
  <c r="K767" i="4"/>
  <c r="J767" i="4"/>
  <c r="K769" i="4"/>
  <c r="J769" i="4"/>
  <c r="K749" i="4"/>
  <c r="J749" i="4"/>
  <c r="K757" i="4"/>
  <c r="J757" i="4"/>
  <c r="K753" i="4"/>
  <c r="J753" i="4"/>
  <c r="J755" i="4"/>
  <c r="K748" i="4"/>
  <c r="K747" i="4"/>
  <c r="M1309" i="4" l="1"/>
  <c r="M1305" i="4"/>
  <c r="M1381" i="4"/>
  <c r="M1378" i="4"/>
  <c r="M1404" i="4"/>
  <c r="M1360" i="4"/>
  <c r="M1724" i="4"/>
  <c r="M1729" i="4"/>
  <c r="M1791" i="4"/>
  <c r="M1828" i="4"/>
  <c r="L1107" i="4"/>
  <c r="L1182" i="4"/>
  <c r="M1308" i="4"/>
  <c r="M1302" i="4"/>
  <c r="M1380" i="4"/>
  <c r="M1375" i="4"/>
  <c r="M1397" i="4"/>
  <c r="M1722" i="4"/>
  <c r="M1718" i="4"/>
  <c r="M1801" i="4"/>
  <c r="M1836" i="4"/>
  <c r="M1833" i="4"/>
  <c r="L1056" i="4"/>
  <c r="L1078" i="4"/>
  <c r="M1078" i="4" s="1"/>
  <c r="L1100" i="4"/>
  <c r="L1117" i="4"/>
  <c r="L1141" i="4"/>
  <c r="L1163" i="4"/>
  <c r="L1187" i="4"/>
  <c r="F1358" i="4"/>
  <c r="F1359" i="4" s="1"/>
  <c r="M1304" i="4"/>
  <c r="M1298" i="4"/>
  <c r="M1377" i="4"/>
  <c r="M1374" i="4"/>
  <c r="M1395" i="4"/>
  <c r="M1303" i="4"/>
  <c r="M1727" i="4"/>
  <c r="F1826" i="4"/>
  <c r="F1827" i="4" s="1"/>
  <c r="M1800" i="4"/>
  <c r="M1832" i="4"/>
  <c r="M1830" i="4"/>
  <c r="F1370" i="4"/>
  <c r="F1371" i="4" s="1"/>
  <c r="M1301" i="4"/>
  <c r="M1376" i="4"/>
  <c r="M1372" i="4"/>
  <c r="M1394" i="4"/>
  <c r="M1368" i="4"/>
  <c r="M1725" i="4"/>
  <c r="M1799" i="4"/>
  <c r="M1829" i="4"/>
  <c r="M1831" i="4"/>
  <c r="M1299" i="4"/>
  <c r="M1373" i="4"/>
  <c r="M1403" i="4"/>
  <c r="M1401" i="4"/>
  <c r="M1366" i="4"/>
  <c r="M1723" i="4"/>
  <c r="M1798" i="4"/>
  <c r="M1794" i="4"/>
  <c r="M1827" i="4"/>
  <c r="M1686" i="4"/>
  <c r="F1298" i="4"/>
  <c r="F1299" i="4" s="1"/>
  <c r="F1394" i="4"/>
  <c r="F1395" i="4" s="1"/>
  <c r="M1307" i="4"/>
  <c r="M1371" i="4"/>
  <c r="M1402" i="4"/>
  <c r="M1400" i="4"/>
  <c r="F1718" i="4"/>
  <c r="F1719" i="4" s="1"/>
  <c r="M1364" i="4"/>
  <c r="M1721" i="4"/>
  <c r="M1797" i="4"/>
  <c r="M1790" i="4"/>
  <c r="M1826" i="4"/>
  <c r="M1358" i="4"/>
  <c r="L1149" i="4"/>
  <c r="M1399" i="4"/>
  <c r="M1359" i="4"/>
  <c r="M1367" i="4"/>
  <c r="M1728" i="4"/>
  <c r="M1796" i="4"/>
  <c r="L972" i="4"/>
  <c r="L985" i="4"/>
  <c r="L975" i="4"/>
  <c r="M2458" i="4"/>
  <c r="L969" i="4"/>
  <c r="M1963" i="4"/>
  <c r="M2461" i="4"/>
  <c r="M2453" i="4"/>
  <c r="M2455" i="4"/>
  <c r="L1176" i="4"/>
  <c r="M2454" i="4"/>
  <c r="L959" i="4"/>
  <c r="L971" i="4"/>
  <c r="M1683" i="4"/>
  <c r="M1962" i="4"/>
  <c r="M1960" i="4"/>
  <c r="M1949" i="4"/>
  <c r="M1964" i="4"/>
  <c r="M1961" i="4"/>
  <c r="L1044" i="4"/>
  <c r="L1066" i="4"/>
  <c r="L1105" i="4"/>
  <c r="M1966" i="4"/>
  <c r="M1959" i="4"/>
  <c r="AS62" i="12"/>
  <c r="M1956" i="4"/>
  <c r="M1953" i="4"/>
  <c r="M1969" i="4"/>
  <c r="L1045" i="4"/>
  <c r="L1048" i="4"/>
  <c r="L1090" i="4"/>
  <c r="L1189" i="4"/>
  <c r="M1189" i="4" s="1"/>
  <c r="L1194" i="4"/>
  <c r="F1946" i="4"/>
  <c r="F1947" i="4" s="1"/>
  <c r="M1952" i="4"/>
  <c r="M1950" i="4"/>
  <c r="M1703" i="4"/>
  <c r="L983" i="4"/>
  <c r="L1001" i="4"/>
  <c r="F998" i="4" s="1"/>
  <c r="F999" i="4" s="1"/>
  <c r="L1032" i="4"/>
  <c r="M1028" i="4" s="1"/>
  <c r="L1093" i="4"/>
  <c r="L1129" i="4"/>
  <c r="L1155" i="4"/>
  <c r="L1213" i="4"/>
  <c r="L1218" i="4"/>
  <c r="M1688" i="4"/>
  <c r="M1947" i="4"/>
  <c r="M1965" i="4"/>
  <c r="L973" i="4"/>
  <c r="L980" i="4"/>
  <c r="L1033" i="4"/>
  <c r="L1069" i="4"/>
  <c r="M1059" i="4" s="1"/>
  <c r="L1131" i="4"/>
  <c r="L1143" i="4"/>
  <c r="L1156" i="4"/>
  <c r="M1946" i="4"/>
  <c r="L1013" i="4"/>
  <c r="I54" i="12"/>
  <c r="M62" i="12"/>
  <c r="U60" i="12"/>
  <c r="Y55" i="12"/>
  <c r="AC53" i="12"/>
  <c r="AC58" i="12"/>
  <c r="AG53" i="12"/>
  <c r="AK59" i="12"/>
  <c r="AO54" i="12"/>
  <c r="AS57" i="12"/>
  <c r="M1955" i="4"/>
  <c r="M1232" i="4"/>
  <c r="M1954" i="4"/>
  <c r="M1701" i="4"/>
  <c r="L1057" i="4"/>
  <c r="M1050" i="4" s="1"/>
  <c r="L1167" i="4"/>
  <c r="L1201" i="4"/>
  <c r="M1229" i="4"/>
  <c r="M1957" i="4"/>
  <c r="M1948" i="4"/>
  <c r="M1699" i="4"/>
  <c r="M1695" i="4"/>
  <c r="U62" i="12"/>
  <c r="AO61" i="12"/>
  <c r="E59" i="12"/>
  <c r="I60" i="12"/>
  <c r="L64" i="12"/>
  <c r="AG57" i="12"/>
  <c r="AK57" i="12"/>
  <c r="AO60" i="12"/>
  <c r="AW61" i="12"/>
  <c r="AD70" i="12"/>
  <c r="M59" i="12"/>
  <c r="AS59" i="12"/>
  <c r="AG60" i="12"/>
  <c r="U57" i="12"/>
  <c r="AC63" i="12"/>
  <c r="M60" i="12"/>
  <c r="Y61" i="12"/>
  <c r="X70" i="12"/>
  <c r="AK54" i="12"/>
  <c r="AT70" i="12"/>
  <c r="M55" i="12"/>
  <c r="M1061" i="4"/>
  <c r="M57" i="12"/>
  <c r="Q57" i="12"/>
  <c r="Q60" i="12"/>
  <c r="N70" i="12"/>
  <c r="Z64" i="12"/>
  <c r="M1000" i="4"/>
  <c r="L981" i="4"/>
  <c r="L989" i="4"/>
  <c r="U58" i="12"/>
  <c r="Y53" i="12"/>
  <c r="AC59" i="12"/>
  <c r="AG59" i="12"/>
  <c r="AS55" i="12"/>
  <c r="AS60" i="12"/>
  <c r="AW60" i="12"/>
  <c r="M1234" i="4"/>
  <c r="M1682" i="4"/>
  <c r="M1685" i="4"/>
  <c r="AI70" i="12"/>
  <c r="D64" i="12"/>
  <c r="AH64" i="12"/>
  <c r="L1152" i="4"/>
  <c r="M1152" i="4" s="1"/>
  <c r="Q53" i="12"/>
  <c r="Q61" i="12"/>
  <c r="Y62" i="12"/>
  <c r="M1684" i="4"/>
  <c r="M1235" i="4"/>
  <c r="M1233" i="4"/>
  <c r="R70" i="12"/>
  <c r="Y59" i="12"/>
  <c r="AC54" i="12"/>
  <c r="AC57" i="12"/>
  <c r="M1227" i="4"/>
  <c r="L1101" i="4"/>
  <c r="M1095" i="4" s="1"/>
  <c r="L1119" i="4"/>
  <c r="M1121" i="4" s="1"/>
  <c r="L1145" i="4"/>
  <c r="L1153" i="4"/>
  <c r="L1164" i="4"/>
  <c r="Z69" i="12"/>
  <c r="Z70" i="12" s="1"/>
  <c r="E54" i="12"/>
  <c r="I53" i="12"/>
  <c r="I61" i="12"/>
  <c r="M61" i="12"/>
  <c r="AO53" i="12"/>
  <c r="AS53" i="12"/>
  <c r="M1691" i="4"/>
  <c r="M1693" i="4"/>
  <c r="M1689" i="4"/>
  <c r="M1692" i="4"/>
  <c r="L1185" i="4"/>
  <c r="L1223" i="4"/>
  <c r="AJ64" i="12"/>
  <c r="AK61" i="12"/>
  <c r="M1230" i="4"/>
  <c r="M1687" i="4"/>
  <c r="E57" i="12"/>
  <c r="M1236" i="4"/>
  <c r="M1237" i="4"/>
  <c r="M1231" i="4"/>
  <c r="F1226" i="4"/>
  <c r="F1227" i="4" s="1"/>
  <c r="M1226" i="4"/>
  <c r="M1001" i="4"/>
  <c r="M1063" i="4"/>
  <c r="M1067" i="4"/>
  <c r="M998" i="4"/>
  <c r="M1058" i="4"/>
  <c r="M1069" i="4"/>
  <c r="F1190" i="4"/>
  <c r="F1191" i="4" s="1"/>
  <c r="M1228" i="4"/>
  <c r="AF70" i="12"/>
  <c r="W64" i="12"/>
  <c r="E53" i="12"/>
  <c r="B64" i="12"/>
  <c r="C64" i="12"/>
  <c r="AI64" i="12"/>
  <c r="AK53" i="12"/>
  <c r="Y54" i="12"/>
  <c r="I55" i="12"/>
  <c r="AC55" i="12"/>
  <c r="AO55" i="12"/>
  <c r="M56" i="12"/>
  <c r="V64" i="12"/>
  <c r="AS56" i="12"/>
  <c r="Y57" i="12"/>
  <c r="Y58" i="12"/>
  <c r="E61" i="12"/>
  <c r="I62" i="12"/>
  <c r="AO62" i="12"/>
  <c r="O71" i="12"/>
  <c r="O70" i="12" s="1"/>
  <c r="O64" i="12"/>
  <c r="AU64" i="12"/>
  <c r="M58" i="12"/>
  <c r="AS58" i="12"/>
  <c r="Q59" i="12"/>
  <c r="AW59" i="12"/>
  <c r="AA64" i="12"/>
  <c r="U53" i="12"/>
  <c r="Q54" i="12"/>
  <c r="AW54" i="12"/>
  <c r="U55" i="12"/>
  <c r="AG55" i="12"/>
  <c r="E56" i="12"/>
  <c r="N64" i="12"/>
  <c r="AK56" i="12"/>
  <c r="AT64" i="12"/>
  <c r="I57" i="12"/>
  <c r="Q58" i="12"/>
  <c r="AW58" i="12"/>
  <c r="AG62" i="12"/>
  <c r="E63" i="12"/>
  <c r="AK63" i="12"/>
  <c r="AU70" i="12"/>
  <c r="G64" i="12"/>
  <c r="R64" i="12"/>
  <c r="AB64" i="12"/>
  <c r="AM64" i="12"/>
  <c r="AX64" i="12"/>
  <c r="M53" i="12"/>
  <c r="U54" i="12"/>
  <c r="E58" i="12"/>
  <c r="AK58" i="12"/>
  <c r="I59" i="12"/>
  <c r="AO59" i="12"/>
  <c r="E60" i="12"/>
  <c r="Y60" i="12"/>
  <c r="AK60" i="12"/>
  <c r="AG61" i="12"/>
  <c r="AS61" i="12"/>
  <c r="E62" i="12"/>
  <c r="AK62" i="12"/>
  <c r="F70" i="12"/>
  <c r="P70" i="12"/>
  <c r="AA70" i="12"/>
  <c r="S64" i="12"/>
  <c r="F64" i="12"/>
  <c r="AC56" i="12"/>
  <c r="AL64" i="12"/>
  <c r="I58" i="12"/>
  <c r="AO58" i="12"/>
  <c r="G70" i="12"/>
  <c r="AM70" i="12"/>
  <c r="J64" i="12"/>
  <c r="T64" i="12"/>
  <c r="AE64" i="12"/>
  <c r="AW53" i="12"/>
  <c r="M54" i="12"/>
  <c r="AS54" i="12"/>
  <c r="AW57" i="12"/>
  <c r="AC60" i="12"/>
  <c r="AC61" i="12"/>
  <c r="AC62" i="12"/>
  <c r="S70" i="12"/>
  <c r="AN70" i="12"/>
  <c r="AB71" i="12"/>
  <c r="K64" i="12"/>
  <c r="AG54" i="12"/>
  <c r="E55" i="12"/>
  <c r="Q55" i="12"/>
  <c r="AK55" i="12"/>
  <c r="AW55" i="12"/>
  <c r="U56" i="12"/>
  <c r="AD64" i="12"/>
  <c r="AG58" i="12"/>
  <c r="U61" i="12"/>
  <c r="Q62" i="12"/>
  <c r="AW62" i="12"/>
  <c r="AE70" i="12"/>
  <c r="L70" i="12"/>
  <c r="W70" i="12"/>
  <c r="AR70" i="12"/>
  <c r="AH70" i="12"/>
  <c r="J70" i="12"/>
  <c r="AP70" i="12"/>
  <c r="AL70" i="12"/>
  <c r="AV70" i="12"/>
  <c r="AQ70" i="12"/>
  <c r="T70" i="12"/>
  <c r="U59" i="12"/>
  <c r="Q63" i="12"/>
  <c r="AG63" i="12"/>
  <c r="AW63" i="12"/>
  <c r="P64" i="12"/>
  <c r="X64" i="12"/>
  <c r="AN64" i="12"/>
  <c r="E52" i="12"/>
  <c r="M52" i="12"/>
  <c r="U52" i="12"/>
  <c r="AC52" i="12"/>
  <c r="AK52" i="12"/>
  <c r="AS52" i="12"/>
  <c r="I56" i="12"/>
  <c r="Q56" i="12"/>
  <c r="Y56" i="12"/>
  <c r="AG56" i="12"/>
  <c r="AO56" i="12"/>
  <c r="AW56" i="12"/>
  <c r="D69" i="12"/>
  <c r="D70" i="12" s="1"/>
  <c r="AJ69" i="12"/>
  <c r="H71" i="12"/>
  <c r="H70" i="12" s="1"/>
  <c r="I63" i="12"/>
  <c r="Y63" i="12"/>
  <c r="AO63" i="12"/>
  <c r="H64" i="12"/>
  <c r="AF64" i="12"/>
  <c r="AV64" i="12"/>
  <c r="AO57" i="12"/>
  <c r="AP64" i="12"/>
  <c r="AQ64" i="12"/>
  <c r="AB69" i="12"/>
  <c r="K71" i="12"/>
  <c r="K70" i="12" s="1"/>
  <c r="V71" i="12"/>
  <c r="V70" i="12" s="1"/>
  <c r="M63" i="12"/>
  <c r="U63" i="12"/>
  <c r="AS63" i="12"/>
  <c r="AR64" i="12"/>
  <c r="I52" i="12"/>
  <c r="Q52" i="12"/>
  <c r="Y52" i="12"/>
  <c r="AG52" i="12"/>
  <c r="AO52" i="12"/>
  <c r="AW52" i="12"/>
  <c r="AJ71" i="12"/>
  <c r="M1066" i="4"/>
  <c r="M1068" i="4"/>
  <c r="M1012" i="4"/>
  <c r="M1064" i="4"/>
  <c r="M1060" i="4"/>
  <c r="M1043" i="4"/>
  <c r="M1065" i="4"/>
  <c r="L1219" i="4"/>
  <c r="L1225" i="4"/>
  <c r="L1206" i="4"/>
  <c r="M1206" i="4" s="1"/>
  <c r="M1203" i="4"/>
  <c r="M1196" i="4"/>
  <c r="M1190" i="4"/>
  <c r="M1213" i="4"/>
  <c r="M1195" i="4"/>
  <c r="M1197" i="4"/>
  <c r="M1199" i="4"/>
  <c r="M1204" i="4"/>
  <c r="M1212" i="4"/>
  <c r="M1191" i="4"/>
  <c r="M1192" i="4"/>
  <c r="M1193" i="4"/>
  <c r="M1194" i="4"/>
  <c r="M1198" i="4"/>
  <c r="M1200" i="4"/>
  <c r="M1201" i="4"/>
  <c r="M1182" i="4"/>
  <c r="M1166" i="4"/>
  <c r="M1173" i="4"/>
  <c r="L1165" i="4"/>
  <c r="M1161" i="4" s="1"/>
  <c r="M1168" i="4"/>
  <c r="M1169" i="4"/>
  <c r="M1172" i="4"/>
  <c r="M1175" i="4"/>
  <c r="M1167" i="4"/>
  <c r="M1170" i="4"/>
  <c r="M1171" i="4"/>
  <c r="M1174" i="4"/>
  <c r="M1176" i="4"/>
  <c r="M1177" i="4"/>
  <c r="M1153" i="4"/>
  <c r="M1142" i="4"/>
  <c r="M1143" i="4"/>
  <c r="M1146" i="4"/>
  <c r="M1147" i="4"/>
  <c r="M1149" i="4"/>
  <c r="M1151" i="4"/>
  <c r="M1140" i="4"/>
  <c r="M1137" i="4"/>
  <c r="M1141" i="4"/>
  <c r="M1131" i="4"/>
  <c r="M1133" i="4"/>
  <c r="M1136" i="4"/>
  <c r="M1130" i="4"/>
  <c r="M1132" i="4"/>
  <c r="M1134" i="4"/>
  <c r="M1135" i="4"/>
  <c r="M1138" i="4"/>
  <c r="M1139" i="4"/>
  <c r="M1120" i="4"/>
  <c r="M1111" i="4"/>
  <c r="M1108" i="4"/>
  <c r="M1110" i="4"/>
  <c r="M1114" i="4"/>
  <c r="M1116" i="4"/>
  <c r="M1117" i="4"/>
  <c r="M1106" i="4"/>
  <c r="M1107" i="4"/>
  <c r="M1109" i="4"/>
  <c r="M1112" i="4"/>
  <c r="M1113" i="4"/>
  <c r="M1115" i="4"/>
  <c r="F1094" i="4"/>
  <c r="F1095" i="4" s="1"/>
  <c r="M1103" i="4"/>
  <c r="M1085" i="4"/>
  <c r="M1092" i="4"/>
  <c r="M1093" i="4"/>
  <c r="M1083" i="4"/>
  <c r="M1088" i="4"/>
  <c r="M1089" i="4"/>
  <c r="M1082" i="4"/>
  <c r="M1084" i="4"/>
  <c r="M1086" i="4"/>
  <c r="M1087" i="4"/>
  <c r="M1090" i="4"/>
  <c r="M1091" i="4"/>
  <c r="M1072" i="4"/>
  <c r="M1076" i="4"/>
  <c r="M1040" i="4"/>
  <c r="M1042" i="4"/>
  <c r="M1044" i="4"/>
  <c r="M1045" i="4"/>
  <c r="M1036" i="4"/>
  <c r="M1038" i="4"/>
  <c r="F1166" i="4"/>
  <c r="F1167" i="4" s="1"/>
  <c r="F1154" i="4"/>
  <c r="F1155" i="4" s="1"/>
  <c r="F1142" i="4"/>
  <c r="F1143" i="4" s="1"/>
  <c r="F1130" i="4"/>
  <c r="F1131" i="4" s="1"/>
  <c r="F1118" i="4"/>
  <c r="F1119" i="4" s="1"/>
  <c r="F1106" i="4"/>
  <c r="F1107" i="4" s="1"/>
  <c r="F1082" i="4"/>
  <c r="F1083" i="4" s="1"/>
  <c r="F1058" i="4"/>
  <c r="F1059" i="4" s="1"/>
  <c r="F1034" i="4"/>
  <c r="F1035" i="4" s="1"/>
  <c r="M1034" i="4"/>
  <c r="M1035" i="4"/>
  <c r="M1037" i="4"/>
  <c r="M1039" i="4"/>
  <c r="M1041" i="4"/>
  <c r="M1019" i="4"/>
  <c r="M1016" i="4"/>
  <c r="M1017" i="4"/>
  <c r="M1010" i="4"/>
  <c r="M1011" i="4"/>
  <c r="M1013" i="4"/>
  <c r="M1014" i="4"/>
  <c r="M1015" i="4"/>
  <c r="M1018" i="4"/>
  <c r="M1020" i="4"/>
  <c r="M1021" i="4"/>
  <c r="M1003" i="4"/>
  <c r="M1005" i="4"/>
  <c r="M1007" i="4"/>
  <c r="M1009" i="4"/>
  <c r="M999" i="4"/>
  <c r="M1002" i="4"/>
  <c r="M1004" i="4"/>
  <c r="M1006" i="4"/>
  <c r="M1008" i="4"/>
  <c r="M986" i="4"/>
  <c r="M988" i="4"/>
  <c r="M992" i="4"/>
  <c r="M993" i="4"/>
  <c r="M987" i="4"/>
  <c r="M989" i="4"/>
  <c r="M996" i="4"/>
  <c r="M997" i="4"/>
  <c r="M990" i="4"/>
  <c r="M991" i="4"/>
  <c r="M994" i="4"/>
  <c r="M995" i="4"/>
  <c r="M980" i="4"/>
  <c r="M977" i="4"/>
  <c r="M975" i="4"/>
  <c r="M981" i="4"/>
  <c r="M984" i="4"/>
  <c r="M985" i="4"/>
  <c r="M974" i="4"/>
  <c r="M976" i="4"/>
  <c r="M978" i="4"/>
  <c r="M979" i="4"/>
  <c r="M982" i="4"/>
  <c r="M983" i="4"/>
  <c r="M962" i="4"/>
  <c r="M966" i="4"/>
  <c r="M968" i="4"/>
  <c r="M970" i="4"/>
  <c r="M972" i="4"/>
  <c r="M964" i="4"/>
  <c r="M963" i="4"/>
  <c r="M965" i="4"/>
  <c r="M967" i="4"/>
  <c r="M969" i="4"/>
  <c r="M971" i="4"/>
  <c r="M973" i="4"/>
  <c r="F1010" i="4"/>
  <c r="F1011" i="4" s="1"/>
  <c r="F986" i="4"/>
  <c r="F987" i="4" s="1"/>
  <c r="F974" i="4"/>
  <c r="F975" i="4" s="1"/>
  <c r="F962" i="4"/>
  <c r="F963" i="4" s="1"/>
  <c r="W16" i="10"/>
  <c r="W22" i="10" s="1"/>
  <c r="W23" i="10" s="1"/>
  <c r="V16" i="10"/>
  <c r="V22" i="10" s="1"/>
  <c r="V23" i="10" s="1"/>
  <c r="U16" i="10"/>
  <c r="U22" i="10" s="1"/>
  <c r="W15" i="10"/>
  <c r="V15" i="10"/>
  <c r="U15" i="10"/>
  <c r="W14" i="10"/>
  <c r="V14" i="10"/>
  <c r="U14" i="10"/>
  <c r="W13" i="10"/>
  <c r="V13" i="10"/>
  <c r="U13" i="10"/>
  <c r="W12" i="10"/>
  <c r="V12" i="10"/>
  <c r="U12" i="10"/>
  <c r="W11" i="10"/>
  <c r="V11" i="10"/>
  <c r="U11" i="10"/>
  <c r="W10" i="10"/>
  <c r="V10" i="10"/>
  <c r="U10" i="10"/>
  <c r="W9" i="10"/>
  <c r="V9" i="10"/>
  <c r="U9" i="10"/>
  <c r="W8" i="10"/>
  <c r="V8" i="10"/>
  <c r="U8" i="10"/>
  <c r="W7" i="10"/>
  <c r="V7" i="10"/>
  <c r="U7" i="10"/>
  <c r="W6" i="10"/>
  <c r="V6" i="10"/>
  <c r="U6" i="10"/>
  <c r="W5" i="10"/>
  <c r="V5" i="10"/>
  <c r="U5" i="10"/>
  <c r="W4" i="10"/>
  <c r="W21" i="10" s="1"/>
  <c r="V4" i="10"/>
  <c r="V21" i="10" s="1"/>
  <c r="U4" i="10"/>
  <c r="U21" i="10" s="1"/>
  <c r="L961" i="4"/>
  <c r="G961" i="4"/>
  <c r="L958" i="4"/>
  <c r="L957" i="4"/>
  <c r="L955" i="4"/>
  <c r="L954" i="4"/>
  <c r="L953" i="4"/>
  <c r="L952" i="4"/>
  <c r="F952" i="4"/>
  <c r="F953" i="4" s="1"/>
  <c r="F954" i="4" s="1"/>
  <c r="F955" i="4" s="1"/>
  <c r="F956" i="4" s="1"/>
  <c r="F957" i="4" s="1"/>
  <c r="F958" i="4" s="1"/>
  <c r="F959" i="4" s="1"/>
  <c r="F960" i="4" s="1"/>
  <c r="F961" i="4" s="1"/>
  <c r="E952" i="4"/>
  <c r="E953" i="4" s="1"/>
  <c r="E954" i="4" s="1"/>
  <c r="E955" i="4" s="1"/>
  <c r="E956" i="4" s="1"/>
  <c r="E957" i="4" s="1"/>
  <c r="E958" i="4" s="1"/>
  <c r="E959" i="4" s="1"/>
  <c r="E960" i="4" s="1"/>
  <c r="E961" i="4" s="1"/>
  <c r="L951" i="4"/>
  <c r="E951" i="4"/>
  <c r="L950" i="4"/>
  <c r="L949" i="4"/>
  <c r="G949" i="4"/>
  <c r="L948" i="4"/>
  <c r="L947" i="4"/>
  <c r="L946" i="4"/>
  <c r="L945" i="4"/>
  <c r="L944" i="4"/>
  <c r="L943" i="4"/>
  <c r="L942" i="4"/>
  <c r="L941" i="4"/>
  <c r="L940" i="4"/>
  <c r="F940" i="4"/>
  <c r="F941" i="4" s="1"/>
  <c r="F942" i="4" s="1"/>
  <c r="F943" i="4" s="1"/>
  <c r="F944" i="4" s="1"/>
  <c r="F945" i="4" s="1"/>
  <c r="F946" i="4" s="1"/>
  <c r="F947" i="4" s="1"/>
  <c r="F948" i="4" s="1"/>
  <c r="F949" i="4" s="1"/>
  <c r="E940" i="4"/>
  <c r="E941" i="4" s="1"/>
  <c r="E942" i="4" s="1"/>
  <c r="E943" i="4" s="1"/>
  <c r="E944" i="4" s="1"/>
  <c r="E945" i="4" s="1"/>
  <c r="E946" i="4" s="1"/>
  <c r="E947" i="4" s="1"/>
  <c r="E948" i="4" s="1"/>
  <c r="E949" i="4" s="1"/>
  <c r="L939" i="4"/>
  <c r="E939" i="4"/>
  <c r="L938" i="4"/>
  <c r="L937" i="4"/>
  <c r="G937" i="4"/>
  <c r="L936" i="4"/>
  <c r="L934" i="4"/>
  <c r="L933" i="4"/>
  <c r="L932" i="4"/>
  <c r="L931" i="4"/>
  <c r="L930" i="4"/>
  <c r="L929" i="4"/>
  <c r="L928" i="4"/>
  <c r="F928" i="4"/>
  <c r="F929" i="4" s="1"/>
  <c r="F930" i="4" s="1"/>
  <c r="F931" i="4" s="1"/>
  <c r="F932" i="4" s="1"/>
  <c r="F933" i="4" s="1"/>
  <c r="F934" i="4" s="1"/>
  <c r="F935" i="4" s="1"/>
  <c r="F936" i="4" s="1"/>
  <c r="F937" i="4" s="1"/>
  <c r="E928" i="4"/>
  <c r="E929" i="4" s="1"/>
  <c r="E930" i="4" s="1"/>
  <c r="E931" i="4" s="1"/>
  <c r="E932" i="4" s="1"/>
  <c r="E933" i="4" s="1"/>
  <c r="E934" i="4" s="1"/>
  <c r="E935" i="4" s="1"/>
  <c r="E936" i="4" s="1"/>
  <c r="E937" i="4" s="1"/>
  <c r="L927" i="4"/>
  <c r="E927" i="4"/>
  <c r="L926" i="4"/>
  <c r="L925" i="4"/>
  <c r="G925" i="4"/>
  <c r="L924" i="4"/>
  <c r="L923" i="4"/>
  <c r="L922" i="4"/>
  <c r="L921" i="4"/>
  <c r="L920" i="4"/>
  <c r="L919" i="4"/>
  <c r="L918" i="4"/>
  <c r="L917" i="4"/>
  <c r="L916" i="4"/>
  <c r="F916" i="4"/>
  <c r="F917" i="4" s="1"/>
  <c r="F918" i="4" s="1"/>
  <c r="F919" i="4" s="1"/>
  <c r="F920" i="4" s="1"/>
  <c r="F921" i="4" s="1"/>
  <c r="F922" i="4" s="1"/>
  <c r="F923" i="4" s="1"/>
  <c r="F924" i="4" s="1"/>
  <c r="F925" i="4" s="1"/>
  <c r="E916" i="4"/>
  <c r="E917" i="4" s="1"/>
  <c r="E918" i="4" s="1"/>
  <c r="E919" i="4" s="1"/>
  <c r="E920" i="4" s="1"/>
  <c r="E921" i="4" s="1"/>
  <c r="E922" i="4" s="1"/>
  <c r="E923" i="4" s="1"/>
  <c r="E924" i="4" s="1"/>
  <c r="E925" i="4" s="1"/>
  <c r="L915" i="4"/>
  <c r="E915" i="4"/>
  <c r="L914" i="4"/>
  <c r="L913" i="4"/>
  <c r="G913" i="4"/>
  <c r="L912" i="4"/>
  <c r="L911" i="4"/>
  <c r="L910" i="4"/>
  <c r="L909" i="4"/>
  <c r="L908" i="4"/>
  <c r="L907" i="4"/>
  <c r="L906" i="4"/>
  <c r="L905" i="4"/>
  <c r="L904" i="4"/>
  <c r="F904" i="4"/>
  <c r="F905" i="4" s="1"/>
  <c r="F906" i="4" s="1"/>
  <c r="F907" i="4" s="1"/>
  <c r="F908" i="4" s="1"/>
  <c r="F909" i="4" s="1"/>
  <c r="F910" i="4" s="1"/>
  <c r="F911" i="4" s="1"/>
  <c r="F912" i="4" s="1"/>
  <c r="F913" i="4" s="1"/>
  <c r="E904" i="4"/>
  <c r="E905" i="4" s="1"/>
  <c r="E906" i="4" s="1"/>
  <c r="E907" i="4" s="1"/>
  <c r="E908" i="4" s="1"/>
  <c r="E909" i="4" s="1"/>
  <c r="E910" i="4" s="1"/>
  <c r="E911" i="4" s="1"/>
  <c r="E912" i="4" s="1"/>
  <c r="E913" i="4" s="1"/>
  <c r="L903" i="4"/>
  <c r="E903" i="4"/>
  <c r="L902" i="4"/>
  <c r="L901" i="4"/>
  <c r="G901" i="4"/>
  <c r="L900" i="4"/>
  <c r="L899" i="4"/>
  <c r="L898" i="4"/>
  <c r="L897" i="4"/>
  <c r="L896" i="4"/>
  <c r="L895" i="4"/>
  <c r="L894" i="4"/>
  <c r="L893" i="4"/>
  <c r="L892" i="4"/>
  <c r="F892" i="4"/>
  <c r="F893" i="4" s="1"/>
  <c r="F894" i="4" s="1"/>
  <c r="F895" i="4" s="1"/>
  <c r="F896" i="4" s="1"/>
  <c r="F897" i="4" s="1"/>
  <c r="F898" i="4" s="1"/>
  <c r="F899" i="4" s="1"/>
  <c r="F900" i="4" s="1"/>
  <c r="F901" i="4" s="1"/>
  <c r="E892" i="4"/>
  <c r="E893" i="4" s="1"/>
  <c r="E894" i="4" s="1"/>
  <c r="E895" i="4" s="1"/>
  <c r="E896" i="4" s="1"/>
  <c r="E897" i="4" s="1"/>
  <c r="E898" i="4" s="1"/>
  <c r="E899" i="4" s="1"/>
  <c r="E900" i="4" s="1"/>
  <c r="E901" i="4" s="1"/>
  <c r="L891" i="4"/>
  <c r="E891" i="4"/>
  <c r="L890" i="4"/>
  <c r="L889" i="4"/>
  <c r="G889" i="4"/>
  <c r="L888" i="4"/>
  <c r="L887" i="4"/>
  <c r="L886" i="4"/>
  <c r="L885" i="4"/>
  <c r="L884" i="4"/>
  <c r="L883" i="4"/>
  <c r="L882" i="4"/>
  <c r="L881" i="4"/>
  <c r="L880" i="4"/>
  <c r="F880" i="4"/>
  <c r="F881" i="4" s="1"/>
  <c r="F882" i="4" s="1"/>
  <c r="F883" i="4" s="1"/>
  <c r="F884" i="4" s="1"/>
  <c r="F885" i="4" s="1"/>
  <c r="F886" i="4" s="1"/>
  <c r="F887" i="4" s="1"/>
  <c r="F888" i="4" s="1"/>
  <c r="F889" i="4" s="1"/>
  <c r="E880" i="4"/>
  <c r="E881" i="4" s="1"/>
  <c r="E882" i="4" s="1"/>
  <c r="E883" i="4" s="1"/>
  <c r="E884" i="4" s="1"/>
  <c r="E885" i="4" s="1"/>
  <c r="E886" i="4" s="1"/>
  <c r="E887" i="4" s="1"/>
  <c r="E888" i="4" s="1"/>
  <c r="E889" i="4" s="1"/>
  <c r="L879" i="4"/>
  <c r="E879" i="4"/>
  <c r="L878" i="4"/>
  <c r="L877" i="4"/>
  <c r="G877" i="4"/>
  <c r="L876" i="4"/>
  <c r="L875" i="4"/>
  <c r="L874" i="4"/>
  <c r="L873" i="4"/>
  <c r="L872" i="4"/>
  <c r="L871" i="4"/>
  <c r="L870" i="4"/>
  <c r="L869" i="4"/>
  <c r="L868" i="4"/>
  <c r="F868" i="4"/>
  <c r="F869" i="4" s="1"/>
  <c r="F870" i="4" s="1"/>
  <c r="F871" i="4" s="1"/>
  <c r="F872" i="4" s="1"/>
  <c r="F873" i="4" s="1"/>
  <c r="F874" i="4" s="1"/>
  <c r="F875" i="4" s="1"/>
  <c r="F876" i="4" s="1"/>
  <c r="F877" i="4" s="1"/>
  <c r="E868" i="4"/>
  <c r="E869" i="4" s="1"/>
  <c r="E870" i="4" s="1"/>
  <c r="E871" i="4" s="1"/>
  <c r="E872" i="4" s="1"/>
  <c r="E873" i="4" s="1"/>
  <c r="E874" i="4" s="1"/>
  <c r="E875" i="4" s="1"/>
  <c r="E876" i="4" s="1"/>
  <c r="E877" i="4" s="1"/>
  <c r="L867" i="4"/>
  <c r="E867" i="4"/>
  <c r="L866" i="4"/>
  <c r="L865" i="4"/>
  <c r="G865" i="4"/>
  <c r="L864" i="4"/>
  <c r="L863" i="4"/>
  <c r="L862" i="4"/>
  <c r="L861" i="4"/>
  <c r="L860" i="4"/>
  <c r="L859" i="4"/>
  <c r="L858" i="4"/>
  <c r="L857" i="4"/>
  <c r="L856" i="4"/>
  <c r="F856" i="4"/>
  <c r="F857" i="4" s="1"/>
  <c r="F858" i="4" s="1"/>
  <c r="F859" i="4" s="1"/>
  <c r="F860" i="4" s="1"/>
  <c r="F861" i="4" s="1"/>
  <c r="F862" i="4" s="1"/>
  <c r="F863" i="4" s="1"/>
  <c r="F864" i="4" s="1"/>
  <c r="F865" i="4" s="1"/>
  <c r="E856" i="4"/>
  <c r="E857" i="4" s="1"/>
  <c r="E858" i="4" s="1"/>
  <c r="E859" i="4" s="1"/>
  <c r="E860" i="4" s="1"/>
  <c r="E861" i="4" s="1"/>
  <c r="E862" i="4" s="1"/>
  <c r="E863" i="4" s="1"/>
  <c r="E864" i="4" s="1"/>
  <c r="E865" i="4" s="1"/>
  <c r="L855" i="4"/>
  <c r="E855" i="4"/>
  <c r="L854" i="4"/>
  <c r="L853" i="4"/>
  <c r="G853" i="4"/>
  <c r="L852" i="4"/>
  <c r="L851" i="4"/>
  <c r="L850" i="4"/>
  <c r="L849" i="4"/>
  <c r="L848" i="4"/>
  <c r="L847" i="4"/>
  <c r="L846" i="4"/>
  <c r="L845" i="4"/>
  <c r="L844" i="4"/>
  <c r="F844" i="4"/>
  <c r="F845" i="4" s="1"/>
  <c r="F846" i="4" s="1"/>
  <c r="F847" i="4" s="1"/>
  <c r="F848" i="4" s="1"/>
  <c r="F849" i="4" s="1"/>
  <c r="F850" i="4" s="1"/>
  <c r="F851" i="4" s="1"/>
  <c r="F852" i="4" s="1"/>
  <c r="F853" i="4" s="1"/>
  <c r="E844" i="4"/>
  <c r="E845" i="4" s="1"/>
  <c r="E846" i="4" s="1"/>
  <c r="E847" i="4" s="1"/>
  <c r="E848" i="4" s="1"/>
  <c r="E849" i="4" s="1"/>
  <c r="E850" i="4" s="1"/>
  <c r="E851" i="4" s="1"/>
  <c r="E852" i="4" s="1"/>
  <c r="E853" i="4" s="1"/>
  <c r="L843" i="4"/>
  <c r="E843" i="4"/>
  <c r="L842" i="4"/>
  <c r="L841" i="4"/>
  <c r="G841" i="4"/>
  <c r="L840" i="4"/>
  <c r="L839" i="4"/>
  <c r="L838" i="4"/>
  <c r="L837" i="4"/>
  <c r="L836" i="4"/>
  <c r="L835" i="4"/>
  <c r="L834" i="4"/>
  <c r="L833" i="4"/>
  <c r="L832" i="4"/>
  <c r="F832" i="4"/>
  <c r="F833" i="4" s="1"/>
  <c r="F834" i="4" s="1"/>
  <c r="F835" i="4" s="1"/>
  <c r="F836" i="4" s="1"/>
  <c r="F837" i="4" s="1"/>
  <c r="F838" i="4" s="1"/>
  <c r="F839" i="4" s="1"/>
  <c r="F840" i="4" s="1"/>
  <c r="F841" i="4" s="1"/>
  <c r="E832" i="4"/>
  <c r="E833" i="4" s="1"/>
  <c r="E834" i="4" s="1"/>
  <c r="E835" i="4" s="1"/>
  <c r="E836" i="4" s="1"/>
  <c r="E837" i="4" s="1"/>
  <c r="E838" i="4" s="1"/>
  <c r="E839" i="4" s="1"/>
  <c r="E840" i="4" s="1"/>
  <c r="E841" i="4" s="1"/>
  <c r="L831" i="4"/>
  <c r="E831" i="4"/>
  <c r="L830" i="4"/>
  <c r="L829" i="4"/>
  <c r="G829" i="4"/>
  <c r="L828" i="4"/>
  <c r="L827" i="4"/>
  <c r="L826" i="4"/>
  <c r="L825" i="4"/>
  <c r="L824" i="4"/>
  <c r="L823" i="4"/>
  <c r="L822" i="4"/>
  <c r="L821" i="4"/>
  <c r="L820" i="4"/>
  <c r="F820" i="4"/>
  <c r="F821" i="4" s="1"/>
  <c r="F822" i="4" s="1"/>
  <c r="F823" i="4" s="1"/>
  <c r="F824" i="4" s="1"/>
  <c r="F825" i="4" s="1"/>
  <c r="F826" i="4" s="1"/>
  <c r="F827" i="4" s="1"/>
  <c r="F828" i="4" s="1"/>
  <c r="F829" i="4" s="1"/>
  <c r="E820" i="4"/>
  <c r="E821" i="4" s="1"/>
  <c r="E822" i="4" s="1"/>
  <c r="E823" i="4" s="1"/>
  <c r="E824" i="4" s="1"/>
  <c r="E825" i="4" s="1"/>
  <c r="E826" i="4" s="1"/>
  <c r="E827" i="4" s="1"/>
  <c r="E828" i="4" s="1"/>
  <c r="E829" i="4" s="1"/>
  <c r="L819" i="4"/>
  <c r="E819" i="4"/>
  <c r="L818" i="4"/>
  <c r="L817" i="4"/>
  <c r="G817" i="4"/>
  <c r="L816" i="4"/>
  <c r="L815" i="4"/>
  <c r="L814" i="4"/>
  <c r="L813" i="4"/>
  <c r="L812" i="4"/>
  <c r="L811" i="4"/>
  <c r="L810" i="4"/>
  <c r="L809" i="4"/>
  <c r="L808" i="4"/>
  <c r="F808" i="4"/>
  <c r="F809" i="4" s="1"/>
  <c r="F810" i="4" s="1"/>
  <c r="F811" i="4" s="1"/>
  <c r="F812" i="4" s="1"/>
  <c r="F813" i="4" s="1"/>
  <c r="F814" i="4" s="1"/>
  <c r="F815" i="4" s="1"/>
  <c r="F816" i="4" s="1"/>
  <c r="F817" i="4" s="1"/>
  <c r="E808" i="4"/>
  <c r="E809" i="4" s="1"/>
  <c r="E810" i="4" s="1"/>
  <c r="E811" i="4" s="1"/>
  <c r="E812" i="4" s="1"/>
  <c r="E813" i="4" s="1"/>
  <c r="E814" i="4" s="1"/>
  <c r="E815" i="4" s="1"/>
  <c r="E816" i="4" s="1"/>
  <c r="E817" i="4" s="1"/>
  <c r="L807" i="4"/>
  <c r="E807" i="4"/>
  <c r="L806" i="4"/>
  <c r="L805" i="4"/>
  <c r="G805" i="4"/>
  <c r="L804" i="4"/>
  <c r="L803" i="4"/>
  <c r="L802" i="4"/>
  <c r="L801" i="4"/>
  <c r="L800" i="4"/>
  <c r="L799" i="4"/>
  <c r="L798" i="4"/>
  <c r="L797" i="4"/>
  <c r="L796" i="4"/>
  <c r="F796" i="4"/>
  <c r="F797" i="4" s="1"/>
  <c r="F798" i="4" s="1"/>
  <c r="F799" i="4" s="1"/>
  <c r="F800" i="4" s="1"/>
  <c r="F801" i="4" s="1"/>
  <c r="F802" i="4" s="1"/>
  <c r="F803" i="4" s="1"/>
  <c r="F804" i="4" s="1"/>
  <c r="F805" i="4" s="1"/>
  <c r="E796" i="4"/>
  <c r="E797" i="4" s="1"/>
  <c r="E798" i="4" s="1"/>
  <c r="E799" i="4" s="1"/>
  <c r="E800" i="4" s="1"/>
  <c r="E801" i="4" s="1"/>
  <c r="E802" i="4" s="1"/>
  <c r="E803" i="4" s="1"/>
  <c r="E804" i="4" s="1"/>
  <c r="E805" i="4" s="1"/>
  <c r="L795" i="4"/>
  <c r="E795" i="4"/>
  <c r="L794" i="4"/>
  <c r="L793" i="4"/>
  <c r="G793" i="4"/>
  <c r="L792" i="4"/>
  <c r="L791" i="4"/>
  <c r="L790" i="4"/>
  <c r="L789" i="4"/>
  <c r="L788" i="4"/>
  <c r="L787" i="4"/>
  <c r="L786" i="4"/>
  <c r="L785" i="4"/>
  <c r="L784" i="4"/>
  <c r="F784" i="4"/>
  <c r="F785" i="4" s="1"/>
  <c r="F786" i="4" s="1"/>
  <c r="F787" i="4" s="1"/>
  <c r="F788" i="4" s="1"/>
  <c r="F789" i="4" s="1"/>
  <c r="F790" i="4" s="1"/>
  <c r="F791" i="4" s="1"/>
  <c r="F792" i="4" s="1"/>
  <c r="F793" i="4" s="1"/>
  <c r="E784" i="4"/>
  <c r="E785" i="4" s="1"/>
  <c r="E786" i="4" s="1"/>
  <c r="E787" i="4" s="1"/>
  <c r="E788" i="4" s="1"/>
  <c r="E789" i="4" s="1"/>
  <c r="E790" i="4" s="1"/>
  <c r="E791" i="4" s="1"/>
  <c r="E792" i="4" s="1"/>
  <c r="E793" i="4" s="1"/>
  <c r="L783" i="4"/>
  <c r="E783" i="4"/>
  <c r="L782" i="4"/>
  <c r="L781" i="4"/>
  <c r="G781" i="4"/>
  <c r="L780" i="4"/>
  <c r="L779" i="4"/>
  <c r="L778" i="4"/>
  <c r="L777" i="4"/>
  <c r="L776" i="4"/>
  <c r="L775" i="4"/>
  <c r="L774" i="4"/>
  <c r="L773" i="4"/>
  <c r="L772" i="4"/>
  <c r="F772" i="4"/>
  <c r="F773" i="4" s="1"/>
  <c r="F774" i="4" s="1"/>
  <c r="F775" i="4" s="1"/>
  <c r="F776" i="4" s="1"/>
  <c r="F777" i="4" s="1"/>
  <c r="F778" i="4" s="1"/>
  <c r="F779" i="4" s="1"/>
  <c r="F780" i="4" s="1"/>
  <c r="F781" i="4" s="1"/>
  <c r="E772" i="4"/>
  <c r="E773" i="4" s="1"/>
  <c r="E774" i="4" s="1"/>
  <c r="E775" i="4" s="1"/>
  <c r="E776" i="4" s="1"/>
  <c r="E777" i="4" s="1"/>
  <c r="E778" i="4" s="1"/>
  <c r="E779" i="4" s="1"/>
  <c r="E780" i="4" s="1"/>
  <c r="E781" i="4" s="1"/>
  <c r="L771" i="4"/>
  <c r="L770" i="4"/>
  <c r="E771" i="4"/>
  <c r="L769" i="4"/>
  <c r="G769" i="4"/>
  <c r="L768" i="4"/>
  <c r="L767" i="4"/>
  <c r="L766" i="4"/>
  <c r="L765" i="4"/>
  <c r="L764" i="4"/>
  <c r="L763" i="4"/>
  <c r="L762" i="4"/>
  <c r="L761" i="4"/>
  <c r="L760" i="4"/>
  <c r="F760" i="4"/>
  <c r="F761" i="4" s="1"/>
  <c r="F762" i="4" s="1"/>
  <c r="F763" i="4" s="1"/>
  <c r="F764" i="4" s="1"/>
  <c r="F765" i="4" s="1"/>
  <c r="F766" i="4" s="1"/>
  <c r="F767" i="4" s="1"/>
  <c r="F768" i="4" s="1"/>
  <c r="F769" i="4" s="1"/>
  <c r="E760" i="4"/>
  <c r="E761" i="4" s="1"/>
  <c r="E762" i="4" s="1"/>
  <c r="E763" i="4" s="1"/>
  <c r="E764" i="4" s="1"/>
  <c r="E765" i="4" s="1"/>
  <c r="E766" i="4" s="1"/>
  <c r="E767" i="4" s="1"/>
  <c r="E768" i="4" s="1"/>
  <c r="E769" i="4" s="1"/>
  <c r="L759" i="4"/>
  <c r="L758" i="4"/>
  <c r="L757" i="4"/>
  <c r="G757" i="4"/>
  <c r="L756" i="4"/>
  <c r="L755" i="4"/>
  <c r="L754" i="4"/>
  <c r="L753" i="4"/>
  <c r="L752" i="4"/>
  <c r="L751" i="4"/>
  <c r="L750" i="4"/>
  <c r="L749" i="4"/>
  <c r="L748" i="4"/>
  <c r="F748" i="4"/>
  <c r="F749" i="4" s="1"/>
  <c r="F750" i="4" s="1"/>
  <c r="F751" i="4" s="1"/>
  <c r="F752" i="4" s="1"/>
  <c r="F753" i="4" s="1"/>
  <c r="F754" i="4" s="1"/>
  <c r="F755" i="4" s="1"/>
  <c r="F756" i="4" s="1"/>
  <c r="F757" i="4" s="1"/>
  <c r="E748" i="4"/>
  <c r="E749" i="4" s="1"/>
  <c r="E750" i="4" s="1"/>
  <c r="E751" i="4" s="1"/>
  <c r="E752" i="4" s="1"/>
  <c r="E753" i="4" s="1"/>
  <c r="E754" i="4" s="1"/>
  <c r="E755" i="4" s="1"/>
  <c r="E756" i="4" s="1"/>
  <c r="E757" i="4" s="1"/>
  <c r="L747" i="4"/>
  <c r="E747" i="4"/>
  <c r="L746" i="4"/>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AQ4" i="15"/>
  <c r="AR4" i="15"/>
  <c r="AS4" i="15"/>
  <c r="AT4"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AQ6" i="15"/>
  <c r="AR6" i="15"/>
  <c r="AS6" i="15"/>
  <c r="AT6"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AQ8" i="15"/>
  <c r="AR8" i="15"/>
  <c r="AS8" i="15"/>
  <c r="AT8"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AT9"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AQ10" i="15"/>
  <c r="AR10" i="15"/>
  <c r="AS10" i="15"/>
  <c r="AT10"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AQ11" i="15"/>
  <c r="AR11" i="15"/>
  <c r="AS11" i="15"/>
  <c r="AT11"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AQ12" i="15"/>
  <c r="AR12" i="15"/>
  <c r="AS12" i="15"/>
  <c r="AT12"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AQ13" i="15"/>
  <c r="AR13" i="15"/>
  <c r="AS13" i="15"/>
  <c r="AT13"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AQ14" i="15"/>
  <c r="AR14" i="15"/>
  <c r="AS14" i="15"/>
  <c r="AT14"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AQ16" i="15"/>
  <c r="AR16" i="15"/>
  <c r="AS16" i="15"/>
  <c r="AT16" i="15"/>
  <c r="M1073" i="4" l="1"/>
  <c r="M1127" i="4"/>
  <c r="M1180" i="4"/>
  <c r="M1071" i="4"/>
  <c r="M1125" i="4"/>
  <c r="M1118" i="4"/>
  <c r="M1075" i="4"/>
  <c r="M1129" i="4"/>
  <c r="M1123" i="4"/>
  <c r="M1160" i="4"/>
  <c r="M1074" i="4"/>
  <c r="M1128" i="4"/>
  <c r="M1122" i="4"/>
  <c r="F1070" i="4"/>
  <c r="F1071" i="4" s="1"/>
  <c r="M1031" i="4"/>
  <c r="M1081" i="4"/>
  <c r="M1070" i="4"/>
  <c r="M1126" i="4"/>
  <c r="M1119" i="4"/>
  <c r="M1048" i="4"/>
  <c r="M1080" i="4"/>
  <c r="M1077" i="4"/>
  <c r="M1124" i="4"/>
  <c r="M1205" i="4"/>
  <c r="M1079" i="4"/>
  <c r="M1185" i="4"/>
  <c r="F1178" i="4"/>
  <c r="F1179" i="4" s="1"/>
  <c r="M1032" i="4"/>
  <c r="M1053" i="4"/>
  <c r="M1101" i="4"/>
  <c r="M1094" i="4"/>
  <c r="M1184" i="4"/>
  <c r="M1178" i="4"/>
  <c r="M1030" i="4"/>
  <c r="M1025" i="4"/>
  <c r="M1052" i="4"/>
  <c r="M1104" i="4"/>
  <c r="M1098" i="4"/>
  <c r="M1181" i="4"/>
  <c r="M1210" i="4"/>
  <c r="F1202" i="4"/>
  <c r="F1203" i="4" s="1"/>
  <c r="M1027" i="4"/>
  <c r="M1023" i="4"/>
  <c r="M1055" i="4"/>
  <c r="M1102" i="4"/>
  <c r="M1099" i="4"/>
  <c r="M1179" i="4"/>
  <c r="M1208" i="4"/>
  <c r="M1216" i="4"/>
  <c r="M1022" i="4"/>
  <c r="M1057" i="4"/>
  <c r="M1100" i="4"/>
  <c r="M1187" i="4"/>
  <c r="M1054" i="4"/>
  <c r="M1056" i="4"/>
  <c r="M1047" i="4"/>
  <c r="M1097" i="4"/>
  <c r="M1186" i="4"/>
  <c r="M1211" i="4"/>
  <c r="M1026" i="4"/>
  <c r="M1024" i="4"/>
  <c r="M1033" i="4"/>
  <c r="M1029" i="4"/>
  <c r="M1051" i="4"/>
  <c r="M1046" i="4"/>
  <c r="M1049" i="4"/>
  <c r="M1096" i="4"/>
  <c r="M1162" i="4"/>
  <c r="M1183" i="4"/>
  <c r="M1209" i="4"/>
  <c r="F1022" i="4"/>
  <c r="F1023" i="4" s="1"/>
  <c r="F1046" i="4"/>
  <c r="F1047" i="4" s="1"/>
  <c r="M1105" i="4"/>
  <c r="M1154" i="4"/>
  <c r="M1188" i="4"/>
  <c r="M1207" i="4"/>
  <c r="M1062" i="4"/>
  <c r="M1202" i="4"/>
  <c r="M1217" i="4"/>
  <c r="M1214" i="4"/>
  <c r="M1224" i="4"/>
  <c r="M1164" i="4"/>
  <c r="AB70" i="12"/>
  <c r="M1148" i="4"/>
  <c r="M1159" i="4"/>
  <c r="M1158" i="4"/>
  <c r="M1144" i="4"/>
  <c r="M1145" i="4"/>
  <c r="M858" i="4"/>
  <c r="M1150" i="4"/>
  <c r="M1165" i="4"/>
  <c r="M1155" i="4"/>
  <c r="M862" i="4"/>
  <c r="M942" i="4"/>
  <c r="M813" i="4"/>
  <c r="M860" i="4"/>
  <c r="M859" i="4"/>
  <c r="M944" i="4"/>
  <c r="M1220" i="4"/>
  <c r="M1223" i="4"/>
  <c r="F1214" i="4"/>
  <c r="F1215" i="4" s="1"/>
  <c r="Y64" i="12"/>
  <c r="AJ70" i="12"/>
  <c r="AW64" i="12"/>
  <c r="AK64" i="12"/>
  <c r="AC64" i="12"/>
  <c r="M64" i="12"/>
  <c r="Q64" i="12"/>
  <c r="E64" i="12"/>
  <c r="I64" i="12"/>
  <c r="AO64" i="12"/>
  <c r="AG64" i="12"/>
  <c r="U64" i="12"/>
  <c r="AS64" i="12"/>
  <c r="U17" i="10"/>
  <c r="V17" i="10"/>
  <c r="S17" i="15"/>
  <c r="U17" i="15"/>
  <c r="AH17" i="15"/>
  <c r="AG17" i="15"/>
  <c r="U23" i="10"/>
  <c r="AS17" i="15"/>
  <c r="M863" i="4"/>
  <c r="F866" i="4"/>
  <c r="F867" i="4" s="1"/>
  <c r="M901" i="4"/>
  <c r="M940" i="4"/>
  <c r="M1156" i="4"/>
  <c r="M1157" i="4"/>
  <c r="M948" i="4"/>
  <c r="AA17" i="15"/>
  <c r="M938" i="4"/>
  <c r="M941" i="4"/>
  <c r="M879" i="4"/>
  <c r="M943" i="4"/>
  <c r="AI17" i="15"/>
  <c r="AC17" i="15"/>
  <c r="W17" i="15"/>
  <c r="Y17" i="15"/>
  <c r="M929" i="4"/>
  <c r="M949" i="4"/>
  <c r="R17" i="15"/>
  <c r="AP17" i="15"/>
  <c r="Z17" i="15"/>
  <c r="AQ17" i="15"/>
  <c r="AK17" i="15"/>
  <c r="AE17" i="15"/>
  <c r="AO17" i="15"/>
  <c r="Q17" i="15"/>
  <c r="M945" i="4"/>
  <c r="M950" i="4"/>
  <c r="W17" i="10"/>
  <c r="M868" i="4"/>
  <c r="M1163" i="4"/>
  <c r="M926" i="4"/>
  <c r="M854" i="4"/>
  <c r="M914" i="4"/>
  <c r="F938" i="4"/>
  <c r="F939" i="4" s="1"/>
  <c r="M17" i="15"/>
  <c r="AM17" i="15"/>
  <c r="O17" i="15"/>
  <c r="M1225" i="4"/>
  <c r="M1222" i="4"/>
  <c r="M1218" i="4"/>
  <c r="M1221" i="4"/>
  <c r="M1215" i="4"/>
  <c r="M1219" i="4"/>
  <c r="M946" i="4"/>
  <c r="M947" i="4"/>
  <c r="F950" i="4"/>
  <c r="F951" i="4" s="1"/>
  <c r="M952" i="4"/>
  <c r="M953" i="4"/>
  <c r="M956" i="4"/>
  <c r="M954" i="4"/>
  <c r="M955" i="4"/>
  <c r="M958" i="4"/>
  <c r="M957" i="4"/>
  <c r="M960" i="4"/>
  <c r="M959" i="4"/>
  <c r="M961" i="4"/>
  <c r="M932" i="4"/>
  <c r="M933" i="4"/>
  <c r="M936" i="4"/>
  <c r="M937" i="4"/>
  <c r="M927" i="4"/>
  <c r="M930" i="4"/>
  <c r="M931" i="4"/>
  <c r="M934" i="4"/>
  <c r="M935" i="4"/>
  <c r="F926" i="4"/>
  <c r="F927" i="4" s="1"/>
  <c r="M920" i="4"/>
  <c r="M921" i="4"/>
  <c r="M924" i="4"/>
  <c r="M915" i="4"/>
  <c r="F914" i="4"/>
  <c r="F915" i="4" s="1"/>
  <c r="M917" i="4"/>
  <c r="M918" i="4"/>
  <c r="M919" i="4"/>
  <c r="M922" i="4"/>
  <c r="M923" i="4"/>
  <c r="M925" i="4"/>
  <c r="M908" i="4"/>
  <c r="M910" i="4"/>
  <c r="M911" i="4"/>
  <c r="M903" i="4"/>
  <c r="M905" i="4"/>
  <c r="M902" i="4"/>
  <c r="M904" i="4"/>
  <c r="M906" i="4"/>
  <c r="M907" i="4"/>
  <c r="M909" i="4"/>
  <c r="M912" i="4"/>
  <c r="M913" i="4"/>
  <c r="M890" i="4"/>
  <c r="M892" i="4"/>
  <c r="M894" i="4"/>
  <c r="M895" i="4"/>
  <c r="M898" i="4"/>
  <c r="M899" i="4"/>
  <c r="F890" i="4"/>
  <c r="F891" i="4" s="1"/>
  <c r="M893" i="4"/>
  <c r="M896" i="4"/>
  <c r="M897" i="4"/>
  <c r="M900" i="4"/>
  <c r="F878" i="4"/>
  <c r="F879" i="4" s="1"/>
  <c r="M882" i="4"/>
  <c r="M883" i="4"/>
  <c r="M884" i="4"/>
  <c r="M886" i="4"/>
  <c r="M887" i="4"/>
  <c r="M878" i="4"/>
  <c r="M881" i="4"/>
  <c r="M885" i="4"/>
  <c r="M888" i="4"/>
  <c r="M889" i="4"/>
  <c r="M869" i="4"/>
  <c r="M872" i="4"/>
  <c r="M874" i="4"/>
  <c r="M875" i="4"/>
  <c r="M866" i="4"/>
  <c r="M870" i="4"/>
  <c r="M871" i="4"/>
  <c r="M873" i="4"/>
  <c r="M876" i="4"/>
  <c r="M877" i="4"/>
  <c r="F854" i="4"/>
  <c r="F855" i="4" s="1"/>
  <c r="M856" i="4"/>
  <c r="M857" i="4"/>
  <c r="M861" i="4"/>
  <c r="M864" i="4"/>
  <c r="M865" i="4"/>
  <c r="M850" i="4"/>
  <c r="M842" i="4"/>
  <c r="M852" i="4"/>
  <c r="M853" i="4"/>
  <c r="M843" i="4"/>
  <c r="F842" i="4"/>
  <c r="F843" i="4" s="1"/>
  <c r="M845" i="4"/>
  <c r="M846" i="4"/>
  <c r="M847" i="4"/>
  <c r="M848" i="4"/>
  <c r="M849" i="4"/>
  <c r="M851" i="4"/>
  <c r="M841" i="4"/>
  <c r="M830" i="4"/>
  <c r="F830" i="4"/>
  <c r="F831" i="4" s="1"/>
  <c r="M833" i="4"/>
  <c r="M834" i="4"/>
  <c r="M835" i="4"/>
  <c r="M840" i="4"/>
  <c r="M838" i="4"/>
  <c r="M831" i="4"/>
  <c r="M836" i="4"/>
  <c r="M837" i="4"/>
  <c r="M839" i="4"/>
  <c r="M819" i="4"/>
  <c r="M822" i="4"/>
  <c r="F818" i="4"/>
  <c r="F819" i="4" s="1"/>
  <c r="M818" i="4"/>
  <c r="M821" i="4"/>
  <c r="M826" i="4"/>
  <c r="M827" i="4"/>
  <c r="M829" i="4"/>
  <c r="M823" i="4"/>
  <c r="M824" i="4"/>
  <c r="M825" i="4"/>
  <c r="M828" i="4"/>
  <c r="F806" i="4"/>
  <c r="F807" i="4" s="1"/>
  <c r="M808" i="4"/>
  <c r="M809" i="4"/>
  <c r="M816" i="4"/>
  <c r="M817" i="4"/>
  <c r="M806" i="4"/>
  <c r="M810" i="4"/>
  <c r="M811" i="4"/>
  <c r="M812" i="4"/>
  <c r="M814" i="4"/>
  <c r="M815" i="4"/>
  <c r="M795" i="4"/>
  <c r="M801" i="4"/>
  <c r="M794" i="4"/>
  <c r="M804" i="4"/>
  <c r="F794" i="4"/>
  <c r="F795" i="4" s="1"/>
  <c r="M797" i="4"/>
  <c r="M798" i="4"/>
  <c r="M799" i="4"/>
  <c r="M800" i="4"/>
  <c r="M802" i="4"/>
  <c r="M803" i="4"/>
  <c r="M805" i="4"/>
  <c r="M787" i="4"/>
  <c r="M782" i="4"/>
  <c r="M783" i="4"/>
  <c r="M786" i="4"/>
  <c r="M789" i="4"/>
  <c r="M792" i="4"/>
  <c r="M793" i="4"/>
  <c r="M791" i="4"/>
  <c r="M785" i="4"/>
  <c r="M788" i="4"/>
  <c r="M790" i="4"/>
  <c r="M758" i="4"/>
  <c r="M766" i="4"/>
  <c r="M748" i="4"/>
  <c r="M750" i="4"/>
  <c r="M754" i="4"/>
  <c r="M951" i="4"/>
  <c r="M939" i="4"/>
  <c r="M928" i="4"/>
  <c r="M916" i="4"/>
  <c r="F902" i="4"/>
  <c r="F903" i="4" s="1"/>
  <c r="M891" i="4"/>
  <c r="M880" i="4"/>
  <c r="M867" i="4"/>
  <c r="M855" i="4"/>
  <c r="M844" i="4"/>
  <c r="M832" i="4"/>
  <c r="M820" i="4"/>
  <c r="M807" i="4"/>
  <c r="M796" i="4"/>
  <c r="M784" i="4"/>
  <c r="M774" i="4"/>
  <c r="F782" i="4"/>
  <c r="F783" i="4" s="1"/>
  <c r="M778" i="4"/>
  <c r="M755" i="4"/>
  <c r="M779" i="4"/>
  <c r="M761" i="4"/>
  <c r="M765" i="4"/>
  <c r="M775" i="4"/>
  <c r="M769" i="4"/>
  <c r="M772" i="4"/>
  <c r="M780" i="4"/>
  <c r="M752" i="4"/>
  <c r="M764" i="4"/>
  <c r="M759" i="4"/>
  <c r="M762" i="4"/>
  <c r="M777" i="4"/>
  <c r="M747" i="4"/>
  <c r="M751" i="4"/>
  <c r="M753" i="4"/>
  <c r="M756" i="4"/>
  <c r="M767" i="4"/>
  <c r="F770" i="4"/>
  <c r="F771" i="4" s="1"/>
  <c r="M773" i="4"/>
  <c r="F746" i="4"/>
  <c r="F747" i="4" s="1"/>
  <c r="M749" i="4"/>
  <c r="M763" i="4"/>
  <c r="M771" i="4"/>
  <c r="M776" i="4"/>
  <c r="M781" i="4"/>
  <c r="M757" i="4"/>
  <c r="M760" i="4"/>
  <c r="M768" i="4"/>
  <c r="M746" i="4"/>
  <c r="M770" i="4"/>
  <c r="F758" i="4"/>
  <c r="F759" i="4" s="1"/>
  <c r="AR17" i="15"/>
  <c r="AJ17" i="15"/>
  <c r="AB17" i="15"/>
  <c r="T17" i="15"/>
  <c r="AT17" i="15"/>
  <c r="AL17" i="15"/>
  <c r="AD17" i="15"/>
  <c r="V17" i="15"/>
  <c r="N17" i="15"/>
  <c r="AN17" i="15"/>
  <c r="AF17" i="15"/>
  <c r="X17" i="15"/>
  <c r="P17" i="15"/>
  <c r="K745" i="4"/>
  <c r="J745" i="4"/>
  <c r="K743" i="4"/>
  <c r="J743" i="4"/>
  <c r="E734" i="4"/>
  <c r="E735" i="4" s="1"/>
  <c r="E722" i="4"/>
  <c r="E723" i="4" s="1"/>
  <c r="E710" i="4"/>
  <c r="E711" i="4" s="1"/>
  <c r="J709" i="4"/>
  <c r="K709" i="4"/>
  <c r="K705" i="4"/>
  <c r="J705" i="4"/>
  <c r="E698" i="4"/>
  <c r="E699" i="4" s="1"/>
  <c r="G745" i="4"/>
  <c r="L744" i="4"/>
  <c r="L742" i="4"/>
  <c r="L741" i="4"/>
  <c r="L740" i="4"/>
  <c r="L739" i="4"/>
  <c r="L738" i="4"/>
  <c r="L737" i="4"/>
  <c r="L736" i="4"/>
  <c r="F736" i="4"/>
  <c r="F737" i="4" s="1"/>
  <c r="F738" i="4" s="1"/>
  <c r="F739" i="4" s="1"/>
  <c r="F740" i="4" s="1"/>
  <c r="F741" i="4" s="1"/>
  <c r="F742" i="4" s="1"/>
  <c r="F743" i="4" s="1"/>
  <c r="F744" i="4" s="1"/>
  <c r="F745" i="4" s="1"/>
  <c r="E736" i="4"/>
  <c r="E737" i="4" s="1"/>
  <c r="E738" i="4" s="1"/>
  <c r="E739" i="4" s="1"/>
  <c r="E740" i="4" s="1"/>
  <c r="E741" i="4" s="1"/>
  <c r="E742" i="4" s="1"/>
  <c r="E743" i="4" s="1"/>
  <c r="E744" i="4" s="1"/>
  <c r="E745" i="4" s="1"/>
  <c r="L735" i="4"/>
  <c r="L734" i="4"/>
  <c r="L733" i="4"/>
  <c r="G733" i="4"/>
  <c r="L732" i="4"/>
  <c r="L731" i="4"/>
  <c r="L730" i="4"/>
  <c r="L729" i="4"/>
  <c r="L728" i="4"/>
  <c r="L727" i="4"/>
  <c r="L726" i="4"/>
  <c r="L725" i="4"/>
  <c r="L724" i="4"/>
  <c r="F724" i="4"/>
  <c r="F725" i="4" s="1"/>
  <c r="F726" i="4" s="1"/>
  <c r="F727" i="4" s="1"/>
  <c r="F728" i="4" s="1"/>
  <c r="F729" i="4" s="1"/>
  <c r="F730" i="4" s="1"/>
  <c r="F731" i="4" s="1"/>
  <c r="F732" i="4" s="1"/>
  <c r="F733" i="4" s="1"/>
  <c r="E724" i="4"/>
  <c r="E725" i="4" s="1"/>
  <c r="E726" i="4" s="1"/>
  <c r="E727" i="4" s="1"/>
  <c r="E728" i="4" s="1"/>
  <c r="E729" i="4" s="1"/>
  <c r="E730" i="4" s="1"/>
  <c r="E731" i="4" s="1"/>
  <c r="E732" i="4" s="1"/>
  <c r="E733" i="4" s="1"/>
  <c r="L723" i="4"/>
  <c r="L722" i="4"/>
  <c r="L721" i="4"/>
  <c r="G721" i="4"/>
  <c r="L720" i="4"/>
  <c r="L719" i="4"/>
  <c r="L718" i="4"/>
  <c r="L717" i="4"/>
  <c r="L716" i="4"/>
  <c r="L715" i="4"/>
  <c r="L714" i="4"/>
  <c r="L713" i="4"/>
  <c r="L712" i="4"/>
  <c r="F712" i="4"/>
  <c r="F713" i="4" s="1"/>
  <c r="F714" i="4" s="1"/>
  <c r="F715" i="4" s="1"/>
  <c r="F716" i="4" s="1"/>
  <c r="F717" i="4" s="1"/>
  <c r="F718" i="4" s="1"/>
  <c r="F719" i="4" s="1"/>
  <c r="F720" i="4" s="1"/>
  <c r="F721" i="4" s="1"/>
  <c r="E712" i="4"/>
  <c r="E713" i="4" s="1"/>
  <c r="E714" i="4" s="1"/>
  <c r="E715" i="4" s="1"/>
  <c r="E716" i="4" s="1"/>
  <c r="E717" i="4" s="1"/>
  <c r="E718" i="4" s="1"/>
  <c r="E719" i="4" s="1"/>
  <c r="E720" i="4" s="1"/>
  <c r="E721" i="4" s="1"/>
  <c r="L711" i="4"/>
  <c r="L710" i="4"/>
  <c r="G709" i="4"/>
  <c r="L708" i="4"/>
  <c r="L707" i="4"/>
  <c r="L706" i="4"/>
  <c r="L704" i="4"/>
  <c r="L703" i="4"/>
  <c r="L702" i="4"/>
  <c r="L701" i="4"/>
  <c r="L700" i="4"/>
  <c r="F700" i="4"/>
  <c r="F701" i="4" s="1"/>
  <c r="F702" i="4" s="1"/>
  <c r="F703" i="4" s="1"/>
  <c r="F704" i="4" s="1"/>
  <c r="F705" i="4" s="1"/>
  <c r="F706" i="4" s="1"/>
  <c r="F707" i="4" s="1"/>
  <c r="F708" i="4" s="1"/>
  <c r="F709" i="4" s="1"/>
  <c r="E700" i="4"/>
  <c r="E701" i="4" s="1"/>
  <c r="E702" i="4" s="1"/>
  <c r="E703" i="4" s="1"/>
  <c r="E704" i="4" s="1"/>
  <c r="E705" i="4" s="1"/>
  <c r="E706" i="4" s="1"/>
  <c r="E707" i="4" s="1"/>
  <c r="E708" i="4" s="1"/>
  <c r="E709" i="4" s="1"/>
  <c r="L699" i="4"/>
  <c r="L698" i="4"/>
  <c r="K686" i="4"/>
  <c r="J686" i="4"/>
  <c r="E686" i="4"/>
  <c r="K684" i="4"/>
  <c r="J684" i="4"/>
  <c r="K685" i="4"/>
  <c r="J685" i="4"/>
  <c r="K683" i="4"/>
  <c r="J683" i="4"/>
  <c r="K675" i="4"/>
  <c r="J675" i="4"/>
  <c r="K676" i="4"/>
  <c r="J676" i="4"/>
  <c r="E674" i="4"/>
  <c r="E662" i="4"/>
  <c r="K664" i="4"/>
  <c r="J664" i="4"/>
  <c r="E650" i="4"/>
  <c r="K651" i="4"/>
  <c r="J651" i="4"/>
  <c r="K650" i="4"/>
  <c r="E638" i="4"/>
  <c r="E626" i="4"/>
  <c r="K625" i="4"/>
  <c r="J625" i="4"/>
  <c r="K616" i="4"/>
  <c r="J616" i="4"/>
  <c r="K623" i="4"/>
  <c r="J623" i="4"/>
  <c r="J615" i="4"/>
  <c r="E614" i="4"/>
  <c r="K611" i="4"/>
  <c r="J611" i="4"/>
  <c r="K609" i="4"/>
  <c r="J609" i="4"/>
  <c r="K613" i="4"/>
  <c r="J613" i="4"/>
  <c r="E602" i="4"/>
  <c r="K601" i="4"/>
  <c r="J601" i="4"/>
  <c r="K591" i="4"/>
  <c r="J591" i="4"/>
  <c r="K592" i="4"/>
  <c r="J592" i="4"/>
  <c r="K600" i="4"/>
  <c r="J600" i="4"/>
  <c r="K597" i="4"/>
  <c r="J597" i="4"/>
  <c r="K590" i="4"/>
  <c r="J590" i="4"/>
  <c r="K599" i="4"/>
  <c r="K593" i="4"/>
  <c r="J593" i="4"/>
  <c r="E590" i="4"/>
  <c r="L705" i="4" l="1"/>
  <c r="L709" i="4"/>
  <c r="M1857" i="4"/>
  <c r="M1852" i="4"/>
  <c r="M1850" i="4"/>
  <c r="M1854" i="4"/>
  <c r="M1855" i="4"/>
  <c r="M1856" i="4"/>
  <c r="M1859" i="4"/>
  <c r="M1858" i="4"/>
  <c r="M1860" i="4"/>
  <c r="M1861" i="4"/>
  <c r="M1851" i="4"/>
  <c r="M1853" i="4"/>
  <c r="M715" i="4"/>
  <c r="L745" i="4"/>
  <c r="L743" i="4"/>
  <c r="M725" i="4"/>
  <c r="M732" i="4"/>
  <c r="M733" i="4"/>
  <c r="M723" i="4"/>
  <c r="M728" i="4"/>
  <c r="M729" i="4"/>
  <c r="M722" i="4"/>
  <c r="M724" i="4"/>
  <c r="M726" i="4"/>
  <c r="M727" i="4"/>
  <c r="M730" i="4"/>
  <c r="M731" i="4"/>
  <c r="M710" i="4"/>
  <c r="M714" i="4"/>
  <c r="M719" i="4"/>
  <c r="M712" i="4"/>
  <c r="M718" i="4"/>
  <c r="M711" i="4"/>
  <c r="M713" i="4"/>
  <c r="M716" i="4"/>
  <c r="M717" i="4"/>
  <c r="M720" i="4"/>
  <c r="M721" i="4"/>
  <c r="M700" i="4"/>
  <c r="F722" i="4"/>
  <c r="F723" i="4" s="1"/>
  <c r="F710" i="4"/>
  <c r="F711" i="4" s="1"/>
  <c r="M707" i="4"/>
  <c r="M703" i="4"/>
  <c r="M699" i="4"/>
  <c r="M698" i="4"/>
  <c r="F698" i="4"/>
  <c r="F699" i="4" s="1"/>
  <c r="M705" i="4"/>
  <c r="M701" i="4"/>
  <c r="M704" i="4"/>
  <c r="M708" i="4"/>
  <c r="M709" i="4"/>
  <c r="M702" i="4"/>
  <c r="M706" i="4"/>
  <c r="J585" i="4"/>
  <c r="J587" i="4"/>
  <c r="J589" i="4"/>
  <c r="K579" i="4"/>
  <c r="J579" i="4"/>
  <c r="K580" i="4"/>
  <c r="J580" i="4"/>
  <c r="K578" i="4"/>
  <c r="J578" i="4"/>
  <c r="K589" i="4"/>
  <c r="K587" i="4"/>
  <c r="K585" i="4"/>
  <c r="E578" i="4"/>
  <c r="K567" i="4"/>
  <c r="J567" i="4"/>
  <c r="K566" i="4"/>
  <c r="J566" i="4"/>
  <c r="E566" i="4"/>
  <c r="J556" i="4"/>
  <c r="K557" i="4"/>
  <c r="J557" i="4"/>
  <c r="K556" i="4"/>
  <c r="K565" i="4"/>
  <c r="J565" i="4"/>
  <c r="K555" i="4"/>
  <c r="J555" i="4"/>
  <c r="E554" i="4"/>
  <c r="M743" i="4" l="1"/>
  <c r="M741" i="4"/>
  <c r="M739" i="4"/>
  <c r="M740" i="4"/>
  <c r="M736" i="4"/>
  <c r="M735" i="4"/>
  <c r="M745" i="4"/>
  <c r="F734" i="4"/>
  <c r="F735" i="4" s="1"/>
  <c r="M744" i="4"/>
  <c r="M738" i="4"/>
  <c r="M742" i="4"/>
  <c r="M734" i="4"/>
  <c r="M737" i="4"/>
  <c r="J541" i="4"/>
  <c r="K541" i="4"/>
  <c r="K537" i="4"/>
  <c r="J537" i="4"/>
  <c r="K536" i="4"/>
  <c r="J536" i="4"/>
  <c r="E530" i="4"/>
  <c r="K552" i="4"/>
  <c r="J552" i="4"/>
  <c r="E542" i="4"/>
  <c r="J525" i="4"/>
  <c r="J529" i="4"/>
  <c r="K525" i="4"/>
  <c r="K527" i="4"/>
  <c r="J527" i="4"/>
  <c r="K529" i="4"/>
  <c r="C5" i="15"/>
  <c r="D5" i="15"/>
  <c r="E5" i="15"/>
  <c r="F5" i="15"/>
  <c r="G5" i="15"/>
  <c r="H5" i="15"/>
  <c r="I5" i="15"/>
  <c r="J5" i="15"/>
  <c r="K5" i="15"/>
  <c r="L5" i="15"/>
  <c r="C6" i="15"/>
  <c r="D6" i="15"/>
  <c r="E6" i="15"/>
  <c r="F6" i="15"/>
  <c r="G6" i="15"/>
  <c r="H6" i="15"/>
  <c r="I6" i="15"/>
  <c r="J6" i="15"/>
  <c r="K6" i="15"/>
  <c r="L6" i="15"/>
  <c r="C7" i="15"/>
  <c r="D7" i="15"/>
  <c r="E7" i="15"/>
  <c r="F7" i="15"/>
  <c r="G7" i="15"/>
  <c r="H7" i="15"/>
  <c r="I7" i="15"/>
  <c r="J7" i="15"/>
  <c r="K7" i="15"/>
  <c r="L7" i="15"/>
  <c r="C8" i="15"/>
  <c r="D8" i="15"/>
  <c r="E8" i="15"/>
  <c r="F8" i="15"/>
  <c r="G8" i="15"/>
  <c r="H8" i="15"/>
  <c r="I8" i="15"/>
  <c r="J8" i="15"/>
  <c r="K8" i="15"/>
  <c r="L8" i="15"/>
  <c r="C9" i="15"/>
  <c r="D9" i="15"/>
  <c r="E9" i="15"/>
  <c r="F9" i="15"/>
  <c r="G9" i="15"/>
  <c r="H9" i="15"/>
  <c r="I9" i="15"/>
  <c r="J9" i="15"/>
  <c r="K9" i="15"/>
  <c r="L9" i="15"/>
  <c r="C10" i="15"/>
  <c r="D10" i="15"/>
  <c r="E10" i="15"/>
  <c r="F10" i="15"/>
  <c r="G10" i="15"/>
  <c r="H10" i="15"/>
  <c r="I10" i="15"/>
  <c r="J10" i="15"/>
  <c r="K10" i="15"/>
  <c r="L10" i="15"/>
  <c r="C11" i="15"/>
  <c r="D11" i="15"/>
  <c r="E11" i="15"/>
  <c r="F11" i="15"/>
  <c r="G11" i="15"/>
  <c r="H11" i="15"/>
  <c r="I11" i="15"/>
  <c r="J11" i="15"/>
  <c r="K11" i="15"/>
  <c r="L11" i="15"/>
  <c r="C12" i="15"/>
  <c r="D12" i="15"/>
  <c r="E12" i="15"/>
  <c r="F12" i="15"/>
  <c r="G12" i="15"/>
  <c r="H12" i="15"/>
  <c r="I12" i="15"/>
  <c r="J12" i="15"/>
  <c r="K12" i="15"/>
  <c r="L12" i="15"/>
  <c r="C13" i="15"/>
  <c r="D13" i="15"/>
  <c r="E13" i="15"/>
  <c r="F13" i="15"/>
  <c r="G13" i="15"/>
  <c r="H13" i="15"/>
  <c r="I13" i="15"/>
  <c r="J13" i="15"/>
  <c r="K13" i="15"/>
  <c r="L13" i="15"/>
  <c r="C14" i="15"/>
  <c r="D14" i="15"/>
  <c r="E14" i="15"/>
  <c r="F14" i="15"/>
  <c r="G14" i="15"/>
  <c r="H14" i="15"/>
  <c r="I14" i="15"/>
  <c r="J14" i="15"/>
  <c r="K14" i="15"/>
  <c r="L14" i="15"/>
  <c r="C15" i="15"/>
  <c r="D15" i="15"/>
  <c r="E15" i="15"/>
  <c r="F15" i="15"/>
  <c r="G15" i="15"/>
  <c r="H15" i="15"/>
  <c r="I15" i="15"/>
  <c r="J15" i="15"/>
  <c r="K15" i="15"/>
  <c r="L15" i="15"/>
  <c r="C16" i="15"/>
  <c r="D16" i="15"/>
  <c r="E16" i="15"/>
  <c r="F16" i="15"/>
  <c r="G16" i="15"/>
  <c r="H16" i="15"/>
  <c r="I16" i="15"/>
  <c r="J16" i="15"/>
  <c r="K16" i="15"/>
  <c r="L16" i="15"/>
  <c r="B6" i="15"/>
  <c r="B7" i="15"/>
  <c r="B8" i="15"/>
  <c r="B9" i="15"/>
  <c r="B10" i="15"/>
  <c r="B11" i="15"/>
  <c r="B12" i="15"/>
  <c r="B13" i="15"/>
  <c r="B14" i="15"/>
  <c r="B15" i="15"/>
  <c r="B16" i="15"/>
  <c r="B5" i="15"/>
  <c r="K4" i="15"/>
  <c r="L4" i="15"/>
  <c r="C4" i="15"/>
  <c r="D4" i="15"/>
  <c r="E4" i="15"/>
  <c r="F4" i="15"/>
  <c r="G4" i="15"/>
  <c r="H4" i="15"/>
  <c r="I4" i="15"/>
  <c r="J4" i="15"/>
  <c r="B4" i="15"/>
  <c r="E518" i="4"/>
  <c r="K515" i="4"/>
  <c r="J515" i="4"/>
  <c r="K513" i="4"/>
  <c r="J513" i="4"/>
  <c r="K517" i="4"/>
  <c r="J517" i="4"/>
  <c r="K516" i="4"/>
  <c r="J516" i="4"/>
  <c r="E506" i="4"/>
  <c r="J500" i="4"/>
  <c r="K505" i="4"/>
  <c r="J505" i="4"/>
  <c r="K495" i="4"/>
  <c r="J495" i="4"/>
  <c r="K494" i="4"/>
  <c r="J494" i="4"/>
  <c r="K504" i="4"/>
  <c r="J504" i="4"/>
  <c r="K496" i="4"/>
  <c r="J496" i="4"/>
  <c r="K503" i="4"/>
  <c r="J503" i="4"/>
  <c r="J498" i="4"/>
  <c r="E494" i="4"/>
  <c r="K489" i="4"/>
  <c r="J489" i="4"/>
  <c r="K491" i="4"/>
  <c r="J491" i="4"/>
  <c r="K493" i="4"/>
  <c r="J493" i="4"/>
  <c r="J492" i="4"/>
  <c r="E482" i="4"/>
  <c r="K480" i="4"/>
  <c r="J480" i="4"/>
  <c r="K478" i="4"/>
  <c r="J478" i="4"/>
  <c r="K481" i="4"/>
  <c r="J481" i="4"/>
  <c r="K479" i="4"/>
  <c r="J479" i="4"/>
  <c r="J17" i="15" l="1"/>
  <c r="L17" i="15"/>
  <c r="C17" i="15"/>
  <c r="G17" i="15"/>
  <c r="K17" i="15"/>
  <c r="B17" i="15"/>
  <c r="H17" i="15"/>
  <c r="F17" i="15"/>
  <c r="D17" i="15"/>
  <c r="K466" i="4"/>
  <c r="J466" i="4"/>
  <c r="K469" i="4"/>
  <c r="J469" i="4"/>
  <c r="K468" i="4"/>
  <c r="J468" i="4"/>
  <c r="J467" i="4"/>
  <c r="I17" i="15" l="1"/>
  <c r="E17" i="15"/>
  <c r="AX15" i="12"/>
  <c r="AX14" i="12"/>
  <c r="AX13" i="12"/>
  <c r="AX12" i="12"/>
  <c r="AX11" i="12"/>
  <c r="AX10" i="12"/>
  <c r="AX9" i="12"/>
  <c r="AX8" i="12"/>
  <c r="AX7" i="12"/>
  <c r="AX6" i="12"/>
  <c r="AX5" i="12"/>
  <c r="AX4" i="12"/>
  <c r="AV15" i="12"/>
  <c r="AV21" i="12" s="1"/>
  <c r="AU15" i="12"/>
  <c r="AU21" i="12" s="1"/>
  <c r="AT15" i="12"/>
  <c r="AT21" i="12" s="1"/>
  <c r="AV14" i="12"/>
  <c r="AU14" i="12"/>
  <c r="AT14" i="12"/>
  <c r="AV13" i="12"/>
  <c r="AU13" i="12"/>
  <c r="AT13" i="12"/>
  <c r="AV12" i="12"/>
  <c r="AU12" i="12"/>
  <c r="AT12" i="12"/>
  <c r="AV11" i="12"/>
  <c r="AU11" i="12"/>
  <c r="AT11" i="12"/>
  <c r="AV10" i="12"/>
  <c r="AU10" i="12"/>
  <c r="AT10" i="12"/>
  <c r="AV9" i="12"/>
  <c r="AU9" i="12"/>
  <c r="AT9" i="12"/>
  <c r="AV8" i="12"/>
  <c r="AU8" i="12"/>
  <c r="AT8" i="12"/>
  <c r="AV7" i="12"/>
  <c r="AU7" i="12"/>
  <c r="AT7" i="12"/>
  <c r="AV6" i="12"/>
  <c r="AU6" i="12"/>
  <c r="AT6" i="12"/>
  <c r="AV5" i="12"/>
  <c r="AV23" i="12" s="1"/>
  <c r="AU5" i="12"/>
  <c r="AU23" i="12" s="1"/>
  <c r="AT5" i="12"/>
  <c r="AT23" i="12" s="1"/>
  <c r="AV4" i="12"/>
  <c r="AU4" i="12"/>
  <c r="AT4" i="12"/>
  <c r="AR15" i="12"/>
  <c r="AR21" i="12" s="1"/>
  <c r="AQ15" i="12"/>
  <c r="AQ21" i="12" s="1"/>
  <c r="AP15" i="12"/>
  <c r="AP21" i="12" s="1"/>
  <c r="AR14" i="12"/>
  <c r="AQ14" i="12"/>
  <c r="AP14" i="12"/>
  <c r="AR13" i="12"/>
  <c r="AQ13" i="12"/>
  <c r="AP13" i="12"/>
  <c r="AR12" i="12"/>
  <c r="AQ12" i="12"/>
  <c r="AP12" i="12"/>
  <c r="AR11" i="12"/>
  <c r="AQ11" i="12"/>
  <c r="AP11" i="12"/>
  <c r="AR10" i="12"/>
  <c r="AQ10" i="12"/>
  <c r="AP10" i="12"/>
  <c r="AR9" i="12"/>
  <c r="AQ9" i="12"/>
  <c r="AP9" i="12"/>
  <c r="AR8" i="12"/>
  <c r="AQ8" i="12"/>
  <c r="AP8" i="12"/>
  <c r="AR7" i="12"/>
  <c r="AQ7" i="12"/>
  <c r="AP7" i="12"/>
  <c r="AR6" i="12"/>
  <c r="AQ6" i="12"/>
  <c r="AP6" i="12"/>
  <c r="AR5" i="12"/>
  <c r="AQ5" i="12"/>
  <c r="AP5" i="12"/>
  <c r="AR4" i="12"/>
  <c r="AQ4" i="12"/>
  <c r="AQ23" i="12" s="1"/>
  <c r="AP4" i="12"/>
  <c r="AP23" i="12" s="1"/>
  <c r="AN15" i="12"/>
  <c r="AN21" i="12" s="1"/>
  <c r="AM15" i="12"/>
  <c r="AM21" i="12" s="1"/>
  <c r="AL15" i="12"/>
  <c r="AL21" i="12" s="1"/>
  <c r="AN14" i="12"/>
  <c r="AM14" i="12"/>
  <c r="AL14" i="12"/>
  <c r="AN13" i="12"/>
  <c r="AM13" i="12"/>
  <c r="AL13" i="12"/>
  <c r="AN12" i="12"/>
  <c r="AM12" i="12"/>
  <c r="AL12" i="12"/>
  <c r="AN11" i="12"/>
  <c r="AM11" i="12"/>
  <c r="AL11" i="12"/>
  <c r="AN10" i="12"/>
  <c r="AM10" i="12"/>
  <c r="AL10" i="12"/>
  <c r="AN9" i="12"/>
  <c r="AN23" i="12" s="1"/>
  <c r="AM9" i="12"/>
  <c r="AM23" i="12" s="1"/>
  <c r="AL9" i="12"/>
  <c r="AL23" i="12" s="1"/>
  <c r="AN8" i="12"/>
  <c r="AM8" i="12"/>
  <c r="AL8" i="12"/>
  <c r="AN7" i="12"/>
  <c r="AM7" i="12"/>
  <c r="AL7" i="12"/>
  <c r="AN6" i="12"/>
  <c r="AM6" i="12"/>
  <c r="AL6" i="12"/>
  <c r="AN5" i="12"/>
  <c r="AM5" i="12"/>
  <c r="AL5" i="12"/>
  <c r="AN4" i="12"/>
  <c r="AM4" i="12"/>
  <c r="AL4" i="12"/>
  <c r="AJ15" i="12"/>
  <c r="AJ21" i="12" s="1"/>
  <c r="AI15" i="12"/>
  <c r="AI21" i="12" s="1"/>
  <c r="AH15" i="12"/>
  <c r="AH21" i="12" s="1"/>
  <c r="AJ14" i="12"/>
  <c r="AI14" i="12"/>
  <c r="AH14" i="12"/>
  <c r="AJ13" i="12"/>
  <c r="AI13" i="12"/>
  <c r="AH13" i="12"/>
  <c r="AJ12" i="12"/>
  <c r="AI12" i="12"/>
  <c r="AH12" i="12"/>
  <c r="AJ11" i="12"/>
  <c r="AI11" i="12"/>
  <c r="AH11" i="12"/>
  <c r="AJ10" i="12"/>
  <c r="AJ23" i="12" s="1"/>
  <c r="AI10" i="12"/>
  <c r="AI23" i="12" s="1"/>
  <c r="AH10" i="12"/>
  <c r="AH23" i="12" s="1"/>
  <c r="AJ9" i="12"/>
  <c r="AI9" i="12"/>
  <c r="AH9" i="12"/>
  <c r="AJ8" i="12"/>
  <c r="AI8" i="12"/>
  <c r="AH8" i="12"/>
  <c r="AJ7" i="12"/>
  <c r="AI7" i="12"/>
  <c r="AH7" i="12"/>
  <c r="AJ6" i="12"/>
  <c r="AI6" i="12"/>
  <c r="AH6" i="12"/>
  <c r="AJ5" i="12"/>
  <c r="AI5" i="12"/>
  <c r="AH5" i="12"/>
  <c r="AJ4" i="12"/>
  <c r="AI4" i="12"/>
  <c r="AH4" i="12"/>
  <c r="AF15" i="12"/>
  <c r="AF21" i="12" s="1"/>
  <c r="AE15" i="12"/>
  <c r="AE21" i="12" s="1"/>
  <c r="AD15" i="12"/>
  <c r="AD21" i="12" s="1"/>
  <c r="AF14" i="12"/>
  <c r="AE14" i="12"/>
  <c r="AD14" i="12"/>
  <c r="AF13" i="12"/>
  <c r="AF23" i="12" s="1"/>
  <c r="AE13" i="12"/>
  <c r="AE23" i="12" s="1"/>
  <c r="AD13" i="12"/>
  <c r="AD23" i="12" s="1"/>
  <c r="AF12" i="12"/>
  <c r="AE12" i="12"/>
  <c r="AD12" i="12"/>
  <c r="AF11" i="12"/>
  <c r="AE11" i="12"/>
  <c r="AD11" i="12"/>
  <c r="AF10" i="12"/>
  <c r="AE10" i="12"/>
  <c r="AD10" i="12"/>
  <c r="AF9" i="12"/>
  <c r="AE9" i="12"/>
  <c r="AD9" i="12"/>
  <c r="AF8" i="12"/>
  <c r="AE8" i="12"/>
  <c r="AD8" i="12"/>
  <c r="AF7" i="12"/>
  <c r="AE7" i="12"/>
  <c r="AD7" i="12"/>
  <c r="AF6" i="12"/>
  <c r="AE6" i="12"/>
  <c r="AD6" i="12"/>
  <c r="AF5" i="12"/>
  <c r="AE5" i="12"/>
  <c r="AD5" i="12"/>
  <c r="AF4" i="12"/>
  <c r="AE4" i="12"/>
  <c r="AD4" i="12"/>
  <c r="AB15" i="12"/>
  <c r="AB21" i="12" s="1"/>
  <c r="AA15" i="12"/>
  <c r="AA21" i="12" s="1"/>
  <c r="Z15" i="12"/>
  <c r="Z21" i="12" s="1"/>
  <c r="AB14" i="12"/>
  <c r="AA14" i="12"/>
  <c r="Z14" i="12"/>
  <c r="AB13" i="12"/>
  <c r="AA13" i="12"/>
  <c r="Z13" i="12"/>
  <c r="AB12" i="12"/>
  <c r="AA12" i="12"/>
  <c r="Z12" i="12"/>
  <c r="AB11" i="12"/>
  <c r="AA11" i="12"/>
  <c r="Z11" i="12"/>
  <c r="AB10" i="12"/>
  <c r="AA10" i="12"/>
  <c r="Z10" i="12"/>
  <c r="AB9" i="12"/>
  <c r="AA9" i="12"/>
  <c r="Z9" i="12"/>
  <c r="AB8" i="12"/>
  <c r="AA8" i="12"/>
  <c r="Z8" i="12"/>
  <c r="AB7" i="12"/>
  <c r="AB23" i="12" s="1"/>
  <c r="AA7" i="12"/>
  <c r="AA23" i="12" s="1"/>
  <c r="Z7" i="12"/>
  <c r="Z23" i="12" s="1"/>
  <c r="Z22" i="12" s="1"/>
  <c r="AB6" i="12"/>
  <c r="AA6" i="12"/>
  <c r="Z6" i="12"/>
  <c r="AB5" i="12"/>
  <c r="AA5" i="12"/>
  <c r="Z5" i="12"/>
  <c r="AB4" i="12"/>
  <c r="AA4" i="12"/>
  <c r="Z4" i="12"/>
  <c r="X15" i="12"/>
  <c r="X21" i="12" s="1"/>
  <c r="W15" i="12"/>
  <c r="W21" i="12" s="1"/>
  <c r="V15" i="12"/>
  <c r="V21" i="12" s="1"/>
  <c r="X14" i="12"/>
  <c r="W14" i="12"/>
  <c r="V14" i="12"/>
  <c r="X13" i="12"/>
  <c r="W13" i="12"/>
  <c r="V13" i="12"/>
  <c r="X12" i="12"/>
  <c r="W12" i="12"/>
  <c r="V12" i="12"/>
  <c r="X11" i="12"/>
  <c r="W11" i="12"/>
  <c r="V11" i="12"/>
  <c r="X10" i="12"/>
  <c r="W10" i="12"/>
  <c r="V10" i="12"/>
  <c r="X9" i="12"/>
  <c r="W9" i="12"/>
  <c r="V9" i="12"/>
  <c r="X8" i="12"/>
  <c r="X23" i="12" s="1"/>
  <c r="W8" i="12"/>
  <c r="W23" i="12" s="1"/>
  <c r="V8" i="12"/>
  <c r="V23" i="12" s="1"/>
  <c r="X7" i="12"/>
  <c r="W7" i="12"/>
  <c r="V7" i="12"/>
  <c r="X6" i="12"/>
  <c r="W6" i="12"/>
  <c r="V6" i="12"/>
  <c r="X5" i="12"/>
  <c r="W5" i="12"/>
  <c r="V5" i="12"/>
  <c r="X4" i="12"/>
  <c r="W4" i="12"/>
  <c r="V4" i="12"/>
  <c r="T15" i="12"/>
  <c r="T21" i="12" s="1"/>
  <c r="S15" i="12"/>
  <c r="S21" i="12" s="1"/>
  <c r="R15" i="12"/>
  <c r="R21" i="12" s="1"/>
  <c r="T14" i="12"/>
  <c r="S14" i="12"/>
  <c r="R14" i="12"/>
  <c r="T13" i="12"/>
  <c r="S13" i="12"/>
  <c r="R13" i="12"/>
  <c r="T12" i="12"/>
  <c r="S12" i="12"/>
  <c r="R12" i="12"/>
  <c r="T11" i="12"/>
  <c r="T23" i="12" s="1"/>
  <c r="S11" i="12"/>
  <c r="S23" i="12" s="1"/>
  <c r="R11" i="12"/>
  <c r="R23" i="12" s="1"/>
  <c r="T10" i="12"/>
  <c r="S10" i="12"/>
  <c r="R10" i="12"/>
  <c r="T9" i="12"/>
  <c r="S9" i="12"/>
  <c r="R9" i="12"/>
  <c r="T8" i="12"/>
  <c r="S8" i="12"/>
  <c r="R8" i="12"/>
  <c r="T7" i="12"/>
  <c r="S7" i="12"/>
  <c r="R7" i="12"/>
  <c r="T6" i="12"/>
  <c r="S6" i="12"/>
  <c r="R6" i="12"/>
  <c r="T5" i="12"/>
  <c r="S5" i="12"/>
  <c r="R5" i="12"/>
  <c r="T4" i="12"/>
  <c r="S4" i="12"/>
  <c r="R4" i="12"/>
  <c r="P15" i="12"/>
  <c r="P21" i="12" s="1"/>
  <c r="O15" i="12"/>
  <c r="O21" i="12" s="1"/>
  <c r="N15" i="12"/>
  <c r="N21" i="12" s="1"/>
  <c r="P14" i="12"/>
  <c r="O14" i="12"/>
  <c r="N14" i="12"/>
  <c r="P13" i="12"/>
  <c r="O13" i="12"/>
  <c r="N13" i="12"/>
  <c r="P12" i="12"/>
  <c r="P23" i="12" s="1"/>
  <c r="O12" i="12"/>
  <c r="O23" i="12" s="1"/>
  <c r="N12" i="12"/>
  <c r="N23" i="12" s="1"/>
  <c r="P11" i="12"/>
  <c r="O11" i="12"/>
  <c r="N11" i="12"/>
  <c r="P10" i="12"/>
  <c r="O10" i="12"/>
  <c r="N10" i="12"/>
  <c r="P9" i="12"/>
  <c r="O9" i="12"/>
  <c r="N9" i="12"/>
  <c r="P8" i="12"/>
  <c r="O8" i="12"/>
  <c r="N8" i="12"/>
  <c r="P7" i="12"/>
  <c r="O7" i="12"/>
  <c r="N7" i="12"/>
  <c r="P6" i="12"/>
  <c r="O6" i="12"/>
  <c r="N6" i="12"/>
  <c r="P5" i="12"/>
  <c r="O5" i="12"/>
  <c r="N5" i="12"/>
  <c r="P4" i="12"/>
  <c r="O4" i="12"/>
  <c r="N4" i="12"/>
  <c r="L15" i="12"/>
  <c r="L21" i="12" s="1"/>
  <c r="K15" i="12"/>
  <c r="K21" i="12" s="1"/>
  <c r="J15" i="12"/>
  <c r="J21" i="12" s="1"/>
  <c r="L14" i="12"/>
  <c r="K14" i="12"/>
  <c r="J14" i="12"/>
  <c r="L13" i="12"/>
  <c r="K13" i="12"/>
  <c r="J13" i="12"/>
  <c r="L12" i="12"/>
  <c r="K12" i="12"/>
  <c r="J12" i="12"/>
  <c r="L11" i="12"/>
  <c r="K11" i="12"/>
  <c r="J11" i="12"/>
  <c r="L10" i="12"/>
  <c r="K10" i="12"/>
  <c r="J10" i="12"/>
  <c r="L9" i="12"/>
  <c r="K9" i="12"/>
  <c r="J9" i="12"/>
  <c r="L8" i="12"/>
  <c r="L23" i="12" s="1"/>
  <c r="K8" i="12"/>
  <c r="K23" i="12" s="1"/>
  <c r="J8" i="12"/>
  <c r="J23" i="12" s="1"/>
  <c r="L7" i="12"/>
  <c r="K7" i="12"/>
  <c r="J7" i="12"/>
  <c r="L6" i="12"/>
  <c r="K6" i="12"/>
  <c r="J6" i="12"/>
  <c r="L5" i="12"/>
  <c r="K5" i="12"/>
  <c r="J5" i="12"/>
  <c r="L4" i="12"/>
  <c r="K4" i="12"/>
  <c r="J4" i="12"/>
  <c r="H15" i="12"/>
  <c r="H21" i="12" s="1"/>
  <c r="G15" i="12"/>
  <c r="G21" i="12" s="1"/>
  <c r="F15" i="12"/>
  <c r="F21" i="12" s="1"/>
  <c r="H14" i="12"/>
  <c r="G14" i="12"/>
  <c r="G23" i="12" s="1"/>
  <c r="F14" i="12"/>
  <c r="F23" i="12" s="1"/>
  <c r="H13" i="12"/>
  <c r="G13" i="12"/>
  <c r="F13" i="12"/>
  <c r="H12" i="12"/>
  <c r="G12" i="12"/>
  <c r="F12" i="12"/>
  <c r="H11" i="12"/>
  <c r="G11" i="12"/>
  <c r="F11" i="12"/>
  <c r="H10" i="12"/>
  <c r="G10" i="12"/>
  <c r="F10" i="12"/>
  <c r="H9" i="12"/>
  <c r="G9" i="12"/>
  <c r="F9" i="12"/>
  <c r="H8" i="12"/>
  <c r="G8" i="12"/>
  <c r="F8" i="12"/>
  <c r="H7" i="12"/>
  <c r="G7" i="12"/>
  <c r="F7" i="12"/>
  <c r="H6" i="12"/>
  <c r="G6" i="12"/>
  <c r="F6" i="12"/>
  <c r="H5" i="12"/>
  <c r="G5" i="12"/>
  <c r="F5" i="12"/>
  <c r="H4" i="12"/>
  <c r="G4" i="12"/>
  <c r="F4" i="12"/>
  <c r="C4" i="12"/>
  <c r="D4" i="12"/>
  <c r="C5" i="12"/>
  <c r="D5" i="12"/>
  <c r="C6" i="12"/>
  <c r="D6" i="12"/>
  <c r="C7" i="12"/>
  <c r="D7" i="12"/>
  <c r="C8" i="12"/>
  <c r="D8" i="12"/>
  <c r="C9" i="12"/>
  <c r="D9" i="12"/>
  <c r="C10" i="12"/>
  <c r="D10" i="12"/>
  <c r="C11" i="12"/>
  <c r="D11" i="12"/>
  <c r="C12" i="12"/>
  <c r="D12" i="12"/>
  <c r="C13" i="12"/>
  <c r="D13" i="12"/>
  <c r="C14" i="12"/>
  <c r="D14" i="12"/>
  <c r="C15" i="12"/>
  <c r="C21" i="12" s="1"/>
  <c r="C22" i="12" s="1"/>
  <c r="D15" i="12"/>
  <c r="D21" i="12" s="1"/>
  <c r="D22" i="12" s="1"/>
  <c r="B5" i="12"/>
  <c r="B6" i="12"/>
  <c r="B7" i="12"/>
  <c r="B8" i="12"/>
  <c r="B9" i="12"/>
  <c r="B10" i="12"/>
  <c r="B11" i="12"/>
  <c r="B12" i="12"/>
  <c r="B13" i="12"/>
  <c r="B14" i="12"/>
  <c r="B15" i="12"/>
  <c r="AX3" i="12"/>
  <c r="AR3" i="12"/>
  <c r="AR20" i="12" s="1"/>
  <c r="AT3" i="12"/>
  <c r="AT20" i="12" s="1"/>
  <c r="AU3" i="12"/>
  <c r="AU20" i="12" s="1"/>
  <c r="AV3" i="12"/>
  <c r="AV20" i="12" s="1"/>
  <c r="C3" i="12"/>
  <c r="C20" i="12" s="1"/>
  <c r="D3" i="12"/>
  <c r="D20" i="12" s="1"/>
  <c r="F3" i="12"/>
  <c r="F20" i="12" s="1"/>
  <c r="G3" i="12"/>
  <c r="G20" i="12" s="1"/>
  <c r="H3" i="12"/>
  <c r="H20" i="12" s="1"/>
  <c r="J3" i="12"/>
  <c r="J20" i="12" s="1"/>
  <c r="K3" i="12"/>
  <c r="K20" i="12" s="1"/>
  <c r="L3" i="12"/>
  <c r="L20" i="12" s="1"/>
  <c r="N3" i="12"/>
  <c r="N20" i="12" s="1"/>
  <c r="O3" i="12"/>
  <c r="O20" i="12" s="1"/>
  <c r="P3" i="12"/>
  <c r="P20" i="12" s="1"/>
  <c r="R3" i="12"/>
  <c r="R20" i="12" s="1"/>
  <c r="S3" i="12"/>
  <c r="S20" i="12" s="1"/>
  <c r="T3" i="12"/>
  <c r="T20" i="12" s="1"/>
  <c r="V3" i="12"/>
  <c r="V20" i="12" s="1"/>
  <c r="W3" i="12"/>
  <c r="W20" i="12" s="1"/>
  <c r="X3" i="12"/>
  <c r="X20" i="12" s="1"/>
  <c r="Z3" i="12"/>
  <c r="Z20" i="12" s="1"/>
  <c r="AA3" i="12"/>
  <c r="AA20" i="12" s="1"/>
  <c r="AB3" i="12"/>
  <c r="AB20" i="12" s="1"/>
  <c r="AD3" i="12"/>
  <c r="AD20" i="12" s="1"/>
  <c r="AE3" i="12"/>
  <c r="AE20" i="12" s="1"/>
  <c r="AF3" i="12"/>
  <c r="AF20" i="12" s="1"/>
  <c r="AH3" i="12"/>
  <c r="AH20" i="12" s="1"/>
  <c r="AI3" i="12"/>
  <c r="AI20" i="12" s="1"/>
  <c r="AJ3" i="12"/>
  <c r="AJ20" i="12" s="1"/>
  <c r="AL3" i="12"/>
  <c r="AL20" i="12" s="1"/>
  <c r="AM3" i="12"/>
  <c r="AM20" i="12" s="1"/>
  <c r="AN3" i="12"/>
  <c r="AN20" i="12" s="1"/>
  <c r="AP3" i="12"/>
  <c r="AP20" i="12" s="1"/>
  <c r="AQ3" i="12"/>
  <c r="AQ20" i="12" s="1"/>
  <c r="B3" i="12"/>
  <c r="B20" i="12" s="1"/>
  <c r="E8" i="12" l="1"/>
  <c r="Q9" i="12"/>
  <c r="AC14" i="12"/>
  <c r="AR16" i="12"/>
  <c r="AW10" i="12"/>
  <c r="E15" i="12"/>
  <c r="E7" i="12"/>
  <c r="I12" i="12"/>
  <c r="I14" i="12"/>
  <c r="G22" i="12"/>
  <c r="AB22" i="12"/>
  <c r="AS8" i="12"/>
  <c r="F22" i="12"/>
  <c r="Q12" i="12"/>
  <c r="O22" i="12"/>
  <c r="AC8" i="12"/>
  <c r="AH22" i="12"/>
  <c r="AJ22" i="12"/>
  <c r="AM22" i="12"/>
  <c r="AW8" i="12"/>
  <c r="AW11" i="12"/>
  <c r="X22" i="12"/>
  <c r="AN22" i="12"/>
  <c r="AT22" i="12"/>
  <c r="AA22" i="12"/>
  <c r="N22" i="12"/>
  <c r="T22" i="12"/>
  <c r="AS11" i="12"/>
  <c r="H23" i="12"/>
  <c r="H22" i="12" s="1"/>
  <c r="E6" i="12"/>
  <c r="Q10" i="12"/>
  <c r="E4" i="12"/>
  <c r="I8" i="12"/>
  <c r="M12" i="12"/>
  <c r="AC12" i="12"/>
  <c r="AW12" i="12"/>
  <c r="E14" i="12"/>
  <c r="E9" i="12"/>
  <c r="AS14" i="12"/>
  <c r="K22" i="12"/>
  <c r="Q6" i="12"/>
  <c r="AS4" i="12"/>
  <c r="B21" i="12"/>
  <c r="B22" i="12" s="1"/>
  <c r="AR23" i="12"/>
  <c r="AR22" i="12" s="1"/>
  <c r="Q4" i="12"/>
  <c r="AC10" i="12"/>
  <c r="AO6" i="12"/>
  <c r="AV22" i="12"/>
  <c r="E10" i="12"/>
  <c r="AW6" i="12"/>
  <c r="AU22" i="12"/>
  <c r="AQ22" i="12"/>
  <c r="AP22" i="12"/>
  <c r="AL22" i="12"/>
  <c r="AI22" i="12"/>
  <c r="AE22" i="12"/>
  <c r="AF22" i="12"/>
  <c r="AD22" i="12"/>
  <c r="W22" i="12"/>
  <c r="V22" i="12"/>
  <c r="S22" i="12"/>
  <c r="R22" i="12"/>
  <c r="P22" i="12"/>
  <c r="L22" i="12"/>
  <c r="J22" i="12"/>
  <c r="E12" i="12"/>
  <c r="B16" i="12"/>
  <c r="I10" i="12"/>
  <c r="Q14" i="12"/>
  <c r="E5" i="12"/>
  <c r="E11" i="12"/>
  <c r="M6" i="12"/>
  <c r="P16" i="12"/>
  <c r="Y6" i="12"/>
  <c r="Y14" i="12"/>
  <c r="D16" i="12"/>
  <c r="M5" i="12"/>
  <c r="I6" i="12"/>
  <c r="I11" i="12"/>
  <c r="AO8" i="12"/>
  <c r="AS7" i="12"/>
  <c r="AW15" i="12"/>
  <c r="E13" i="12"/>
  <c r="Y4" i="12"/>
  <c r="AS15" i="12"/>
  <c r="I4" i="12"/>
  <c r="AC6" i="12"/>
  <c r="AC11" i="12"/>
  <c r="AG9" i="12"/>
  <c r="AK5" i="12"/>
  <c r="AK13" i="12"/>
  <c r="AO9" i="12"/>
  <c r="AS5" i="12"/>
  <c r="Q8" i="12"/>
  <c r="AS13" i="12"/>
  <c r="C16" i="12"/>
  <c r="U4" i="12"/>
  <c r="U12" i="12"/>
  <c r="AC4" i="12"/>
  <c r="AW9" i="12"/>
  <c r="AW14" i="12"/>
  <c r="G16" i="12"/>
  <c r="H16" i="12"/>
  <c r="I9" i="12"/>
  <c r="M4" i="12"/>
  <c r="M9" i="12"/>
  <c r="M14" i="12"/>
  <c r="Q7" i="12"/>
  <c r="S16" i="12"/>
  <c r="U7" i="12"/>
  <c r="U15" i="12"/>
  <c r="Y8" i="12"/>
  <c r="Y11" i="12"/>
  <c r="AA16" i="12"/>
  <c r="AC9" i="12"/>
  <c r="AG4" i="12"/>
  <c r="AG12" i="12"/>
  <c r="AK8" i="12"/>
  <c r="AL16" i="12"/>
  <c r="AW7" i="12"/>
  <c r="I7" i="12"/>
  <c r="K16" i="12"/>
  <c r="Q5" i="12"/>
  <c r="T16" i="12"/>
  <c r="U10" i="12"/>
  <c r="AB16" i="12"/>
  <c r="AC7" i="12"/>
  <c r="AE16" i="12"/>
  <c r="AG7" i="12"/>
  <c r="AG15" i="12"/>
  <c r="AK11" i="12"/>
  <c r="AO4" i="12"/>
  <c r="AO7" i="12"/>
  <c r="AO12" i="12"/>
  <c r="AO15" i="12"/>
  <c r="AW5" i="12"/>
  <c r="AX16" i="12"/>
  <c r="M7" i="12"/>
  <c r="M15" i="12"/>
  <c r="U13" i="12"/>
  <c r="Y9" i="12"/>
  <c r="AC5" i="12"/>
  <c r="AF16" i="12"/>
  <c r="AG10" i="12"/>
  <c r="AK6" i="12"/>
  <c r="AK14" i="12"/>
  <c r="AN16" i="12"/>
  <c r="I5" i="12"/>
  <c r="L16" i="12"/>
  <c r="U5" i="12"/>
  <c r="M10" i="12"/>
  <c r="U8" i="12"/>
  <c r="V16" i="12"/>
  <c r="AG5" i="12"/>
  <c r="AG13" i="12"/>
  <c r="AK9" i="12"/>
  <c r="AO5" i="12"/>
  <c r="AO10" i="12"/>
  <c r="AO13" i="12"/>
  <c r="AS6" i="12"/>
  <c r="AS9" i="12"/>
  <c r="AT16" i="12"/>
  <c r="M13" i="12"/>
  <c r="Q15" i="12"/>
  <c r="U11" i="12"/>
  <c r="Y7" i="12"/>
  <c r="Y12" i="12"/>
  <c r="Y15" i="12"/>
  <c r="AG8" i="12"/>
  <c r="AK4" i="12"/>
  <c r="AK12" i="12"/>
  <c r="AP16" i="12"/>
  <c r="AU16" i="12"/>
  <c r="I15" i="12"/>
  <c r="M8" i="12"/>
  <c r="N16" i="12"/>
  <c r="Q13" i="12"/>
  <c r="U6" i="12"/>
  <c r="U14" i="12"/>
  <c r="X16" i="12"/>
  <c r="AC15" i="12"/>
  <c r="AG11" i="12"/>
  <c r="AI16" i="12"/>
  <c r="AK7" i="12"/>
  <c r="AK15" i="12"/>
  <c r="AO11" i="12"/>
  <c r="AV16" i="12"/>
  <c r="F16" i="12"/>
  <c r="I13" i="12"/>
  <c r="M11" i="12"/>
  <c r="O16" i="12"/>
  <c r="Q11" i="12"/>
  <c r="U9" i="12"/>
  <c r="Y5" i="12"/>
  <c r="Y10" i="12"/>
  <c r="Y13" i="12"/>
  <c r="AC13" i="12"/>
  <c r="AG6" i="12"/>
  <c r="AG14" i="12"/>
  <c r="AJ16" i="12"/>
  <c r="AK10" i="12"/>
  <c r="AO14" i="12"/>
  <c r="AS10" i="12"/>
  <c r="AS12" i="12"/>
  <c r="AW4" i="12"/>
  <c r="AW13" i="12"/>
  <c r="AQ16" i="12"/>
  <c r="AM16" i="12"/>
  <c r="AH16" i="12"/>
  <c r="AD16" i="12"/>
  <c r="Z16" i="12"/>
  <c r="W16" i="12"/>
  <c r="R16" i="12"/>
  <c r="J16" i="12"/>
  <c r="AS16" i="12" l="1"/>
  <c r="Q16" i="12"/>
  <c r="Y16" i="12"/>
  <c r="E16" i="12"/>
  <c r="M16" i="12"/>
  <c r="AG16" i="12"/>
  <c r="AW16" i="12"/>
  <c r="U16" i="12"/>
  <c r="AC16" i="12"/>
  <c r="AK16" i="12"/>
  <c r="I16" i="12"/>
  <c r="AO16" i="12"/>
  <c r="L697" i="4" l="1"/>
  <c r="G697" i="4"/>
  <c r="L696" i="4"/>
  <c r="L695" i="4"/>
  <c r="L694" i="4"/>
  <c r="L693" i="4"/>
  <c r="L692" i="4"/>
  <c r="L691" i="4"/>
  <c r="L690" i="4"/>
  <c r="L689" i="4"/>
  <c r="L688" i="4"/>
  <c r="F688" i="4"/>
  <c r="F689" i="4" s="1"/>
  <c r="F690" i="4" s="1"/>
  <c r="F691" i="4" s="1"/>
  <c r="F692" i="4" s="1"/>
  <c r="F693" i="4" s="1"/>
  <c r="F694" i="4" s="1"/>
  <c r="F695" i="4" s="1"/>
  <c r="F696" i="4" s="1"/>
  <c r="F697" i="4" s="1"/>
  <c r="E688" i="4"/>
  <c r="E689" i="4" s="1"/>
  <c r="E690" i="4" s="1"/>
  <c r="E691" i="4" s="1"/>
  <c r="E692" i="4" s="1"/>
  <c r="E693" i="4" s="1"/>
  <c r="E694" i="4" s="1"/>
  <c r="E695" i="4" s="1"/>
  <c r="E696" i="4" s="1"/>
  <c r="E697" i="4" s="1"/>
  <c r="L687" i="4"/>
  <c r="E687" i="4"/>
  <c r="L686" i="4"/>
  <c r="L685" i="4"/>
  <c r="G685" i="4"/>
  <c r="L684" i="4"/>
  <c r="L683" i="4"/>
  <c r="L682" i="4"/>
  <c r="L681" i="4"/>
  <c r="L680" i="4"/>
  <c r="L679" i="4"/>
  <c r="L678" i="4"/>
  <c r="L677" i="4"/>
  <c r="L676" i="4"/>
  <c r="F676" i="4"/>
  <c r="F677" i="4" s="1"/>
  <c r="F678" i="4" s="1"/>
  <c r="F679" i="4" s="1"/>
  <c r="F680" i="4" s="1"/>
  <c r="F681" i="4" s="1"/>
  <c r="F682" i="4" s="1"/>
  <c r="F683" i="4" s="1"/>
  <c r="F684" i="4" s="1"/>
  <c r="F685" i="4" s="1"/>
  <c r="E676" i="4"/>
  <c r="E677" i="4" s="1"/>
  <c r="E678" i="4" s="1"/>
  <c r="E679" i="4" s="1"/>
  <c r="E680" i="4" s="1"/>
  <c r="E681" i="4" s="1"/>
  <c r="E682" i="4" s="1"/>
  <c r="E683" i="4" s="1"/>
  <c r="E684" i="4" s="1"/>
  <c r="E685" i="4" s="1"/>
  <c r="L675" i="4"/>
  <c r="E675" i="4"/>
  <c r="L674" i="4"/>
  <c r="L673" i="4"/>
  <c r="G673" i="4"/>
  <c r="L672" i="4"/>
  <c r="L671" i="4"/>
  <c r="L670" i="4"/>
  <c r="L669" i="4"/>
  <c r="L668" i="4"/>
  <c r="L667" i="4"/>
  <c r="L666" i="4"/>
  <c r="L665" i="4"/>
  <c r="L664" i="4"/>
  <c r="F664" i="4"/>
  <c r="F665" i="4" s="1"/>
  <c r="F666" i="4" s="1"/>
  <c r="F667" i="4" s="1"/>
  <c r="F668" i="4" s="1"/>
  <c r="F669" i="4" s="1"/>
  <c r="F670" i="4" s="1"/>
  <c r="F671" i="4" s="1"/>
  <c r="F672" i="4" s="1"/>
  <c r="F673" i="4" s="1"/>
  <c r="E664" i="4"/>
  <c r="E665" i="4" s="1"/>
  <c r="E666" i="4" s="1"/>
  <c r="E667" i="4" s="1"/>
  <c r="E668" i="4" s="1"/>
  <c r="E669" i="4" s="1"/>
  <c r="E670" i="4" s="1"/>
  <c r="E671" i="4" s="1"/>
  <c r="E672" i="4" s="1"/>
  <c r="E673" i="4" s="1"/>
  <c r="L663" i="4"/>
  <c r="E663" i="4"/>
  <c r="L662" i="4"/>
  <c r="L661" i="4"/>
  <c r="G661" i="4"/>
  <c r="L660" i="4"/>
  <c r="L659" i="4"/>
  <c r="L658" i="4"/>
  <c r="L657" i="4"/>
  <c r="L656" i="4"/>
  <c r="L655" i="4"/>
  <c r="L654" i="4"/>
  <c r="L653" i="4"/>
  <c r="L652" i="4"/>
  <c r="F652" i="4"/>
  <c r="F653" i="4" s="1"/>
  <c r="F654" i="4" s="1"/>
  <c r="F655" i="4" s="1"/>
  <c r="F656" i="4" s="1"/>
  <c r="F657" i="4" s="1"/>
  <c r="F658" i="4" s="1"/>
  <c r="F659" i="4" s="1"/>
  <c r="F660" i="4" s="1"/>
  <c r="F661" i="4" s="1"/>
  <c r="E652" i="4"/>
  <c r="E653" i="4" s="1"/>
  <c r="E654" i="4" s="1"/>
  <c r="E655" i="4" s="1"/>
  <c r="E656" i="4" s="1"/>
  <c r="E657" i="4" s="1"/>
  <c r="E658" i="4" s="1"/>
  <c r="E659" i="4" s="1"/>
  <c r="E660" i="4" s="1"/>
  <c r="E661" i="4" s="1"/>
  <c r="L651" i="4"/>
  <c r="E651" i="4"/>
  <c r="L650" i="4"/>
  <c r="L649" i="4"/>
  <c r="G649" i="4"/>
  <c r="L648" i="4"/>
  <c r="L647" i="4"/>
  <c r="L646" i="4"/>
  <c r="L645" i="4"/>
  <c r="L644" i="4"/>
  <c r="L643" i="4"/>
  <c r="L642" i="4"/>
  <c r="L641" i="4"/>
  <c r="L640" i="4"/>
  <c r="F640" i="4"/>
  <c r="F641" i="4" s="1"/>
  <c r="F642" i="4" s="1"/>
  <c r="F643" i="4" s="1"/>
  <c r="F644" i="4" s="1"/>
  <c r="F645" i="4" s="1"/>
  <c r="F646" i="4" s="1"/>
  <c r="F647" i="4" s="1"/>
  <c r="F648" i="4" s="1"/>
  <c r="F649" i="4" s="1"/>
  <c r="E640" i="4"/>
  <c r="E641" i="4" s="1"/>
  <c r="E642" i="4" s="1"/>
  <c r="E643" i="4" s="1"/>
  <c r="E644" i="4" s="1"/>
  <c r="E645" i="4" s="1"/>
  <c r="E646" i="4" s="1"/>
  <c r="E647" i="4" s="1"/>
  <c r="E648" i="4" s="1"/>
  <c r="E649" i="4" s="1"/>
  <c r="L639" i="4"/>
  <c r="E639" i="4"/>
  <c r="L638" i="4"/>
  <c r="L637" i="4"/>
  <c r="G637" i="4"/>
  <c r="L636" i="4"/>
  <c r="L635" i="4"/>
  <c r="L634" i="4"/>
  <c r="L633" i="4"/>
  <c r="L632" i="4"/>
  <c r="L631" i="4"/>
  <c r="L630" i="4"/>
  <c r="L629" i="4"/>
  <c r="L628" i="4"/>
  <c r="F628" i="4"/>
  <c r="F629" i="4" s="1"/>
  <c r="F630" i="4" s="1"/>
  <c r="F631" i="4" s="1"/>
  <c r="F632" i="4" s="1"/>
  <c r="F633" i="4" s="1"/>
  <c r="F634" i="4" s="1"/>
  <c r="F635" i="4" s="1"/>
  <c r="F636" i="4" s="1"/>
  <c r="F637" i="4" s="1"/>
  <c r="E628" i="4"/>
  <c r="E629" i="4" s="1"/>
  <c r="E630" i="4" s="1"/>
  <c r="E631" i="4" s="1"/>
  <c r="E632" i="4" s="1"/>
  <c r="E633" i="4" s="1"/>
  <c r="E634" i="4" s="1"/>
  <c r="E635" i="4" s="1"/>
  <c r="E636" i="4" s="1"/>
  <c r="E637" i="4" s="1"/>
  <c r="L627" i="4"/>
  <c r="E627" i="4"/>
  <c r="L626" i="4"/>
  <c r="L625" i="4"/>
  <c r="G625" i="4"/>
  <c r="L624" i="4"/>
  <c r="L623" i="4"/>
  <c r="L622" i="4"/>
  <c r="L621" i="4"/>
  <c r="L620" i="4"/>
  <c r="L619" i="4"/>
  <c r="L618" i="4"/>
  <c r="L617" i="4"/>
  <c r="L616" i="4"/>
  <c r="F616" i="4"/>
  <c r="F617" i="4" s="1"/>
  <c r="F618" i="4" s="1"/>
  <c r="F619" i="4" s="1"/>
  <c r="F620" i="4" s="1"/>
  <c r="F621" i="4" s="1"/>
  <c r="F622" i="4" s="1"/>
  <c r="F623" i="4" s="1"/>
  <c r="F624" i="4" s="1"/>
  <c r="F625" i="4" s="1"/>
  <c r="E616" i="4"/>
  <c r="E617" i="4" s="1"/>
  <c r="E618" i="4" s="1"/>
  <c r="E619" i="4" s="1"/>
  <c r="E620" i="4" s="1"/>
  <c r="E621" i="4" s="1"/>
  <c r="E622" i="4" s="1"/>
  <c r="E623" i="4" s="1"/>
  <c r="E624" i="4" s="1"/>
  <c r="E625" i="4" s="1"/>
  <c r="L615" i="4"/>
  <c r="E615" i="4"/>
  <c r="L614" i="4"/>
  <c r="L613" i="4"/>
  <c r="G613" i="4"/>
  <c r="L612" i="4"/>
  <c r="L611" i="4"/>
  <c r="L610" i="4"/>
  <c r="L609" i="4"/>
  <c r="L608" i="4"/>
  <c r="L607" i="4"/>
  <c r="L606" i="4"/>
  <c r="L605" i="4"/>
  <c r="L604" i="4"/>
  <c r="F604" i="4"/>
  <c r="F605" i="4" s="1"/>
  <c r="F606" i="4" s="1"/>
  <c r="F607" i="4" s="1"/>
  <c r="F608" i="4" s="1"/>
  <c r="F609" i="4" s="1"/>
  <c r="F610" i="4" s="1"/>
  <c r="F611" i="4" s="1"/>
  <c r="F612" i="4" s="1"/>
  <c r="F613" i="4" s="1"/>
  <c r="E604" i="4"/>
  <c r="E605" i="4" s="1"/>
  <c r="E606" i="4" s="1"/>
  <c r="E607" i="4" s="1"/>
  <c r="E608" i="4" s="1"/>
  <c r="E609" i="4" s="1"/>
  <c r="E610" i="4" s="1"/>
  <c r="E611" i="4" s="1"/>
  <c r="E612" i="4" s="1"/>
  <c r="E613" i="4" s="1"/>
  <c r="L603" i="4"/>
  <c r="E603" i="4"/>
  <c r="L602" i="4"/>
  <c r="L601" i="4"/>
  <c r="G601" i="4"/>
  <c r="L600" i="4"/>
  <c r="L599" i="4"/>
  <c r="L598" i="4"/>
  <c r="L597" i="4"/>
  <c r="L596" i="4"/>
  <c r="L595" i="4"/>
  <c r="L594" i="4"/>
  <c r="L593" i="4"/>
  <c r="L592" i="4"/>
  <c r="F592" i="4"/>
  <c r="F593" i="4" s="1"/>
  <c r="F594" i="4" s="1"/>
  <c r="F595" i="4" s="1"/>
  <c r="F596" i="4" s="1"/>
  <c r="F597" i="4" s="1"/>
  <c r="F598" i="4" s="1"/>
  <c r="F599" i="4" s="1"/>
  <c r="F600" i="4" s="1"/>
  <c r="F601" i="4" s="1"/>
  <c r="E592" i="4"/>
  <c r="E593" i="4" s="1"/>
  <c r="E594" i="4" s="1"/>
  <c r="E595" i="4" s="1"/>
  <c r="E596" i="4" s="1"/>
  <c r="E597" i="4" s="1"/>
  <c r="E598" i="4" s="1"/>
  <c r="E599" i="4" s="1"/>
  <c r="E600" i="4" s="1"/>
  <c r="E601" i="4" s="1"/>
  <c r="L591" i="4"/>
  <c r="E591" i="4"/>
  <c r="L590" i="4"/>
  <c r="M590" i="4" s="1"/>
  <c r="L589" i="4"/>
  <c r="G589" i="4"/>
  <c r="L588" i="4"/>
  <c r="L587" i="4"/>
  <c r="L586" i="4"/>
  <c r="L585" i="4"/>
  <c r="L584" i="4"/>
  <c r="L583" i="4"/>
  <c r="L582" i="4"/>
  <c r="L581" i="4"/>
  <c r="L580" i="4"/>
  <c r="F580" i="4"/>
  <c r="F581" i="4" s="1"/>
  <c r="F582" i="4" s="1"/>
  <c r="F583" i="4" s="1"/>
  <c r="F584" i="4" s="1"/>
  <c r="F585" i="4" s="1"/>
  <c r="F586" i="4" s="1"/>
  <c r="F587" i="4" s="1"/>
  <c r="F588" i="4" s="1"/>
  <c r="F589" i="4" s="1"/>
  <c r="E580" i="4"/>
  <c r="E581" i="4" s="1"/>
  <c r="E582" i="4" s="1"/>
  <c r="E583" i="4" s="1"/>
  <c r="E584" i="4" s="1"/>
  <c r="E585" i="4" s="1"/>
  <c r="E586" i="4" s="1"/>
  <c r="E587" i="4" s="1"/>
  <c r="E588" i="4" s="1"/>
  <c r="E589" i="4" s="1"/>
  <c r="L579" i="4"/>
  <c r="E579" i="4"/>
  <c r="L578" i="4"/>
  <c r="L577" i="4"/>
  <c r="G577" i="4"/>
  <c r="L576" i="4"/>
  <c r="L575" i="4"/>
  <c r="L574" i="4"/>
  <c r="L573" i="4"/>
  <c r="L572" i="4"/>
  <c r="L571" i="4"/>
  <c r="L570" i="4"/>
  <c r="L569" i="4"/>
  <c r="L568" i="4"/>
  <c r="F568" i="4"/>
  <c r="F569" i="4" s="1"/>
  <c r="F570" i="4" s="1"/>
  <c r="F571" i="4" s="1"/>
  <c r="F572" i="4" s="1"/>
  <c r="F573" i="4" s="1"/>
  <c r="F574" i="4" s="1"/>
  <c r="F575" i="4" s="1"/>
  <c r="F576" i="4" s="1"/>
  <c r="F577" i="4" s="1"/>
  <c r="E568" i="4"/>
  <c r="E569" i="4" s="1"/>
  <c r="E570" i="4" s="1"/>
  <c r="E571" i="4" s="1"/>
  <c r="E572" i="4" s="1"/>
  <c r="E573" i="4" s="1"/>
  <c r="E574" i="4" s="1"/>
  <c r="E575" i="4" s="1"/>
  <c r="E576" i="4" s="1"/>
  <c r="E577" i="4" s="1"/>
  <c r="L567" i="4"/>
  <c r="E567" i="4"/>
  <c r="L566" i="4"/>
  <c r="L565" i="4"/>
  <c r="G565" i="4"/>
  <c r="L564" i="4"/>
  <c r="L563" i="4"/>
  <c r="L562" i="4"/>
  <c r="L561" i="4"/>
  <c r="L560" i="4"/>
  <c r="L559" i="4"/>
  <c r="L558" i="4"/>
  <c r="L557" i="4"/>
  <c r="L556" i="4"/>
  <c r="F556" i="4"/>
  <c r="F557" i="4" s="1"/>
  <c r="F558" i="4" s="1"/>
  <c r="F559" i="4" s="1"/>
  <c r="F560" i="4" s="1"/>
  <c r="F561" i="4" s="1"/>
  <c r="F562" i="4" s="1"/>
  <c r="F563" i="4" s="1"/>
  <c r="F564" i="4" s="1"/>
  <c r="F565" i="4" s="1"/>
  <c r="E556" i="4"/>
  <c r="E557" i="4" s="1"/>
  <c r="E558" i="4" s="1"/>
  <c r="E559" i="4" s="1"/>
  <c r="E560" i="4" s="1"/>
  <c r="E561" i="4" s="1"/>
  <c r="E562" i="4" s="1"/>
  <c r="E563" i="4" s="1"/>
  <c r="E564" i="4" s="1"/>
  <c r="E565" i="4" s="1"/>
  <c r="L555" i="4"/>
  <c r="E555" i="4"/>
  <c r="L554" i="4"/>
  <c r="L553" i="4"/>
  <c r="G553" i="4"/>
  <c r="L552" i="4"/>
  <c r="L551" i="4"/>
  <c r="L550" i="4"/>
  <c r="L549" i="4"/>
  <c r="L548" i="4"/>
  <c r="L547" i="4"/>
  <c r="L546" i="4"/>
  <c r="L545" i="4"/>
  <c r="L544" i="4"/>
  <c r="F544" i="4"/>
  <c r="F545" i="4" s="1"/>
  <c r="F546" i="4" s="1"/>
  <c r="F547" i="4" s="1"/>
  <c r="F548" i="4" s="1"/>
  <c r="F549" i="4" s="1"/>
  <c r="F550" i="4" s="1"/>
  <c r="F551" i="4" s="1"/>
  <c r="F552" i="4" s="1"/>
  <c r="F553" i="4" s="1"/>
  <c r="E544" i="4"/>
  <c r="E545" i="4" s="1"/>
  <c r="E546" i="4" s="1"/>
  <c r="E547" i="4" s="1"/>
  <c r="E548" i="4" s="1"/>
  <c r="E549" i="4" s="1"/>
  <c r="E550" i="4" s="1"/>
  <c r="E551" i="4" s="1"/>
  <c r="E552" i="4" s="1"/>
  <c r="E553" i="4" s="1"/>
  <c r="L543" i="4"/>
  <c r="E543" i="4"/>
  <c r="L542" i="4"/>
  <c r="L541" i="4"/>
  <c r="G541" i="4"/>
  <c r="L540" i="4"/>
  <c r="L539" i="4"/>
  <c r="L538" i="4"/>
  <c r="L537" i="4"/>
  <c r="L536" i="4"/>
  <c r="L535" i="4"/>
  <c r="L534" i="4"/>
  <c r="L533" i="4"/>
  <c r="L532" i="4"/>
  <c r="F532" i="4"/>
  <c r="F533" i="4" s="1"/>
  <c r="F534" i="4" s="1"/>
  <c r="F535" i="4" s="1"/>
  <c r="F536" i="4" s="1"/>
  <c r="F537" i="4" s="1"/>
  <c r="F538" i="4" s="1"/>
  <c r="F539" i="4" s="1"/>
  <c r="F540" i="4" s="1"/>
  <c r="F541" i="4" s="1"/>
  <c r="E532" i="4"/>
  <c r="E533" i="4" s="1"/>
  <c r="E534" i="4" s="1"/>
  <c r="E535" i="4" s="1"/>
  <c r="E536" i="4" s="1"/>
  <c r="E537" i="4" s="1"/>
  <c r="E538" i="4" s="1"/>
  <c r="E539" i="4" s="1"/>
  <c r="E540" i="4" s="1"/>
  <c r="E541" i="4" s="1"/>
  <c r="L531" i="4"/>
  <c r="E531" i="4"/>
  <c r="L530" i="4"/>
  <c r="L529" i="4"/>
  <c r="G529" i="4"/>
  <c r="L528" i="4"/>
  <c r="L527" i="4"/>
  <c r="L526" i="4"/>
  <c r="L525" i="4"/>
  <c r="L524" i="4"/>
  <c r="L523" i="4"/>
  <c r="L522" i="4"/>
  <c r="L521" i="4"/>
  <c r="L520" i="4"/>
  <c r="F520" i="4"/>
  <c r="F521" i="4" s="1"/>
  <c r="F522" i="4" s="1"/>
  <c r="F523" i="4" s="1"/>
  <c r="F524" i="4" s="1"/>
  <c r="F525" i="4" s="1"/>
  <c r="F526" i="4" s="1"/>
  <c r="F527" i="4" s="1"/>
  <c r="F528" i="4" s="1"/>
  <c r="F529" i="4" s="1"/>
  <c r="E520" i="4"/>
  <c r="E521" i="4" s="1"/>
  <c r="E522" i="4" s="1"/>
  <c r="E523" i="4" s="1"/>
  <c r="E524" i="4" s="1"/>
  <c r="E525" i="4" s="1"/>
  <c r="E526" i="4" s="1"/>
  <c r="E527" i="4" s="1"/>
  <c r="E528" i="4" s="1"/>
  <c r="E529" i="4" s="1"/>
  <c r="L519" i="4"/>
  <c r="E519" i="4"/>
  <c r="L518" i="4"/>
  <c r="L517" i="4"/>
  <c r="G517" i="4"/>
  <c r="L516" i="4"/>
  <c r="L515" i="4"/>
  <c r="L514" i="4"/>
  <c r="L513" i="4"/>
  <c r="L512" i="4"/>
  <c r="L511" i="4"/>
  <c r="L510" i="4"/>
  <c r="L509" i="4"/>
  <c r="L508" i="4"/>
  <c r="F508" i="4"/>
  <c r="F509" i="4" s="1"/>
  <c r="F510" i="4" s="1"/>
  <c r="F511" i="4" s="1"/>
  <c r="F512" i="4" s="1"/>
  <c r="F513" i="4" s="1"/>
  <c r="F514" i="4" s="1"/>
  <c r="F515" i="4" s="1"/>
  <c r="F516" i="4" s="1"/>
  <c r="F517" i="4" s="1"/>
  <c r="E508" i="4"/>
  <c r="E509" i="4" s="1"/>
  <c r="E510" i="4" s="1"/>
  <c r="E511" i="4" s="1"/>
  <c r="E512" i="4" s="1"/>
  <c r="E513" i="4" s="1"/>
  <c r="E514" i="4" s="1"/>
  <c r="E515" i="4" s="1"/>
  <c r="E516" i="4" s="1"/>
  <c r="E517" i="4" s="1"/>
  <c r="L507" i="4"/>
  <c r="E507" i="4"/>
  <c r="L506" i="4"/>
  <c r="E470" i="4"/>
  <c r="E471" i="4" s="1"/>
  <c r="E458" i="4"/>
  <c r="E459" i="4" s="1"/>
  <c r="K457" i="4"/>
  <c r="J457" i="4"/>
  <c r="J450" i="4"/>
  <c r="K450" i="4"/>
  <c r="E446" i="4"/>
  <c r="E447" i="4" s="1"/>
  <c r="K451" i="4"/>
  <c r="J451" i="4"/>
  <c r="K438" i="4"/>
  <c r="J438" i="4"/>
  <c r="K445" i="4"/>
  <c r="J445" i="4"/>
  <c r="K439" i="4"/>
  <c r="J439" i="4"/>
  <c r="E434" i="4"/>
  <c r="E435" i="4" s="1"/>
  <c r="K426" i="4"/>
  <c r="J426" i="4"/>
  <c r="K433" i="4"/>
  <c r="J433" i="4"/>
  <c r="E422" i="4"/>
  <c r="E423" i="4" s="1"/>
  <c r="K414" i="4"/>
  <c r="J414" i="4"/>
  <c r="K421" i="4"/>
  <c r="J421" i="4"/>
  <c r="E410" i="4"/>
  <c r="E411" i="4" s="1"/>
  <c r="K409" i="4"/>
  <c r="J409" i="4"/>
  <c r="K406" i="4"/>
  <c r="J406" i="4"/>
  <c r="E398" i="4"/>
  <c r="E399" i="4" s="1"/>
  <c r="J397" i="4"/>
  <c r="K393" i="4"/>
  <c r="L393" i="4" s="1"/>
  <c r="J393" i="4"/>
  <c r="K395" i="4"/>
  <c r="J395" i="4"/>
  <c r="K387" i="4"/>
  <c r="J387" i="4"/>
  <c r="K397" i="4"/>
  <c r="K396" i="4"/>
  <c r="J396" i="4"/>
  <c r="E386" i="4"/>
  <c r="E387" i="4" s="1"/>
  <c r="K383" i="4"/>
  <c r="J383" i="4"/>
  <c r="K385" i="4"/>
  <c r="J385" i="4"/>
  <c r="K375" i="4"/>
  <c r="J375" i="4"/>
  <c r="L375" i="4" s="1"/>
  <c r="E374" i="4"/>
  <c r="E375" i="4" s="1"/>
  <c r="J371" i="4"/>
  <c r="K371" i="4"/>
  <c r="K373" i="4"/>
  <c r="J373" i="4"/>
  <c r="E362" i="4"/>
  <c r="E363" i="4" s="1"/>
  <c r="K351" i="4"/>
  <c r="J351" i="4"/>
  <c r="L351" i="4" s="1"/>
  <c r="K350" i="4"/>
  <c r="J350" i="4"/>
  <c r="K361" i="4"/>
  <c r="J361" i="4"/>
  <c r="E350" i="4"/>
  <c r="E351" i="4" s="1"/>
  <c r="K339" i="4"/>
  <c r="J339" i="4"/>
  <c r="K338" i="4"/>
  <c r="J338" i="4"/>
  <c r="E338" i="4"/>
  <c r="E339" i="4" s="1"/>
  <c r="E326" i="4"/>
  <c r="E327" i="4" s="1"/>
  <c r="K327" i="4"/>
  <c r="J327" i="4"/>
  <c r="K336" i="4"/>
  <c r="J336" i="4"/>
  <c r="K337" i="4"/>
  <c r="J337" i="4"/>
  <c r="K315" i="4"/>
  <c r="J315" i="4"/>
  <c r="K324" i="4"/>
  <c r="J324" i="4"/>
  <c r="J325" i="4"/>
  <c r="E314" i="4"/>
  <c r="E315" i="4" s="1"/>
  <c r="K325" i="4"/>
  <c r="K312" i="4"/>
  <c r="J312" i="4"/>
  <c r="K313" i="4"/>
  <c r="J313" i="4"/>
  <c r="K303" i="4"/>
  <c r="J303" i="4"/>
  <c r="E302" i="4"/>
  <c r="E303" i="4" s="1"/>
  <c r="J291" i="4"/>
  <c r="E290" i="4"/>
  <c r="E291" i="4" s="1"/>
  <c r="K292" i="4"/>
  <c r="J292" i="4"/>
  <c r="K291" i="4"/>
  <c r="K290" i="4"/>
  <c r="J290" i="4"/>
  <c r="K301" i="4"/>
  <c r="J301" i="4"/>
  <c r="L301" i="4" s="1"/>
  <c r="L505" i="4"/>
  <c r="G505" i="4"/>
  <c r="L504" i="4"/>
  <c r="L503" i="4"/>
  <c r="L502" i="4"/>
  <c r="L501" i="4"/>
  <c r="L500" i="4"/>
  <c r="L499" i="4"/>
  <c r="L498" i="4"/>
  <c r="L497" i="4"/>
  <c r="L496" i="4"/>
  <c r="F496" i="4"/>
  <c r="F497" i="4" s="1"/>
  <c r="F498" i="4" s="1"/>
  <c r="F499" i="4" s="1"/>
  <c r="F500" i="4" s="1"/>
  <c r="F501" i="4" s="1"/>
  <c r="F502" i="4" s="1"/>
  <c r="F503" i="4" s="1"/>
  <c r="F504" i="4" s="1"/>
  <c r="F505" i="4" s="1"/>
  <c r="E496" i="4"/>
  <c r="E497" i="4" s="1"/>
  <c r="E498" i="4" s="1"/>
  <c r="E499" i="4" s="1"/>
  <c r="E500" i="4" s="1"/>
  <c r="E501" i="4" s="1"/>
  <c r="E502" i="4" s="1"/>
  <c r="E503" i="4" s="1"/>
  <c r="E504" i="4" s="1"/>
  <c r="E505" i="4" s="1"/>
  <c r="L495" i="4"/>
  <c r="E495" i="4"/>
  <c r="L494" i="4"/>
  <c r="L493" i="4"/>
  <c r="G493" i="4"/>
  <c r="L492" i="4"/>
  <c r="L491" i="4"/>
  <c r="L490" i="4"/>
  <c r="L489" i="4"/>
  <c r="L488" i="4"/>
  <c r="L487" i="4"/>
  <c r="L486" i="4"/>
  <c r="L485" i="4"/>
  <c r="L484" i="4"/>
  <c r="F484" i="4"/>
  <c r="F485" i="4" s="1"/>
  <c r="F486" i="4" s="1"/>
  <c r="F487" i="4" s="1"/>
  <c r="F488" i="4" s="1"/>
  <c r="F489" i="4" s="1"/>
  <c r="F490" i="4" s="1"/>
  <c r="F491" i="4" s="1"/>
  <c r="F492" i="4" s="1"/>
  <c r="F493" i="4" s="1"/>
  <c r="E484" i="4"/>
  <c r="E485" i="4" s="1"/>
  <c r="E486" i="4" s="1"/>
  <c r="E487" i="4" s="1"/>
  <c r="E488" i="4" s="1"/>
  <c r="E489" i="4" s="1"/>
  <c r="E490" i="4" s="1"/>
  <c r="E491" i="4" s="1"/>
  <c r="E492" i="4" s="1"/>
  <c r="E493" i="4" s="1"/>
  <c r="L483" i="4"/>
  <c r="E483" i="4"/>
  <c r="L482" i="4"/>
  <c r="L481" i="4"/>
  <c r="G481" i="4"/>
  <c r="L480" i="4"/>
  <c r="L479" i="4"/>
  <c r="L478" i="4"/>
  <c r="L477" i="4"/>
  <c r="L476" i="4"/>
  <c r="L475" i="4"/>
  <c r="L474" i="4"/>
  <c r="L473" i="4"/>
  <c r="L472" i="4"/>
  <c r="F472" i="4"/>
  <c r="F473" i="4" s="1"/>
  <c r="F474" i="4" s="1"/>
  <c r="F475" i="4" s="1"/>
  <c r="F476" i="4" s="1"/>
  <c r="F477" i="4" s="1"/>
  <c r="F478" i="4" s="1"/>
  <c r="F479" i="4" s="1"/>
  <c r="F480" i="4" s="1"/>
  <c r="F481" i="4" s="1"/>
  <c r="E472" i="4"/>
  <c r="E473" i="4" s="1"/>
  <c r="E474" i="4" s="1"/>
  <c r="E475" i="4" s="1"/>
  <c r="E476" i="4" s="1"/>
  <c r="E477" i="4" s="1"/>
  <c r="E478" i="4" s="1"/>
  <c r="E479" i="4" s="1"/>
  <c r="E480" i="4" s="1"/>
  <c r="E481" i="4" s="1"/>
  <c r="L471" i="4"/>
  <c r="L470" i="4"/>
  <c r="L469" i="4"/>
  <c r="G469" i="4"/>
  <c r="L468" i="4"/>
  <c r="L467" i="4"/>
  <c r="L466" i="4"/>
  <c r="L465" i="4"/>
  <c r="L464" i="4"/>
  <c r="L463" i="4"/>
  <c r="L462" i="4"/>
  <c r="L461" i="4"/>
  <c r="L460" i="4"/>
  <c r="F460" i="4"/>
  <c r="F461" i="4" s="1"/>
  <c r="F462" i="4" s="1"/>
  <c r="F463" i="4" s="1"/>
  <c r="F464" i="4" s="1"/>
  <c r="F465" i="4" s="1"/>
  <c r="F466" i="4" s="1"/>
  <c r="F467" i="4" s="1"/>
  <c r="F468" i="4" s="1"/>
  <c r="F469" i="4" s="1"/>
  <c r="E460" i="4"/>
  <c r="E461" i="4" s="1"/>
  <c r="E462" i="4" s="1"/>
  <c r="E463" i="4" s="1"/>
  <c r="E464" i="4" s="1"/>
  <c r="E465" i="4" s="1"/>
  <c r="E466" i="4" s="1"/>
  <c r="E467" i="4" s="1"/>
  <c r="E468" i="4" s="1"/>
  <c r="E469" i="4" s="1"/>
  <c r="L459" i="4"/>
  <c r="L458" i="4"/>
  <c r="G457" i="4"/>
  <c r="L456" i="4"/>
  <c r="L455" i="4"/>
  <c r="L454" i="4"/>
  <c r="L453" i="4"/>
  <c r="L452" i="4"/>
  <c r="L449" i="4"/>
  <c r="L448" i="4"/>
  <c r="F448" i="4"/>
  <c r="F449" i="4" s="1"/>
  <c r="F450" i="4" s="1"/>
  <c r="F451" i="4" s="1"/>
  <c r="F452" i="4" s="1"/>
  <c r="F453" i="4" s="1"/>
  <c r="F454" i="4" s="1"/>
  <c r="F455" i="4" s="1"/>
  <c r="F456" i="4" s="1"/>
  <c r="F457" i="4" s="1"/>
  <c r="E448" i="4"/>
  <c r="E449" i="4" s="1"/>
  <c r="E450" i="4" s="1"/>
  <c r="E451" i="4" s="1"/>
  <c r="E452" i="4" s="1"/>
  <c r="E453" i="4" s="1"/>
  <c r="E454" i="4" s="1"/>
  <c r="E455" i="4" s="1"/>
  <c r="E456" i="4" s="1"/>
  <c r="E457" i="4" s="1"/>
  <c r="L447" i="4"/>
  <c r="L446" i="4"/>
  <c r="G445" i="4"/>
  <c r="L444" i="4"/>
  <c r="L443" i="4"/>
  <c r="L442" i="4"/>
  <c r="L441" i="4"/>
  <c r="L440" i="4"/>
  <c r="L437" i="4"/>
  <c r="L436" i="4"/>
  <c r="F436" i="4"/>
  <c r="F437" i="4" s="1"/>
  <c r="F438" i="4" s="1"/>
  <c r="F439" i="4" s="1"/>
  <c r="F440" i="4" s="1"/>
  <c r="F441" i="4" s="1"/>
  <c r="F442" i="4" s="1"/>
  <c r="F443" i="4" s="1"/>
  <c r="F444" i="4" s="1"/>
  <c r="F445" i="4" s="1"/>
  <c r="E436" i="4"/>
  <c r="E437" i="4" s="1"/>
  <c r="E438" i="4" s="1"/>
  <c r="E439" i="4" s="1"/>
  <c r="E440" i="4" s="1"/>
  <c r="E441" i="4" s="1"/>
  <c r="E442" i="4" s="1"/>
  <c r="E443" i="4" s="1"/>
  <c r="E444" i="4" s="1"/>
  <c r="E445" i="4" s="1"/>
  <c r="L435" i="4"/>
  <c r="L434" i="4"/>
  <c r="G433" i="4"/>
  <c r="L432" i="4"/>
  <c r="L431" i="4"/>
  <c r="L430" i="4"/>
  <c r="L429" i="4"/>
  <c r="L428" i="4"/>
  <c r="L427" i="4"/>
  <c r="L425" i="4"/>
  <c r="L424" i="4"/>
  <c r="F424" i="4"/>
  <c r="F425" i="4" s="1"/>
  <c r="F426" i="4" s="1"/>
  <c r="F427" i="4" s="1"/>
  <c r="F428" i="4" s="1"/>
  <c r="F429" i="4" s="1"/>
  <c r="F430" i="4" s="1"/>
  <c r="F431" i="4" s="1"/>
  <c r="F432" i="4" s="1"/>
  <c r="F433" i="4" s="1"/>
  <c r="E424" i="4"/>
  <c r="E425" i="4" s="1"/>
  <c r="E426" i="4" s="1"/>
  <c r="E427" i="4" s="1"/>
  <c r="E428" i="4" s="1"/>
  <c r="E429" i="4" s="1"/>
  <c r="E430" i="4" s="1"/>
  <c r="E431" i="4" s="1"/>
  <c r="E432" i="4" s="1"/>
  <c r="E433" i="4" s="1"/>
  <c r="L423" i="4"/>
  <c r="L422" i="4"/>
  <c r="G421" i="4"/>
  <c r="L420" i="4"/>
  <c r="L419" i="4"/>
  <c r="L418" i="4"/>
  <c r="L417" i="4"/>
  <c r="L416" i="4"/>
  <c r="L415" i="4"/>
  <c r="L413" i="4"/>
  <c r="L412" i="4"/>
  <c r="F412" i="4"/>
  <c r="F413" i="4" s="1"/>
  <c r="F414" i="4" s="1"/>
  <c r="F415" i="4" s="1"/>
  <c r="F416" i="4" s="1"/>
  <c r="F417" i="4" s="1"/>
  <c r="F418" i="4" s="1"/>
  <c r="F419" i="4" s="1"/>
  <c r="F420" i="4" s="1"/>
  <c r="F421" i="4" s="1"/>
  <c r="E412" i="4"/>
  <c r="E413" i="4" s="1"/>
  <c r="E414" i="4" s="1"/>
  <c r="E415" i="4" s="1"/>
  <c r="E416" i="4" s="1"/>
  <c r="E417" i="4" s="1"/>
  <c r="E418" i="4" s="1"/>
  <c r="E419" i="4" s="1"/>
  <c r="E420" i="4" s="1"/>
  <c r="E421" i="4" s="1"/>
  <c r="L411" i="4"/>
  <c r="L410" i="4"/>
  <c r="G409" i="4"/>
  <c r="L408" i="4"/>
  <c r="L407" i="4"/>
  <c r="L406" i="4"/>
  <c r="L405" i="4"/>
  <c r="L404" i="4"/>
  <c r="L403" i="4"/>
  <c r="L402" i="4"/>
  <c r="L401" i="4"/>
  <c r="L400" i="4"/>
  <c r="F400" i="4"/>
  <c r="F401" i="4" s="1"/>
  <c r="F402" i="4" s="1"/>
  <c r="F403" i="4" s="1"/>
  <c r="F404" i="4" s="1"/>
  <c r="F405" i="4" s="1"/>
  <c r="F406" i="4" s="1"/>
  <c r="F407" i="4" s="1"/>
  <c r="F408" i="4" s="1"/>
  <c r="F409" i="4" s="1"/>
  <c r="E400" i="4"/>
  <c r="E401" i="4" s="1"/>
  <c r="E402" i="4" s="1"/>
  <c r="E403" i="4" s="1"/>
  <c r="E404" i="4" s="1"/>
  <c r="E405" i="4" s="1"/>
  <c r="E406" i="4" s="1"/>
  <c r="E407" i="4" s="1"/>
  <c r="E408" i="4" s="1"/>
  <c r="E409" i="4" s="1"/>
  <c r="L399" i="4"/>
  <c r="L398" i="4"/>
  <c r="G397" i="4"/>
  <c r="L394" i="4"/>
  <c r="L392" i="4"/>
  <c r="L391" i="4"/>
  <c r="L390" i="4"/>
  <c r="L389" i="4"/>
  <c r="L388" i="4"/>
  <c r="F388" i="4"/>
  <c r="F389" i="4" s="1"/>
  <c r="F390" i="4" s="1"/>
  <c r="F391" i="4" s="1"/>
  <c r="F392" i="4" s="1"/>
  <c r="F393" i="4" s="1"/>
  <c r="F394" i="4" s="1"/>
  <c r="F395" i="4" s="1"/>
  <c r="F396" i="4" s="1"/>
  <c r="F397" i="4" s="1"/>
  <c r="E388" i="4"/>
  <c r="E389" i="4" s="1"/>
  <c r="E390" i="4" s="1"/>
  <c r="E391" i="4" s="1"/>
  <c r="E392" i="4" s="1"/>
  <c r="E393" i="4" s="1"/>
  <c r="E394" i="4" s="1"/>
  <c r="E395" i="4" s="1"/>
  <c r="E396" i="4" s="1"/>
  <c r="E397" i="4" s="1"/>
  <c r="L386" i="4"/>
  <c r="G385" i="4"/>
  <c r="L384" i="4"/>
  <c r="L382" i="4"/>
  <c r="L381" i="4"/>
  <c r="L380" i="4"/>
  <c r="L379" i="4"/>
  <c r="L378" i="4"/>
  <c r="L377" i="4"/>
  <c r="L376" i="4"/>
  <c r="F376" i="4"/>
  <c r="F377" i="4" s="1"/>
  <c r="F378" i="4" s="1"/>
  <c r="F379" i="4" s="1"/>
  <c r="F380" i="4" s="1"/>
  <c r="F381" i="4" s="1"/>
  <c r="F382" i="4" s="1"/>
  <c r="F383" i="4" s="1"/>
  <c r="F384" i="4" s="1"/>
  <c r="F385" i="4" s="1"/>
  <c r="E376" i="4"/>
  <c r="E377" i="4" s="1"/>
  <c r="E378" i="4" s="1"/>
  <c r="E379" i="4" s="1"/>
  <c r="E380" i="4" s="1"/>
  <c r="E381" i="4" s="1"/>
  <c r="E382" i="4" s="1"/>
  <c r="E383" i="4" s="1"/>
  <c r="E384" i="4" s="1"/>
  <c r="E385" i="4" s="1"/>
  <c r="L374" i="4"/>
  <c r="G373" i="4"/>
  <c r="L372" i="4"/>
  <c r="L370" i="4"/>
  <c r="L369" i="4"/>
  <c r="L368" i="4"/>
  <c r="L367" i="4"/>
  <c r="L366" i="4"/>
  <c r="L365" i="4"/>
  <c r="L364" i="4"/>
  <c r="F364" i="4"/>
  <c r="F365" i="4" s="1"/>
  <c r="F366" i="4" s="1"/>
  <c r="F367" i="4" s="1"/>
  <c r="F368" i="4" s="1"/>
  <c r="F369" i="4" s="1"/>
  <c r="F370" i="4" s="1"/>
  <c r="F371" i="4" s="1"/>
  <c r="F372" i="4" s="1"/>
  <c r="F373" i="4" s="1"/>
  <c r="E364" i="4"/>
  <c r="E365" i="4" s="1"/>
  <c r="E366" i="4" s="1"/>
  <c r="E367" i="4" s="1"/>
  <c r="E368" i="4" s="1"/>
  <c r="E369" i="4" s="1"/>
  <c r="E370" i="4" s="1"/>
  <c r="E371" i="4" s="1"/>
  <c r="E372" i="4" s="1"/>
  <c r="E373" i="4" s="1"/>
  <c r="L363" i="4"/>
  <c r="L362" i="4"/>
  <c r="G361" i="4"/>
  <c r="L360" i="4"/>
  <c r="L359" i="4"/>
  <c r="L358" i="4"/>
  <c r="L357" i="4"/>
  <c r="L356" i="4"/>
  <c r="L355" i="4"/>
  <c r="L354" i="4"/>
  <c r="L353" i="4"/>
  <c r="L352" i="4"/>
  <c r="F352" i="4"/>
  <c r="F353" i="4" s="1"/>
  <c r="F354" i="4" s="1"/>
  <c r="F355" i="4" s="1"/>
  <c r="F356" i="4" s="1"/>
  <c r="F357" i="4" s="1"/>
  <c r="F358" i="4" s="1"/>
  <c r="F359" i="4" s="1"/>
  <c r="F360" i="4" s="1"/>
  <c r="F361" i="4" s="1"/>
  <c r="E352" i="4"/>
  <c r="E353" i="4" s="1"/>
  <c r="E354" i="4" s="1"/>
  <c r="E355" i="4" s="1"/>
  <c r="E356" i="4" s="1"/>
  <c r="E357" i="4" s="1"/>
  <c r="E358" i="4" s="1"/>
  <c r="E359" i="4" s="1"/>
  <c r="E360" i="4" s="1"/>
  <c r="E361" i="4" s="1"/>
  <c r="L349" i="4"/>
  <c r="G349" i="4"/>
  <c r="L348" i="4"/>
  <c r="L347" i="4"/>
  <c r="L346" i="4"/>
  <c r="L345" i="4"/>
  <c r="L344" i="4"/>
  <c r="L343" i="4"/>
  <c r="L342" i="4"/>
  <c r="L341" i="4"/>
  <c r="L340" i="4"/>
  <c r="F340" i="4"/>
  <c r="F341" i="4" s="1"/>
  <c r="F342" i="4" s="1"/>
  <c r="F343" i="4" s="1"/>
  <c r="F344" i="4" s="1"/>
  <c r="F345" i="4" s="1"/>
  <c r="F346" i="4" s="1"/>
  <c r="F347" i="4" s="1"/>
  <c r="F348" i="4" s="1"/>
  <c r="F349" i="4" s="1"/>
  <c r="E340" i="4"/>
  <c r="E341" i="4" s="1"/>
  <c r="E342" i="4" s="1"/>
  <c r="E343" i="4" s="1"/>
  <c r="E344" i="4" s="1"/>
  <c r="E345" i="4" s="1"/>
  <c r="E346" i="4" s="1"/>
  <c r="E347" i="4" s="1"/>
  <c r="E348" i="4" s="1"/>
  <c r="E349" i="4" s="1"/>
  <c r="G337" i="4"/>
  <c r="L335" i="4"/>
  <c r="L334" i="4"/>
  <c r="L333" i="4"/>
  <c r="L332" i="4"/>
  <c r="L331" i="4"/>
  <c r="L330" i="4"/>
  <c r="L329" i="4"/>
  <c r="L328" i="4"/>
  <c r="F328" i="4"/>
  <c r="F329" i="4" s="1"/>
  <c r="F330" i="4" s="1"/>
  <c r="F331" i="4" s="1"/>
  <c r="F332" i="4" s="1"/>
  <c r="F333" i="4" s="1"/>
  <c r="F334" i="4" s="1"/>
  <c r="F335" i="4" s="1"/>
  <c r="F336" i="4" s="1"/>
  <c r="F337" i="4" s="1"/>
  <c r="E328" i="4"/>
  <c r="E329" i="4" s="1"/>
  <c r="E330" i="4" s="1"/>
  <c r="E331" i="4" s="1"/>
  <c r="E332" i="4" s="1"/>
  <c r="E333" i="4" s="1"/>
  <c r="E334" i="4" s="1"/>
  <c r="E335" i="4" s="1"/>
  <c r="E336" i="4" s="1"/>
  <c r="E337" i="4" s="1"/>
  <c r="L326" i="4"/>
  <c r="G325" i="4"/>
  <c r="L323" i="4"/>
  <c r="L322" i="4"/>
  <c r="L321" i="4"/>
  <c r="L320" i="4"/>
  <c r="L319" i="4"/>
  <c r="L318" i="4"/>
  <c r="L317" i="4"/>
  <c r="L316" i="4"/>
  <c r="F316" i="4"/>
  <c r="F317" i="4" s="1"/>
  <c r="F318" i="4" s="1"/>
  <c r="F319" i="4" s="1"/>
  <c r="F320" i="4" s="1"/>
  <c r="F321" i="4" s="1"/>
  <c r="F322" i="4" s="1"/>
  <c r="F323" i="4" s="1"/>
  <c r="F324" i="4" s="1"/>
  <c r="F325" i="4" s="1"/>
  <c r="E316" i="4"/>
  <c r="E317" i="4" s="1"/>
  <c r="E318" i="4" s="1"/>
  <c r="E319" i="4" s="1"/>
  <c r="E320" i="4" s="1"/>
  <c r="E321" i="4" s="1"/>
  <c r="E322" i="4" s="1"/>
  <c r="E323" i="4" s="1"/>
  <c r="E324" i="4" s="1"/>
  <c r="E325" i="4" s="1"/>
  <c r="L314" i="4"/>
  <c r="G313" i="4"/>
  <c r="L311" i="4"/>
  <c r="L310" i="4"/>
  <c r="L309" i="4"/>
  <c r="L308" i="4"/>
  <c r="L307" i="4"/>
  <c r="L306" i="4"/>
  <c r="L305" i="4"/>
  <c r="L304" i="4"/>
  <c r="F304" i="4"/>
  <c r="F305" i="4" s="1"/>
  <c r="F306" i="4" s="1"/>
  <c r="F307" i="4" s="1"/>
  <c r="F308" i="4" s="1"/>
  <c r="F309" i="4" s="1"/>
  <c r="F310" i="4" s="1"/>
  <c r="F311" i="4" s="1"/>
  <c r="F312" i="4" s="1"/>
  <c r="F313" i="4" s="1"/>
  <c r="E304" i="4"/>
  <c r="E305" i="4" s="1"/>
  <c r="E306" i="4" s="1"/>
  <c r="E307" i="4" s="1"/>
  <c r="E308" i="4" s="1"/>
  <c r="E309" i="4" s="1"/>
  <c r="E310" i="4" s="1"/>
  <c r="E311" i="4" s="1"/>
  <c r="E312" i="4" s="1"/>
  <c r="E313" i="4" s="1"/>
  <c r="L302" i="4"/>
  <c r="G301" i="4"/>
  <c r="L300" i="4"/>
  <c r="L299" i="4"/>
  <c r="L298" i="4"/>
  <c r="L297" i="4"/>
  <c r="L296" i="4"/>
  <c r="L295" i="4"/>
  <c r="L294" i="4"/>
  <c r="L293" i="4"/>
  <c r="F292" i="4"/>
  <c r="F293" i="4" s="1"/>
  <c r="F294" i="4" s="1"/>
  <c r="F295" i="4" s="1"/>
  <c r="F296" i="4" s="1"/>
  <c r="F297" i="4" s="1"/>
  <c r="F298" i="4" s="1"/>
  <c r="F299" i="4" s="1"/>
  <c r="F300" i="4" s="1"/>
  <c r="F301" i="4" s="1"/>
  <c r="E292" i="4"/>
  <c r="E293" i="4" s="1"/>
  <c r="E294" i="4" s="1"/>
  <c r="E295" i="4" s="1"/>
  <c r="E296" i="4" s="1"/>
  <c r="E297" i="4" s="1"/>
  <c r="E298" i="4" s="1"/>
  <c r="E299" i="4" s="1"/>
  <c r="E300" i="4" s="1"/>
  <c r="E301" i="4" s="1"/>
  <c r="K278" i="4"/>
  <c r="K279" i="4"/>
  <c r="J278" i="4"/>
  <c r="J279" i="4"/>
  <c r="K287" i="4"/>
  <c r="J287" i="4"/>
  <c r="K285" i="4"/>
  <c r="J285" i="4"/>
  <c r="K282" i="4"/>
  <c r="J282" i="4"/>
  <c r="J289" i="4"/>
  <c r="K280" i="4"/>
  <c r="J280" i="4"/>
  <c r="K289" i="4"/>
  <c r="J288" i="4"/>
  <c r="L288" i="4" s="1"/>
  <c r="E278" i="4"/>
  <c r="E279" i="4" s="1"/>
  <c r="K266" i="4"/>
  <c r="J266" i="4"/>
  <c r="K268" i="4"/>
  <c r="J268" i="4"/>
  <c r="K277" i="4"/>
  <c r="J277" i="4"/>
  <c r="J267" i="4"/>
  <c r="K267" i="4"/>
  <c r="E266" i="4"/>
  <c r="E267" i="4" s="1"/>
  <c r="J261" i="4"/>
  <c r="L261" i="4" s="1"/>
  <c r="K263" i="4"/>
  <c r="J263" i="4"/>
  <c r="K255" i="4"/>
  <c r="J255" i="4"/>
  <c r="K256" i="4"/>
  <c r="J256" i="4"/>
  <c r="K265" i="4"/>
  <c r="J265" i="4"/>
  <c r="G289" i="4"/>
  <c r="L286" i="4"/>
  <c r="L284" i="4"/>
  <c r="L283" i="4"/>
  <c r="L281" i="4"/>
  <c r="F280" i="4"/>
  <c r="F281" i="4" s="1"/>
  <c r="F282" i="4" s="1"/>
  <c r="F283" i="4" s="1"/>
  <c r="F284" i="4" s="1"/>
  <c r="F285" i="4" s="1"/>
  <c r="F286" i="4" s="1"/>
  <c r="F287" i="4" s="1"/>
  <c r="F288" i="4" s="1"/>
  <c r="F289" i="4" s="1"/>
  <c r="E280" i="4"/>
  <c r="E281" i="4" s="1"/>
  <c r="E282" i="4" s="1"/>
  <c r="E283" i="4" s="1"/>
  <c r="E284" i="4" s="1"/>
  <c r="E285" i="4" s="1"/>
  <c r="E286" i="4" s="1"/>
  <c r="E287" i="4" s="1"/>
  <c r="E288" i="4" s="1"/>
  <c r="E289" i="4" s="1"/>
  <c r="G277" i="4"/>
  <c r="L276" i="4"/>
  <c r="L275" i="4"/>
  <c r="L274" i="4"/>
  <c r="L273" i="4"/>
  <c r="L272" i="4"/>
  <c r="L271" i="4"/>
  <c r="L270" i="4"/>
  <c r="L269" i="4"/>
  <c r="F268" i="4"/>
  <c r="F269" i="4" s="1"/>
  <c r="F270" i="4" s="1"/>
  <c r="F271" i="4" s="1"/>
  <c r="F272" i="4" s="1"/>
  <c r="F273" i="4" s="1"/>
  <c r="F274" i="4" s="1"/>
  <c r="F275" i="4" s="1"/>
  <c r="F276" i="4" s="1"/>
  <c r="F277" i="4" s="1"/>
  <c r="E268" i="4"/>
  <c r="E269" i="4" s="1"/>
  <c r="E270" i="4" s="1"/>
  <c r="E271" i="4" s="1"/>
  <c r="E272" i="4" s="1"/>
  <c r="E273" i="4" s="1"/>
  <c r="E274" i="4" s="1"/>
  <c r="E275" i="4" s="1"/>
  <c r="E276" i="4" s="1"/>
  <c r="E277" i="4" s="1"/>
  <c r="E254" i="4"/>
  <c r="E255" i="4" s="1"/>
  <c r="L249" i="4"/>
  <c r="K253" i="4"/>
  <c r="J253" i="4"/>
  <c r="K244" i="4"/>
  <c r="J244" i="4"/>
  <c r="K251" i="4"/>
  <c r="J251" i="4"/>
  <c r="E242" i="4"/>
  <c r="E243" i="4" s="1"/>
  <c r="E230" i="4"/>
  <c r="K239" i="4"/>
  <c r="J239" i="4"/>
  <c r="K232" i="4"/>
  <c r="J232" i="4"/>
  <c r="K231" i="4"/>
  <c r="J231" i="4"/>
  <c r="K241" i="4"/>
  <c r="J241" i="4"/>
  <c r="K233" i="4"/>
  <c r="J233" i="4"/>
  <c r="K237" i="4"/>
  <c r="J237" i="4"/>
  <c r="G265" i="4"/>
  <c r="L264" i="4"/>
  <c r="L262" i="4"/>
  <c r="L260" i="4"/>
  <c r="L259" i="4"/>
  <c r="L258" i="4"/>
  <c r="L257" i="4"/>
  <c r="F256" i="4"/>
  <c r="F257" i="4" s="1"/>
  <c r="F258" i="4" s="1"/>
  <c r="F259" i="4" s="1"/>
  <c r="F260" i="4" s="1"/>
  <c r="F261" i="4" s="1"/>
  <c r="F262" i="4" s="1"/>
  <c r="F263" i="4" s="1"/>
  <c r="F264" i="4" s="1"/>
  <c r="F265" i="4" s="1"/>
  <c r="E256" i="4"/>
  <c r="E257" i="4" s="1"/>
  <c r="E258" i="4" s="1"/>
  <c r="E259" i="4" s="1"/>
  <c r="E260" i="4" s="1"/>
  <c r="E261" i="4" s="1"/>
  <c r="E262" i="4" s="1"/>
  <c r="E263" i="4" s="1"/>
  <c r="E264" i="4" s="1"/>
  <c r="E265" i="4" s="1"/>
  <c r="L254" i="4"/>
  <c r="G253" i="4"/>
  <c r="L252" i="4"/>
  <c r="L250" i="4"/>
  <c r="L248" i="4"/>
  <c r="L247" i="4"/>
  <c r="L246" i="4"/>
  <c r="L245" i="4"/>
  <c r="F244" i="4"/>
  <c r="F245" i="4" s="1"/>
  <c r="F246" i="4" s="1"/>
  <c r="F247" i="4" s="1"/>
  <c r="F248" i="4" s="1"/>
  <c r="F249" i="4" s="1"/>
  <c r="F250" i="4" s="1"/>
  <c r="F251" i="4" s="1"/>
  <c r="F252" i="4" s="1"/>
  <c r="F253" i="4" s="1"/>
  <c r="E244" i="4"/>
  <c r="E245" i="4" s="1"/>
  <c r="E246" i="4" s="1"/>
  <c r="E247" i="4" s="1"/>
  <c r="E248" i="4" s="1"/>
  <c r="E249" i="4" s="1"/>
  <c r="E250" i="4" s="1"/>
  <c r="E251" i="4" s="1"/>
  <c r="E252" i="4" s="1"/>
  <c r="E253" i="4" s="1"/>
  <c r="L243" i="4"/>
  <c r="L242" i="4"/>
  <c r="J225" i="4"/>
  <c r="K221" i="4"/>
  <c r="J221" i="4"/>
  <c r="K227" i="4"/>
  <c r="J227" i="4"/>
  <c r="J229" i="4"/>
  <c r="K229" i="4"/>
  <c r="J220" i="4"/>
  <c r="E218" i="4"/>
  <c r="K213" i="4"/>
  <c r="J213" i="4"/>
  <c r="J209" i="4"/>
  <c r="J210" i="4"/>
  <c r="K209" i="4"/>
  <c r="J217" i="4"/>
  <c r="K217" i="4"/>
  <c r="J208" i="4"/>
  <c r="K215" i="4"/>
  <c r="J215" i="4"/>
  <c r="E206" i="4"/>
  <c r="J201" i="4"/>
  <c r="K197" i="4"/>
  <c r="J197" i="4"/>
  <c r="K205" i="4"/>
  <c r="J205" i="4"/>
  <c r="E194" i="4"/>
  <c r="E170" i="4"/>
  <c r="E182" i="4"/>
  <c r="K191" i="4"/>
  <c r="J191" i="4"/>
  <c r="K179" i="4"/>
  <c r="J179" i="4"/>
  <c r="K181" i="4"/>
  <c r="J181" i="4"/>
  <c r="K167" i="4"/>
  <c r="J167" i="4"/>
  <c r="K165" i="4"/>
  <c r="J165" i="4"/>
  <c r="K169" i="4"/>
  <c r="J169" i="4"/>
  <c r="E158" i="4"/>
  <c r="J155" i="4"/>
  <c r="J153" i="4"/>
  <c r="K156" i="4"/>
  <c r="J156" i="4"/>
  <c r="K153" i="4"/>
  <c r="K155" i="4"/>
  <c r="K157" i="4"/>
  <c r="J157" i="4"/>
  <c r="E146" i="4"/>
  <c r="J145" i="4"/>
  <c r="J141" i="4"/>
  <c r="K143" i="4"/>
  <c r="J143" i="4"/>
  <c r="J135" i="4"/>
  <c r="K142" i="4"/>
  <c r="J142" i="4"/>
  <c r="K138" i="4"/>
  <c r="J138" i="4"/>
  <c r="K145" i="4"/>
  <c r="K141" i="4"/>
  <c r="K140" i="4"/>
  <c r="J140" i="4"/>
  <c r="E134" i="4"/>
  <c r="K131" i="4"/>
  <c r="J131" i="4"/>
  <c r="K123" i="4"/>
  <c r="J123" i="4"/>
  <c r="K133" i="4"/>
  <c r="J133" i="4"/>
  <c r="K129" i="4"/>
  <c r="J129" i="4"/>
  <c r="K128" i="4"/>
  <c r="J128" i="4"/>
  <c r="E122" i="4"/>
  <c r="J119" i="4"/>
  <c r="J118" i="4"/>
  <c r="J117" i="4"/>
  <c r="J121" i="4"/>
  <c r="K121" i="4"/>
  <c r="K119" i="4"/>
  <c r="K117" i="4"/>
  <c r="E110" i="4"/>
  <c r="J105" i="4"/>
  <c r="J107" i="4"/>
  <c r="K107" i="4"/>
  <c r="K105" i="4"/>
  <c r="K109" i="4"/>
  <c r="J109" i="4"/>
  <c r="J99" i="4"/>
  <c r="E98" i="4"/>
  <c r="J96" i="4"/>
  <c r="J93" i="4"/>
  <c r="K93" i="4"/>
  <c r="K95" i="4"/>
  <c r="J95" i="4"/>
  <c r="K97" i="4"/>
  <c r="J97" i="4"/>
  <c r="E86" i="4"/>
  <c r="L336" i="4" l="1"/>
  <c r="L414" i="4"/>
  <c r="L373" i="4"/>
  <c r="M594" i="4"/>
  <c r="M596" i="4"/>
  <c r="M591" i="4"/>
  <c r="M597" i="4"/>
  <c r="M687" i="4"/>
  <c r="M691" i="4"/>
  <c r="L383" i="4"/>
  <c r="L395" i="4"/>
  <c r="L409" i="4"/>
  <c r="L433" i="4"/>
  <c r="M508" i="4"/>
  <c r="L371" i="4"/>
  <c r="M598" i="4"/>
  <c r="M693" i="4"/>
  <c r="M592" i="4"/>
  <c r="M599" i="4"/>
  <c r="M600" i="4"/>
  <c r="M695" i="4"/>
  <c r="L325" i="4"/>
  <c r="L337" i="4"/>
  <c r="L338" i="4"/>
  <c r="M346" i="4" s="1"/>
  <c r="L339" i="4"/>
  <c r="L439" i="4"/>
  <c r="M593" i="4"/>
  <c r="M601" i="4"/>
  <c r="M689" i="4"/>
  <c r="L290" i="4"/>
  <c r="L303" i="4"/>
  <c r="L385" i="4"/>
  <c r="M378" i="4" s="1"/>
  <c r="M595" i="4"/>
  <c r="M686" i="4"/>
  <c r="M688" i="4"/>
  <c r="M690" i="4"/>
  <c r="M692" i="4"/>
  <c r="M694" i="4"/>
  <c r="M696" i="4"/>
  <c r="M697" i="4"/>
  <c r="M676" i="4"/>
  <c r="M678" i="4"/>
  <c r="M680" i="4"/>
  <c r="M682" i="4"/>
  <c r="M684" i="4"/>
  <c r="M685" i="4"/>
  <c r="M674" i="4"/>
  <c r="M675" i="4"/>
  <c r="M677" i="4"/>
  <c r="M679" i="4"/>
  <c r="M681" i="4"/>
  <c r="M683" i="4"/>
  <c r="M664" i="4"/>
  <c r="M666" i="4"/>
  <c r="M668" i="4"/>
  <c r="M669" i="4"/>
  <c r="M671" i="4"/>
  <c r="M662" i="4"/>
  <c r="M663" i="4"/>
  <c r="M665" i="4"/>
  <c r="M667" i="4"/>
  <c r="M670" i="4"/>
  <c r="M672" i="4"/>
  <c r="M673" i="4"/>
  <c r="M652" i="4"/>
  <c r="M654" i="4"/>
  <c r="M650" i="4"/>
  <c r="M651" i="4"/>
  <c r="M656" i="4"/>
  <c r="M658" i="4"/>
  <c r="M659" i="4"/>
  <c r="M653" i="4"/>
  <c r="M655" i="4"/>
  <c r="M657" i="4"/>
  <c r="M660" i="4"/>
  <c r="M661" i="4"/>
  <c r="M643" i="4"/>
  <c r="M648" i="4"/>
  <c r="M649" i="4"/>
  <c r="M640" i="4"/>
  <c r="M642" i="4"/>
  <c r="M645" i="4"/>
  <c r="M638" i="4"/>
  <c r="M639" i="4"/>
  <c r="M641" i="4"/>
  <c r="M644" i="4"/>
  <c r="M646" i="4"/>
  <c r="M647" i="4"/>
  <c r="M626" i="4"/>
  <c r="M627" i="4"/>
  <c r="M629" i="4"/>
  <c r="M631" i="4"/>
  <c r="M633" i="4"/>
  <c r="M634" i="4"/>
  <c r="M635" i="4"/>
  <c r="M628" i="4"/>
  <c r="M630" i="4"/>
  <c r="M632" i="4"/>
  <c r="M636" i="4"/>
  <c r="M637" i="4"/>
  <c r="M616" i="4"/>
  <c r="M618" i="4"/>
  <c r="M620" i="4"/>
  <c r="M622" i="4"/>
  <c r="M624" i="4"/>
  <c r="M625" i="4"/>
  <c r="M614" i="4"/>
  <c r="M615" i="4"/>
  <c r="M617" i="4"/>
  <c r="M619" i="4"/>
  <c r="M621" i="4"/>
  <c r="M623" i="4"/>
  <c r="M602" i="4"/>
  <c r="M603" i="4"/>
  <c r="M605" i="4"/>
  <c r="M607" i="4"/>
  <c r="M612" i="4"/>
  <c r="M604" i="4"/>
  <c r="M606" i="4"/>
  <c r="M608" i="4"/>
  <c r="M609" i="4"/>
  <c r="M611" i="4"/>
  <c r="M610" i="4"/>
  <c r="M613" i="4"/>
  <c r="M585" i="4"/>
  <c r="M580" i="4"/>
  <c r="M582" i="4"/>
  <c r="M584" i="4"/>
  <c r="M587" i="4"/>
  <c r="M578" i="4"/>
  <c r="M579" i="4"/>
  <c r="M581" i="4"/>
  <c r="M583" i="4"/>
  <c r="M586" i="4"/>
  <c r="M588" i="4"/>
  <c r="M589" i="4"/>
  <c r="M566" i="4"/>
  <c r="M568" i="4"/>
  <c r="M570" i="4"/>
  <c r="M572" i="4"/>
  <c r="M574" i="4"/>
  <c r="M576" i="4"/>
  <c r="M577" i="4"/>
  <c r="M567" i="4"/>
  <c r="M569" i="4"/>
  <c r="M571" i="4"/>
  <c r="M573" i="4"/>
  <c r="M575" i="4"/>
  <c r="M554" i="4"/>
  <c r="M555" i="4"/>
  <c r="M557" i="4"/>
  <c r="M559" i="4"/>
  <c r="M561" i="4"/>
  <c r="M563" i="4"/>
  <c r="M556" i="4"/>
  <c r="M558" i="4"/>
  <c r="M560" i="4"/>
  <c r="M562" i="4"/>
  <c r="M564" i="4"/>
  <c r="M565" i="4"/>
  <c r="L450" i="4"/>
  <c r="M507" i="4"/>
  <c r="M371" i="4"/>
  <c r="L327" i="4"/>
  <c r="F506" i="4"/>
  <c r="F507" i="4" s="1"/>
  <c r="M514" i="4"/>
  <c r="L251" i="4"/>
  <c r="L263" i="4"/>
  <c r="L292" i="4"/>
  <c r="L315" i="4"/>
  <c r="L361" i="4"/>
  <c r="L438" i="4"/>
  <c r="L451" i="4"/>
  <c r="M530" i="4"/>
  <c r="M534" i="4"/>
  <c r="M536" i="4"/>
  <c r="M532" i="4"/>
  <c r="M538" i="4"/>
  <c r="M540" i="4"/>
  <c r="M541" i="4"/>
  <c r="M531" i="4"/>
  <c r="M533" i="4"/>
  <c r="M535" i="4"/>
  <c r="M537" i="4"/>
  <c r="M539" i="4"/>
  <c r="M542" i="4"/>
  <c r="M543" i="4"/>
  <c r="M544" i="4"/>
  <c r="M546" i="4"/>
  <c r="M548" i="4"/>
  <c r="M550" i="4"/>
  <c r="M552" i="4"/>
  <c r="M553" i="4"/>
  <c r="M545" i="4"/>
  <c r="M547" i="4"/>
  <c r="M549" i="4"/>
  <c r="M551" i="4"/>
  <c r="M520" i="4"/>
  <c r="M518" i="4"/>
  <c r="M519" i="4"/>
  <c r="F518" i="4"/>
  <c r="F519" i="4" s="1"/>
  <c r="M524" i="4"/>
  <c r="M526" i="4"/>
  <c r="M521" i="4"/>
  <c r="M523" i="4"/>
  <c r="M525" i="4"/>
  <c r="M527" i="4"/>
  <c r="M528" i="4"/>
  <c r="M529" i="4"/>
  <c r="M510" i="4"/>
  <c r="M515" i="4"/>
  <c r="M509" i="4"/>
  <c r="M512" i="4"/>
  <c r="M511" i="4"/>
  <c r="M513" i="4"/>
  <c r="M516" i="4"/>
  <c r="M517" i="4"/>
  <c r="M496" i="4"/>
  <c r="M498" i="4"/>
  <c r="M500" i="4"/>
  <c r="M502" i="4"/>
  <c r="M504" i="4"/>
  <c r="M505" i="4"/>
  <c r="M484" i="4"/>
  <c r="M486" i="4"/>
  <c r="M491" i="4"/>
  <c r="M479" i="4"/>
  <c r="L445" i="4"/>
  <c r="M441" i="4" s="1"/>
  <c r="M506" i="4"/>
  <c r="M522" i="4"/>
  <c r="M366" i="4"/>
  <c r="L282" i="4"/>
  <c r="M460" i="4"/>
  <c r="M368" i="4"/>
  <c r="M370" i="4"/>
  <c r="M503" i="4"/>
  <c r="L312" i="4"/>
  <c r="M472" i="4"/>
  <c r="L287" i="4"/>
  <c r="M467" i="4"/>
  <c r="F674" i="4"/>
  <c r="F675" i="4" s="1"/>
  <c r="F686" i="4"/>
  <c r="F687" i="4" s="1"/>
  <c r="F650" i="4"/>
  <c r="F651" i="4" s="1"/>
  <c r="F662" i="4"/>
  <c r="F663" i="4" s="1"/>
  <c r="F626" i="4"/>
  <c r="F627" i="4" s="1"/>
  <c r="F638" i="4"/>
  <c r="F639" i="4" s="1"/>
  <c r="F602" i="4"/>
  <c r="F603" i="4" s="1"/>
  <c r="F614" i="4"/>
  <c r="F615" i="4" s="1"/>
  <c r="F578" i="4"/>
  <c r="F579" i="4" s="1"/>
  <c r="F590" i="4"/>
  <c r="F591" i="4" s="1"/>
  <c r="F554" i="4"/>
  <c r="F555" i="4" s="1"/>
  <c r="F566" i="4"/>
  <c r="F567" i="4" s="1"/>
  <c r="F530" i="4"/>
  <c r="F531" i="4" s="1"/>
  <c r="F542" i="4"/>
  <c r="F543" i="4" s="1"/>
  <c r="L457" i="4"/>
  <c r="L426" i="4"/>
  <c r="M426" i="4" s="1"/>
  <c r="L421" i="4"/>
  <c r="M412" i="4" s="1"/>
  <c r="M407" i="4"/>
  <c r="M400" i="4"/>
  <c r="L397" i="4"/>
  <c r="L396" i="4"/>
  <c r="L387" i="4"/>
  <c r="M372" i="4"/>
  <c r="M373" i="4"/>
  <c r="L350" i="4"/>
  <c r="L324" i="4"/>
  <c r="L313" i="4"/>
  <c r="L291" i="4"/>
  <c r="M488" i="4"/>
  <c r="M490" i="4"/>
  <c r="M492" i="4"/>
  <c r="M493" i="4"/>
  <c r="F494" i="4"/>
  <c r="F495" i="4" s="1"/>
  <c r="M494" i="4"/>
  <c r="M495" i="4"/>
  <c r="M497" i="4"/>
  <c r="M499" i="4"/>
  <c r="M501" i="4"/>
  <c r="M474" i="4"/>
  <c r="M476" i="4"/>
  <c r="M478" i="4"/>
  <c r="M480" i="4"/>
  <c r="M481" i="4"/>
  <c r="F482" i="4"/>
  <c r="F483" i="4" s="1"/>
  <c r="M482" i="4"/>
  <c r="M483" i="4"/>
  <c r="M485" i="4"/>
  <c r="M487" i="4"/>
  <c r="M489" i="4"/>
  <c r="M462" i="4"/>
  <c r="M464" i="4"/>
  <c r="M466" i="4"/>
  <c r="M468" i="4"/>
  <c r="M469" i="4"/>
  <c r="F470" i="4"/>
  <c r="F471" i="4" s="1"/>
  <c r="M470" i="4"/>
  <c r="M471" i="4"/>
  <c r="M473" i="4"/>
  <c r="M475" i="4"/>
  <c r="M477" i="4"/>
  <c r="M457" i="4"/>
  <c r="F458" i="4"/>
  <c r="F459" i="4" s="1"/>
  <c r="M458" i="4"/>
  <c r="M459" i="4"/>
  <c r="M461" i="4"/>
  <c r="M463" i="4"/>
  <c r="M465" i="4"/>
  <c r="M451" i="4"/>
  <c r="M402" i="4"/>
  <c r="M404" i="4"/>
  <c r="M406" i="4"/>
  <c r="M408" i="4"/>
  <c r="M409" i="4"/>
  <c r="M394" i="4"/>
  <c r="F398" i="4"/>
  <c r="F399" i="4" s="1"/>
  <c r="M398" i="4"/>
  <c r="M399" i="4"/>
  <c r="M401" i="4"/>
  <c r="M403" i="4"/>
  <c r="M405" i="4"/>
  <c r="M393" i="4"/>
  <c r="M328" i="4"/>
  <c r="M352" i="4"/>
  <c r="M364" i="4"/>
  <c r="M335" i="4"/>
  <c r="M359" i="4"/>
  <c r="M354" i="4"/>
  <c r="M356" i="4"/>
  <c r="M358" i="4"/>
  <c r="M360" i="4"/>
  <c r="M361" i="4"/>
  <c r="F362" i="4"/>
  <c r="F363" i="4" s="1"/>
  <c r="M362" i="4"/>
  <c r="M363" i="4"/>
  <c r="M365" i="4"/>
  <c r="M367" i="4"/>
  <c r="M369" i="4"/>
  <c r="M344" i="4"/>
  <c r="F350" i="4"/>
  <c r="F351" i="4" s="1"/>
  <c r="M350" i="4"/>
  <c r="M351" i="4"/>
  <c r="M353" i="4"/>
  <c r="M355" i="4"/>
  <c r="M357" i="4"/>
  <c r="M330" i="4"/>
  <c r="M332" i="4"/>
  <c r="M334" i="4"/>
  <c r="M336" i="4"/>
  <c r="M337" i="4"/>
  <c r="M338" i="4"/>
  <c r="M343" i="4"/>
  <c r="M345" i="4"/>
  <c r="F326" i="4"/>
  <c r="F327" i="4" s="1"/>
  <c r="M326" i="4"/>
  <c r="M327" i="4"/>
  <c r="M329" i="4"/>
  <c r="M331" i="4"/>
  <c r="M333" i="4"/>
  <c r="F314" i="4"/>
  <c r="F315" i="4" s="1"/>
  <c r="M306" i="4"/>
  <c r="M294" i="4"/>
  <c r="M290" i="4"/>
  <c r="F290" i="4"/>
  <c r="F291" i="4" s="1"/>
  <c r="M293" i="4"/>
  <c r="M295" i="4"/>
  <c r="M291" i="4"/>
  <c r="M292" i="4"/>
  <c r="M297" i="4"/>
  <c r="M298" i="4"/>
  <c r="M296" i="4"/>
  <c r="M299" i="4"/>
  <c r="M300" i="4"/>
  <c r="M301" i="4"/>
  <c r="L278" i="4"/>
  <c r="L280" i="4"/>
  <c r="L279" i="4"/>
  <c r="L289" i="4"/>
  <c r="L285" i="4"/>
  <c r="L277" i="4"/>
  <c r="L268" i="4"/>
  <c r="L266" i="4"/>
  <c r="L267" i="4"/>
  <c r="L255" i="4"/>
  <c r="L265" i="4"/>
  <c r="L256" i="4"/>
  <c r="L253" i="4"/>
  <c r="L244" i="4"/>
  <c r="L241" i="4"/>
  <c r="G241" i="4"/>
  <c r="L240" i="4"/>
  <c r="L239" i="4"/>
  <c r="L238" i="4"/>
  <c r="L237" i="4"/>
  <c r="L236" i="4"/>
  <c r="L235" i="4"/>
  <c r="L234" i="4"/>
  <c r="L233" i="4"/>
  <c r="L232" i="4"/>
  <c r="F232" i="4"/>
  <c r="F233" i="4" s="1"/>
  <c r="F234" i="4" s="1"/>
  <c r="F235" i="4" s="1"/>
  <c r="F236" i="4" s="1"/>
  <c r="F237" i="4" s="1"/>
  <c r="F238" i="4" s="1"/>
  <c r="F239" i="4" s="1"/>
  <c r="F240" i="4" s="1"/>
  <c r="F241" i="4" s="1"/>
  <c r="E232" i="4"/>
  <c r="E233" i="4" s="1"/>
  <c r="E234" i="4" s="1"/>
  <c r="E235" i="4" s="1"/>
  <c r="E236" i="4" s="1"/>
  <c r="E237" i="4" s="1"/>
  <c r="E238" i="4" s="1"/>
  <c r="E239" i="4" s="1"/>
  <c r="E240" i="4" s="1"/>
  <c r="E241" i="4" s="1"/>
  <c r="L231" i="4"/>
  <c r="E231" i="4"/>
  <c r="L230" i="4"/>
  <c r="L229" i="4"/>
  <c r="G229" i="4"/>
  <c r="L228" i="4"/>
  <c r="L227" i="4"/>
  <c r="L226" i="4"/>
  <c r="L225" i="4"/>
  <c r="L224" i="4"/>
  <c r="L223" i="4"/>
  <c r="L222" i="4"/>
  <c r="L221" i="4"/>
  <c r="L220" i="4"/>
  <c r="F220" i="4"/>
  <c r="F221" i="4" s="1"/>
  <c r="F222" i="4" s="1"/>
  <c r="F223" i="4" s="1"/>
  <c r="F224" i="4" s="1"/>
  <c r="F225" i="4" s="1"/>
  <c r="F226" i="4" s="1"/>
  <c r="F227" i="4" s="1"/>
  <c r="F228" i="4" s="1"/>
  <c r="F229" i="4" s="1"/>
  <c r="E220" i="4"/>
  <c r="E221" i="4" s="1"/>
  <c r="E222" i="4" s="1"/>
  <c r="E223" i="4" s="1"/>
  <c r="E224" i="4" s="1"/>
  <c r="E225" i="4" s="1"/>
  <c r="E226" i="4" s="1"/>
  <c r="E227" i="4" s="1"/>
  <c r="E228" i="4" s="1"/>
  <c r="E229" i="4" s="1"/>
  <c r="L219" i="4"/>
  <c r="E219" i="4"/>
  <c r="L218" i="4"/>
  <c r="L217" i="4"/>
  <c r="G217" i="4"/>
  <c r="L216" i="4"/>
  <c r="L215" i="4"/>
  <c r="L214" i="4"/>
  <c r="L213" i="4"/>
  <c r="L212" i="4"/>
  <c r="L211" i="4"/>
  <c r="L210" i="4"/>
  <c r="L209" i="4"/>
  <c r="L208" i="4"/>
  <c r="F208" i="4"/>
  <c r="F209" i="4" s="1"/>
  <c r="F210" i="4" s="1"/>
  <c r="F211" i="4" s="1"/>
  <c r="F212" i="4" s="1"/>
  <c r="F213" i="4" s="1"/>
  <c r="F214" i="4" s="1"/>
  <c r="F215" i="4" s="1"/>
  <c r="F216" i="4" s="1"/>
  <c r="F217" i="4" s="1"/>
  <c r="E208" i="4"/>
  <c r="E209" i="4" s="1"/>
  <c r="E210" i="4" s="1"/>
  <c r="E211" i="4" s="1"/>
  <c r="E212" i="4" s="1"/>
  <c r="E213" i="4" s="1"/>
  <c r="E214" i="4" s="1"/>
  <c r="E215" i="4" s="1"/>
  <c r="E216" i="4" s="1"/>
  <c r="E217" i="4" s="1"/>
  <c r="L207" i="4"/>
  <c r="E207" i="4"/>
  <c r="L206" i="4"/>
  <c r="L205" i="4"/>
  <c r="G205" i="4"/>
  <c r="L204" i="4"/>
  <c r="L203" i="4"/>
  <c r="L202" i="4"/>
  <c r="L201" i="4"/>
  <c r="L200" i="4"/>
  <c r="L199" i="4"/>
  <c r="L198" i="4"/>
  <c r="L197" i="4"/>
  <c r="L196" i="4"/>
  <c r="F196" i="4"/>
  <c r="F197" i="4" s="1"/>
  <c r="F198" i="4" s="1"/>
  <c r="F199" i="4" s="1"/>
  <c r="F200" i="4" s="1"/>
  <c r="F201" i="4" s="1"/>
  <c r="F202" i="4" s="1"/>
  <c r="F203" i="4" s="1"/>
  <c r="F204" i="4" s="1"/>
  <c r="F205" i="4" s="1"/>
  <c r="E196" i="4"/>
  <c r="E197" i="4" s="1"/>
  <c r="E198" i="4" s="1"/>
  <c r="E199" i="4" s="1"/>
  <c r="E200" i="4" s="1"/>
  <c r="E201" i="4" s="1"/>
  <c r="E202" i="4" s="1"/>
  <c r="E203" i="4" s="1"/>
  <c r="E204" i="4" s="1"/>
  <c r="E205" i="4" s="1"/>
  <c r="L195" i="4"/>
  <c r="E195" i="4"/>
  <c r="L194" i="4"/>
  <c r="L193" i="4"/>
  <c r="G193" i="4"/>
  <c r="L192" i="4"/>
  <c r="L191" i="4"/>
  <c r="L190" i="4"/>
  <c r="L189" i="4"/>
  <c r="L188" i="4"/>
  <c r="L187" i="4"/>
  <c r="L186" i="4"/>
  <c r="L185" i="4"/>
  <c r="L184" i="4"/>
  <c r="F184" i="4"/>
  <c r="F185" i="4" s="1"/>
  <c r="F186" i="4" s="1"/>
  <c r="F187" i="4" s="1"/>
  <c r="F188" i="4" s="1"/>
  <c r="F189" i="4" s="1"/>
  <c r="F190" i="4" s="1"/>
  <c r="F191" i="4" s="1"/>
  <c r="F192" i="4" s="1"/>
  <c r="F193" i="4" s="1"/>
  <c r="E184" i="4"/>
  <c r="E185" i="4" s="1"/>
  <c r="E186" i="4" s="1"/>
  <c r="E187" i="4" s="1"/>
  <c r="E188" i="4" s="1"/>
  <c r="E189" i="4" s="1"/>
  <c r="E190" i="4" s="1"/>
  <c r="E191" i="4" s="1"/>
  <c r="E192" i="4" s="1"/>
  <c r="E193" i="4" s="1"/>
  <c r="L183" i="4"/>
  <c r="E183" i="4"/>
  <c r="L182" i="4"/>
  <c r="L181" i="4"/>
  <c r="G181" i="4"/>
  <c r="L180" i="4"/>
  <c r="L179" i="4"/>
  <c r="L178" i="4"/>
  <c r="L177" i="4"/>
  <c r="L176" i="4"/>
  <c r="L175" i="4"/>
  <c r="L174" i="4"/>
  <c r="L173" i="4"/>
  <c r="L172" i="4"/>
  <c r="F172" i="4"/>
  <c r="F173" i="4" s="1"/>
  <c r="F174" i="4" s="1"/>
  <c r="F175" i="4" s="1"/>
  <c r="F176" i="4" s="1"/>
  <c r="F177" i="4" s="1"/>
  <c r="F178" i="4" s="1"/>
  <c r="F179" i="4" s="1"/>
  <c r="F180" i="4" s="1"/>
  <c r="F181" i="4" s="1"/>
  <c r="E172" i="4"/>
  <c r="E173" i="4" s="1"/>
  <c r="E174" i="4" s="1"/>
  <c r="E175" i="4" s="1"/>
  <c r="E176" i="4" s="1"/>
  <c r="E177" i="4" s="1"/>
  <c r="E178" i="4" s="1"/>
  <c r="E179" i="4" s="1"/>
  <c r="E180" i="4" s="1"/>
  <c r="E181" i="4" s="1"/>
  <c r="L171" i="4"/>
  <c r="E171" i="4"/>
  <c r="L170" i="4"/>
  <c r="L169" i="4"/>
  <c r="G169" i="4"/>
  <c r="L168" i="4"/>
  <c r="L167" i="4"/>
  <c r="L166" i="4"/>
  <c r="L165" i="4"/>
  <c r="L164" i="4"/>
  <c r="L163" i="4"/>
  <c r="L162" i="4"/>
  <c r="L161" i="4"/>
  <c r="L160" i="4"/>
  <c r="F160" i="4"/>
  <c r="F161" i="4" s="1"/>
  <c r="F162" i="4" s="1"/>
  <c r="F163" i="4" s="1"/>
  <c r="F164" i="4" s="1"/>
  <c r="F165" i="4" s="1"/>
  <c r="F166" i="4" s="1"/>
  <c r="F167" i="4" s="1"/>
  <c r="F168" i="4" s="1"/>
  <c r="F169" i="4" s="1"/>
  <c r="E160" i="4"/>
  <c r="E161" i="4" s="1"/>
  <c r="E162" i="4" s="1"/>
  <c r="E163" i="4" s="1"/>
  <c r="E164" i="4" s="1"/>
  <c r="E165" i="4" s="1"/>
  <c r="E166" i="4" s="1"/>
  <c r="E167" i="4" s="1"/>
  <c r="E168" i="4" s="1"/>
  <c r="E169" i="4" s="1"/>
  <c r="L159" i="4"/>
  <c r="E159" i="4"/>
  <c r="L158" i="4"/>
  <c r="L157" i="4"/>
  <c r="G157" i="4"/>
  <c r="L156" i="4"/>
  <c r="L155" i="4"/>
  <c r="L154" i="4"/>
  <c r="L153" i="4"/>
  <c r="L152" i="4"/>
  <c r="L151" i="4"/>
  <c r="L150" i="4"/>
  <c r="L149" i="4"/>
  <c r="L148" i="4"/>
  <c r="F148" i="4"/>
  <c r="F149" i="4" s="1"/>
  <c r="F150" i="4" s="1"/>
  <c r="F151" i="4" s="1"/>
  <c r="F152" i="4" s="1"/>
  <c r="F153" i="4" s="1"/>
  <c r="F154" i="4" s="1"/>
  <c r="F155" i="4" s="1"/>
  <c r="F156" i="4" s="1"/>
  <c r="F157" i="4" s="1"/>
  <c r="E148" i="4"/>
  <c r="E149" i="4" s="1"/>
  <c r="E150" i="4" s="1"/>
  <c r="E151" i="4" s="1"/>
  <c r="E152" i="4" s="1"/>
  <c r="E153" i="4" s="1"/>
  <c r="E154" i="4" s="1"/>
  <c r="E155" i="4" s="1"/>
  <c r="E156" i="4" s="1"/>
  <c r="E157" i="4" s="1"/>
  <c r="L147" i="4"/>
  <c r="E147" i="4"/>
  <c r="L146" i="4"/>
  <c r="L145" i="4"/>
  <c r="G145" i="4"/>
  <c r="L144" i="4"/>
  <c r="L143" i="4"/>
  <c r="L142" i="4"/>
  <c r="L141" i="4"/>
  <c r="L140" i="4"/>
  <c r="L139" i="4"/>
  <c r="L138" i="4"/>
  <c r="L137" i="4"/>
  <c r="L136" i="4"/>
  <c r="F136" i="4"/>
  <c r="F137" i="4" s="1"/>
  <c r="F138" i="4" s="1"/>
  <c r="F139" i="4" s="1"/>
  <c r="F140" i="4" s="1"/>
  <c r="F141" i="4" s="1"/>
  <c r="F142" i="4" s="1"/>
  <c r="F143" i="4" s="1"/>
  <c r="F144" i="4" s="1"/>
  <c r="F145" i="4" s="1"/>
  <c r="E136" i="4"/>
  <c r="E137" i="4" s="1"/>
  <c r="E138" i="4" s="1"/>
  <c r="E139" i="4" s="1"/>
  <c r="E140" i="4" s="1"/>
  <c r="E141" i="4" s="1"/>
  <c r="E142" i="4" s="1"/>
  <c r="E143" i="4" s="1"/>
  <c r="E144" i="4" s="1"/>
  <c r="E145" i="4" s="1"/>
  <c r="L135" i="4"/>
  <c r="E135" i="4"/>
  <c r="L134" i="4"/>
  <c r="L133" i="4"/>
  <c r="G133" i="4"/>
  <c r="L132" i="4"/>
  <c r="L131" i="4"/>
  <c r="L130" i="4"/>
  <c r="L129" i="4"/>
  <c r="L128" i="4"/>
  <c r="L127" i="4"/>
  <c r="L126" i="4"/>
  <c r="L125" i="4"/>
  <c r="L124" i="4"/>
  <c r="F124" i="4"/>
  <c r="F125" i="4" s="1"/>
  <c r="F126" i="4" s="1"/>
  <c r="F127" i="4" s="1"/>
  <c r="F128" i="4" s="1"/>
  <c r="F129" i="4" s="1"/>
  <c r="F130" i="4" s="1"/>
  <c r="F131" i="4" s="1"/>
  <c r="F132" i="4" s="1"/>
  <c r="F133" i="4" s="1"/>
  <c r="E124" i="4"/>
  <c r="E125" i="4" s="1"/>
  <c r="E126" i="4" s="1"/>
  <c r="E127" i="4" s="1"/>
  <c r="E128" i="4" s="1"/>
  <c r="E129" i="4" s="1"/>
  <c r="E130" i="4" s="1"/>
  <c r="E131" i="4" s="1"/>
  <c r="E132" i="4" s="1"/>
  <c r="E133" i="4" s="1"/>
  <c r="L123" i="4"/>
  <c r="E123" i="4"/>
  <c r="L122" i="4"/>
  <c r="L121" i="4"/>
  <c r="G121" i="4"/>
  <c r="L120" i="4"/>
  <c r="L119" i="4"/>
  <c r="L118" i="4"/>
  <c r="L117" i="4"/>
  <c r="L116" i="4"/>
  <c r="L115" i="4"/>
  <c r="L114" i="4"/>
  <c r="L113" i="4"/>
  <c r="L112" i="4"/>
  <c r="F112" i="4"/>
  <c r="F113" i="4" s="1"/>
  <c r="F114" i="4" s="1"/>
  <c r="F115" i="4" s="1"/>
  <c r="F116" i="4" s="1"/>
  <c r="F117" i="4" s="1"/>
  <c r="F118" i="4" s="1"/>
  <c r="F119" i="4" s="1"/>
  <c r="F120" i="4" s="1"/>
  <c r="F121" i="4" s="1"/>
  <c r="E112" i="4"/>
  <c r="E113" i="4" s="1"/>
  <c r="E114" i="4" s="1"/>
  <c r="E115" i="4" s="1"/>
  <c r="E116" i="4" s="1"/>
  <c r="E117" i="4" s="1"/>
  <c r="E118" i="4" s="1"/>
  <c r="E119" i="4" s="1"/>
  <c r="E120" i="4" s="1"/>
  <c r="E121" i="4" s="1"/>
  <c r="L111" i="4"/>
  <c r="E111" i="4"/>
  <c r="L110" i="4"/>
  <c r="L109" i="4"/>
  <c r="G109" i="4"/>
  <c r="L108" i="4"/>
  <c r="L107" i="4"/>
  <c r="L106" i="4"/>
  <c r="L105" i="4"/>
  <c r="L104" i="4"/>
  <c r="L103" i="4"/>
  <c r="L102" i="4"/>
  <c r="L101" i="4"/>
  <c r="L100" i="4"/>
  <c r="F100" i="4"/>
  <c r="F101" i="4" s="1"/>
  <c r="F102" i="4" s="1"/>
  <c r="F103" i="4" s="1"/>
  <c r="F104" i="4" s="1"/>
  <c r="F105" i="4" s="1"/>
  <c r="F106" i="4" s="1"/>
  <c r="F107" i="4" s="1"/>
  <c r="F108" i="4" s="1"/>
  <c r="F109" i="4" s="1"/>
  <c r="E100" i="4"/>
  <c r="E101" i="4" s="1"/>
  <c r="E102" i="4" s="1"/>
  <c r="E103" i="4" s="1"/>
  <c r="E104" i="4" s="1"/>
  <c r="E105" i="4" s="1"/>
  <c r="E106" i="4" s="1"/>
  <c r="E107" i="4" s="1"/>
  <c r="E108" i="4" s="1"/>
  <c r="E109" i="4" s="1"/>
  <c r="L99" i="4"/>
  <c r="E99" i="4"/>
  <c r="L98" i="4"/>
  <c r="B86" i="4"/>
  <c r="B98" i="4" s="1"/>
  <c r="L97" i="4"/>
  <c r="G97" i="4"/>
  <c r="L96" i="4"/>
  <c r="L95" i="4"/>
  <c r="L94" i="4"/>
  <c r="L93" i="4"/>
  <c r="L92" i="4"/>
  <c r="L91" i="4"/>
  <c r="L90" i="4"/>
  <c r="L89" i="4"/>
  <c r="L88" i="4"/>
  <c r="F88" i="4"/>
  <c r="F89" i="4" s="1"/>
  <c r="F90" i="4" s="1"/>
  <c r="F91" i="4" s="1"/>
  <c r="F92" i="4" s="1"/>
  <c r="F93" i="4" s="1"/>
  <c r="F94" i="4" s="1"/>
  <c r="F95" i="4" s="1"/>
  <c r="F96" i="4" s="1"/>
  <c r="F97" i="4" s="1"/>
  <c r="E88" i="4"/>
  <c r="E89" i="4" s="1"/>
  <c r="E90" i="4" s="1"/>
  <c r="E91" i="4" s="1"/>
  <c r="E92" i="4" s="1"/>
  <c r="E93" i="4" s="1"/>
  <c r="E94" i="4" s="1"/>
  <c r="E95" i="4" s="1"/>
  <c r="E96" i="4" s="1"/>
  <c r="E97" i="4" s="1"/>
  <c r="L87" i="4"/>
  <c r="L86" i="4"/>
  <c r="E87" i="4"/>
  <c r="J5" i="10"/>
  <c r="K5" i="10"/>
  <c r="J6" i="10"/>
  <c r="K6" i="10"/>
  <c r="J7" i="10"/>
  <c r="K7" i="10"/>
  <c r="J8" i="10"/>
  <c r="K8" i="10"/>
  <c r="J9" i="10"/>
  <c r="K9" i="10"/>
  <c r="J10" i="10"/>
  <c r="K10" i="10"/>
  <c r="J11" i="10"/>
  <c r="K11" i="10"/>
  <c r="J12" i="10"/>
  <c r="K12" i="10"/>
  <c r="J13" i="10"/>
  <c r="K13" i="10"/>
  <c r="J14" i="10"/>
  <c r="K14" i="10"/>
  <c r="J15" i="10"/>
  <c r="K15" i="10"/>
  <c r="J16" i="10"/>
  <c r="J22" i="10" s="1"/>
  <c r="J23" i="10" s="1"/>
  <c r="K16" i="10"/>
  <c r="K22" i="10" s="1"/>
  <c r="K23" i="10" s="1"/>
  <c r="I6" i="10"/>
  <c r="I7" i="10"/>
  <c r="I8" i="10"/>
  <c r="I9" i="10"/>
  <c r="I10" i="10"/>
  <c r="I11" i="10"/>
  <c r="I12" i="10"/>
  <c r="I13" i="10"/>
  <c r="I14" i="10"/>
  <c r="I15" i="10"/>
  <c r="I16" i="10"/>
  <c r="I22" i="10" s="1"/>
  <c r="I23" i="10" s="1"/>
  <c r="I5" i="10"/>
  <c r="J4" i="10"/>
  <c r="J21" i="10" s="1"/>
  <c r="K4" i="10"/>
  <c r="K21" i="10" s="1"/>
  <c r="I4" i="10"/>
  <c r="I21" i="10" s="1"/>
  <c r="H6" i="10"/>
  <c r="H7" i="10"/>
  <c r="H8" i="10"/>
  <c r="H9" i="10"/>
  <c r="H10" i="10"/>
  <c r="H11" i="10"/>
  <c r="H12" i="10"/>
  <c r="H13" i="10"/>
  <c r="H14" i="10"/>
  <c r="H15" i="10"/>
  <c r="H16" i="10"/>
  <c r="H5" i="10"/>
  <c r="M392" i="4" l="1"/>
  <c r="F338" i="4"/>
  <c r="F339" i="4" s="1"/>
  <c r="M342" i="4"/>
  <c r="M340" i="4"/>
  <c r="M430" i="4"/>
  <c r="M381" i="4"/>
  <c r="M349" i="4"/>
  <c r="M341" i="4"/>
  <c r="M348" i="4"/>
  <c r="M347" i="4"/>
  <c r="M339" i="4"/>
  <c r="M391" i="4"/>
  <c r="M386" i="4"/>
  <c r="F386" i="4"/>
  <c r="F387" i="4" s="1"/>
  <c r="M397" i="4"/>
  <c r="M389" i="4"/>
  <c r="M396" i="4"/>
  <c r="M421" i="4"/>
  <c r="M415" i="4"/>
  <c r="M305" i="4"/>
  <c r="M318" i="4"/>
  <c r="M438" i="4"/>
  <c r="F374" i="4"/>
  <c r="F375" i="4" s="1"/>
  <c r="M429" i="4"/>
  <c r="M439" i="4"/>
  <c r="M428" i="4"/>
  <c r="M323" i="4"/>
  <c r="M377" i="4"/>
  <c r="M436" i="4"/>
  <c r="M312" i="4"/>
  <c r="M307" i="4"/>
  <c r="M316" i="4"/>
  <c r="M427" i="4"/>
  <c r="M437" i="4"/>
  <c r="M375" i="4"/>
  <c r="M443" i="4"/>
  <c r="M311" i="4"/>
  <c r="M308" i="4"/>
  <c r="M303" i="4"/>
  <c r="M325" i="4"/>
  <c r="M304" i="4"/>
  <c r="M425" i="4"/>
  <c r="M435" i="4"/>
  <c r="M445" i="4"/>
  <c r="M313" i="4"/>
  <c r="M376" i="4"/>
  <c r="M321" i="4"/>
  <c r="M324" i="4"/>
  <c r="M315" i="4"/>
  <c r="M385" i="4"/>
  <c r="M423" i="4"/>
  <c r="M434" i="4"/>
  <c r="M444" i="4"/>
  <c r="M302" i="4"/>
  <c r="M319" i="4"/>
  <c r="M322" i="4"/>
  <c r="M309" i="4"/>
  <c r="M384" i="4"/>
  <c r="M422" i="4"/>
  <c r="F434" i="4"/>
  <c r="F435" i="4" s="1"/>
  <c r="M442" i="4"/>
  <c r="M317" i="4"/>
  <c r="M320" i="4"/>
  <c r="M382" i="4"/>
  <c r="M383" i="4"/>
  <c r="F422" i="4"/>
  <c r="F423" i="4" s="1"/>
  <c r="M433" i="4"/>
  <c r="M440" i="4"/>
  <c r="M374" i="4"/>
  <c r="M310" i="4"/>
  <c r="M314" i="4"/>
  <c r="M380" i="4"/>
  <c r="M379" i="4"/>
  <c r="M432" i="4"/>
  <c r="M244" i="4"/>
  <c r="M431" i="4"/>
  <c r="M250" i="4"/>
  <c r="M263" i="4"/>
  <c r="M387" i="4"/>
  <c r="M448" i="4"/>
  <c r="M424" i="4"/>
  <c r="M413" i="4"/>
  <c r="M248" i="4"/>
  <c r="M271" i="4"/>
  <c r="M256" i="4"/>
  <c r="M251" i="4"/>
  <c r="M417" i="4"/>
  <c r="M453" i="4"/>
  <c r="M419" i="4"/>
  <c r="M455" i="4"/>
  <c r="M247" i="4"/>
  <c r="M245" i="4"/>
  <c r="M420" i="4"/>
  <c r="M449" i="4"/>
  <c r="M456" i="4"/>
  <c r="M243" i="4"/>
  <c r="M265" i="4"/>
  <c r="M411" i="4"/>
  <c r="M418" i="4"/>
  <c r="M447" i="4"/>
  <c r="M454" i="4"/>
  <c r="F302" i="4"/>
  <c r="F303" i="4" s="1"/>
  <c r="M260" i="4"/>
  <c r="M410" i="4"/>
  <c r="M416" i="4"/>
  <c r="M446" i="4"/>
  <c r="M452" i="4"/>
  <c r="M253" i="4"/>
  <c r="F242" i="4"/>
  <c r="F243" i="4" s="1"/>
  <c r="M275" i="4"/>
  <c r="F410" i="4"/>
  <c r="F411" i="4" s="1"/>
  <c r="M414" i="4"/>
  <c r="F446" i="4"/>
  <c r="F447" i="4" s="1"/>
  <c r="M450" i="4"/>
  <c r="M249" i="4"/>
  <c r="M388" i="4"/>
  <c r="M186" i="4"/>
  <c r="M206" i="4"/>
  <c r="M188" i="4"/>
  <c r="M246" i="4"/>
  <c r="M257" i="4"/>
  <c r="F254" i="4"/>
  <c r="F255" i="4" s="1"/>
  <c r="M242" i="4"/>
  <c r="M395" i="4"/>
  <c r="M193" i="4"/>
  <c r="M261" i="4"/>
  <c r="M259" i="4"/>
  <c r="M264" i="4"/>
  <c r="M272" i="4"/>
  <c r="M390" i="4"/>
  <c r="M122" i="4"/>
  <c r="M254" i="4"/>
  <c r="M199" i="4"/>
  <c r="M207" i="4"/>
  <c r="M255" i="4"/>
  <c r="M262" i="4"/>
  <c r="M190" i="4"/>
  <c r="M252" i="4"/>
  <c r="M258" i="4"/>
  <c r="M192" i="4"/>
  <c r="M282" i="4"/>
  <c r="M289" i="4"/>
  <c r="M285" i="4"/>
  <c r="M287" i="4"/>
  <c r="M281" i="4"/>
  <c r="F278" i="4"/>
  <c r="F279" i="4" s="1"/>
  <c r="M286" i="4"/>
  <c r="M284" i="4"/>
  <c r="M283" i="4"/>
  <c r="M279" i="4"/>
  <c r="M278" i="4"/>
  <c r="M280" i="4"/>
  <c r="M288" i="4"/>
  <c r="M267" i="4"/>
  <c r="M266" i="4"/>
  <c r="M270" i="4"/>
  <c r="M276" i="4"/>
  <c r="M273" i="4"/>
  <c r="M269" i="4"/>
  <c r="F266" i="4"/>
  <c r="F267" i="4" s="1"/>
  <c r="M274" i="4"/>
  <c r="M268" i="4"/>
  <c r="M277" i="4"/>
  <c r="M234" i="4"/>
  <c r="M236" i="4"/>
  <c r="M238" i="4"/>
  <c r="M240" i="4"/>
  <c r="M241" i="4"/>
  <c r="M230" i="4"/>
  <c r="M231" i="4"/>
  <c r="M233" i="4"/>
  <c r="M235" i="4"/>
  <c r="M237" i="4"/>
  <c r="M239" i="4"/>
  <c r="M218" i="4"/>
  <c r="M219" i="4"/>
  <c r="M221" i="4"/>
  <c r="M222" i="4"/>
  <c r="M224" i="4"/>
  <c r="M226" i="4"/>
  <c r="M228" i="4"/>
  <c r="M229" i="4"/>
  <c r="M223" i="4"/>
  <c r="M225" i="4"/>
  <c r="M227" i="4"/>
  <c r="M209" i="4"/>
  <c r="M210" i="4"/>
  <c r="M212" i="4"/>
  <c r="M214" i="4"/>
  <c r="M216" i="4"/>
  <c r="M217" i="4"/>
  <c r="M211" i="4"/>
  <c r="M213" i="4"/>
  <c r="M215" i="4"/>
  <c r="M196" i="4"/>
  <c r="M197" i="4"/>
  <c r="M198" i="4"/>
  <c r="M201" i="4"/>
  <c r="M203" i="4"/>
  <c r="M194" i="4"/>
  <c r="M195" i="4"/>
  <c r="M200" i="4"/>
  <c r="M202" i="4"/>
  <c r="M204" i="4"/>
  <c r="M205" i="4"/>
  <c r="M182" i="4"/>
  <c r="M183" i="4"/>
  <c r="M185" i="4"/>
  <c r="M187" i="4"/>
  <c r="M189" i="4"/>
  <c r="M191" i="4"/>
  <c r="M170" i="4"/>
  <c r="M171" i="4"/>
  <c r="M173" i="4"/>
  <c r="M175" i="4"/>
  <c r="M177" i="4"/>
  <c r="M179" i="4"/>
  <c r="M174" i="4"/>
  <c r="M176" i="4"/>
  <c r="M178" i="4"/>
  <c r="M180" i="4"/>
  <c r="M181" i="4"/>
  <c r="M158" i="4"/>
  <c r="M159" i="4"/>
  <c r="M161" i="4"/>
  <c r="M163" i="4"/>
  <c r="M165" i="4"/>
  <c r="M167" i="4"/>
  <c r="M162" i="4"/>
  <c r="M164" i="4"/>
  <c r="M166" i="4"/>
  <c r="M168" i="4"/>
  <c r="M169" i="4"/>
  <c r="M150" i="4"/>
  <c r="M152" i="4"/>
  <c r="M154" i="4"/>
  <c r="M156" i="4"/>
  <c r="M157" i="4"/>
  <c r="M146" i="4"/>
  <c r="M147" i="4"/>
  <c r="M149" i="4"/>
  <c r="M151" i="4"/>
  <c r="M153" i="4"/>
  <c r="M155" i="4"/>
  <c r="M138" i="4"/>
  <c r="M140" i="4"/>
  <c r="M134" i="4"/>
  <c r="M135" i="4"/>
  <c r="M137" i="4"/>
  <c r="M139" i="4"/>
  <c r="M142" i="4"/>
  <c r="M144" i="4"/>
  <c r="M145" i="4"/>
  <c r="M141" i="4"/>
  <c r="M143" i="4"/>
  <c r="M125" i="4"/>
  <c r="M127" i="4"/>
  <c r="M129" i="4"/>
  <c r="M131" i="4"/>
  <c r="M124" i="4"/>
  <c r="M126" i="4"/>
  <c r="M128" i="4"/>
  <c r="M130" i="4"/>
  <c r="M132" i="4"/>
  <c r="M133" i="4"/>
  <c r="F122" i="4"/>
  <c r="F123" i="4" s="1"/>
  <c r="M86" i="4"/>
  <c r="M88" i="4"/>
  <c r="M90" i="4"/>
  <c r="M92" i="4"/>
  <c r="M96" i="4"/>
  <c r="M107" i="4"/>
  <c r="M110" i="4"/>
  <c r="M111" i="4"/>
  <c r="M113" i="4"/>
  <c r="M115" i="4"/>
  <c r="M117" i="4"/>
  <c r="M119" i="4"/>
  <c r="M93" i="4"/>
  <c r="M106" i="4"/>
  <c r="M102" i="4"/>
  <c r="M98" i="4"/>
  <c r="M99" i="4"/>
  <c r="M101" i="4"/>
  <c r="M103" i="4"/>
  <c r="M104" i="4"/>
  <c r="M105" i="4"/>
  <c r="M108" i="4"/>
  <c r="M109" i="4"/>
  <c r="M114" i="4"/>
  <c r="M116" i="4"/>
  <c r="M118" i="4"/>
  <c r="M120" i="4"/>
  <c r="M121" i="4"/>
  <c r="B105" i="4"/>
  <c r="B110" i="4"/>
  <c r="B120" i="4" s="1"/>
  <c r="B108" i="4"/>
  <c r="B107" i="4"/>
  <c r="B99" i="4"/>
  <c r="B102" i="4"/>
  <c r="B101" i="4"/>
  <c r="B100" i="4"/>
  <c r="B87" i="4"/>
  <c r="B89" i="4"/>
  <c r="B91" i="4"/>
  <c r="B93" i="4"/>
  <c r="B95" i="4"/>
  <c r="B97" i="4"/>
  <c r="F98" i="4"/>
  <c r="F99" i="4" s="1"/>
  <c r="F134" i="4"/>
  <c r="F135" i="4" s="1"/>
  <c r="F158" i="4"/>
  <c r="F159" i="4" s="1"/>
  <c r="F182" i="4"/>
  <c r="F183" i="4" s="1"/>
  <c r="F206" i="4"/>
  <c r="F207" i="4" s="1"/>
  <c r="F218" i="4"/>
  <c r="F219" i="4" s="1"/>
  <c r="F230" i="4"/>
  <c r="F231" i="4" s="1"/>
  <c r="B88" i="4"/>
  <c r="B90" i="4"/>
  <c r="B92" i="4"/>
  <c r="B94" i="4"/>
  <c r="B96" i="4"/>
  <c r="F110" i="4"/>
  <c r="F111" i="4" s="1"/>
  <c r="F146" i="4"/>
  <c r="F147" i="4" s="1"/>
  <c r="F170" i="4"/>
  <c r="F171" i="4" s="1"/>
  <c r="M232" i="4"/>
  <c r="M220" i="4"/>
  <c r="M208" i="4"/>
  <c r="F194" i="4"/>
  <c r="F195" i="4" s="1"/>
  <c r="M184" i="4"/>
  <c r="M172" i="4"/>
  <c r="M160" i="4"/>
  <c r="M148" i="4"/>
  <c r="M136" i="4"/>
  <c r="M123" i="4"/>
  <c r="M112" i="4"/>
  <c r="M100" i="4"/>
  <c r="B104" i="4"/>
  <c r="B109" i="4"/>
  <c r="B106" i="4"/>
  <c r="B103" i="4"/>
  <c r="M95" i="4"/>
  <c r="M94" i="4"/>
  <c r="F86" i="4"/>
  <c r="F87" i="4" s="1"/>
  <c r="M89" i="4"/>
  <c r="M87" i="4"/>
  <c r="M91" i="4"/>
  <c r="M97" i="4"/>
  <c r="I17" i="10"/>
  <c r="K17" i="10"/>
  <c r="J17" i="10"/>
  <c r="B115" i="4" l="1"/>
  <c r="B116" i="4"/>
  <c r="B117" i="4"/>
  <c r="B114" i="4"/>
  <c r="B122" i="4"/>
  <c r="B119" i="4"/>
  <c r="B118" i="4"/>
  <c r="B111" i="4"/>
  <c r="B121" i="4"/>
  <c r="B113" i="4"/>
  <c r="B112" i="4"/>
  <c r="E74" i="4"/>
  <c r="E75" i="4" s="1"/>
  <c r="K75" i="4"/>
  <c r="J75" i="4"/>
  <c r="K81" i="4"/>
  <c r="J81" i="4"/>
  <c r="K85" i="4"/>
  <c r="J85" i="4"/>
  <c r="K83" i="4"/>
  <c r="J83" i="4"/>
  <c r="K80" i="4"/>
  <c r="J80" i="4"/>
  <c r="G85" i="4"/>
  <c r="L84" i="4"/>
  <c r="L82" i="4"/>
  <c r="L79" i="4"/>
  <c r="L78" i="4"/>
  <c r="L77" i="4"/>
  <c r="L76" i="4"/>
  <c r="F76" i="4"/>
  <c r="F77" i="4" s="1"/>
  <c r="F78" i="4" s="1"/>
  <c r="F79" i="4" s="1"/>
  <c r="F80" i="4" s="1"/>
  <c r="F81" i="4" s="1"/>
  <c r="F82" i="4" s="1"/>
  <c r="F83" i="4" s="1"/>
  <c r="F84" i="4" s="1"/>
  <c r="F85" i="4" s="1"/>
  <c r="E76" i="4"/>
  <c r="E77" i="4" s="1"/>
  <c r="E78" i="4" s="1"/>
  <c r="E79" i="4" s="1"/>
  <c r="E80" i="4" s="1"/>
  <c r="E81" i="4" s="1"/>
  <c r="E82" i="4" s="1"/>
  <c r="E83" i="4" s="1"/>
  <c r="E84" i="4" s="1"/>
  <c r="E85" i="4" s="1"/>
  <c r="L74" i="4"/>
  <c r="J71" i="4"/>
  <c r="K71" i="4"/>
  <c r="K69" i="4"/>
  <c r="J69" i="4"/>
  <c r="K73" i="4"/>
  <c r="J73" i="4"/>
  <c r="E62" i="4"/>
  <c r="E50" i="4"/>
  <c r="K51" i="4"/>
  <c r="J51" i="4"/>
  <c r="K50" i="4"/>
  <c r="J50" i="4"/>
  <c r="J49" i="4"/>
  <c r="E38" i="4"/>
  <c r="K42" i="4"/>
  <c r="J42" i="4"/>
  <c r="K45" i="4"/>
  <c r="J45" i="4"/>
  <c r="K41" i="4"/>
  <c r="J41" i="4"/>
  <c r="K49" i="4"/>
  <c r="K47" i="4"/>
  <c r="J47" i="4"/>
  <c r="K39" i="4"/>
  <c r="J39" i="4"/>
  <c r="K48" i="4"/>
  <c r="J48" i="4"/>
  <c r="J46" i="4"/>
  <c r="E26" i="4"/>
  <c r="J33" i="4"/>
  <c r="J29" i="4"/>
  <c r="J35" i="4"/>
  <c r="J30" i="4"/>
  <c r="J34" i="4"/>
  <c r="J36" i="4"/>
  <c r="J27" i="4"/>
  <c r="J37" i="4"/>
  <c r="K37" i="4"/>
  <c r="K36" i="4"/>
  <c r="K35" i="4"/>
  <c r="K34" i="4"/>
  <c r="K33" i="4"/>
  <c r="K30" i="4"/>
  <c r="K29" i="4"/>
  <c r="K28" i="4"/>
  <c r="K27" i="4"/>
  <c r="J21" i="4"/>
  <c r="J23" i="4"/>
  <c r="J15" i="4"/>
  <c r="J24" i="4"/>
  <c r="J17" i="4"/>
  <c r="J25" i="4"/>
  <c r="J18" i="4"/>
  <c r="J22" i="4"/>
  <c r="K25" i="4"/>
  <c r="K24" i="4"/>
  <c r="K23" i="4"/>
  <c r="K22" i="4"/>
  <c r="K21" i="4"/>
  <c r="K18" i="4"/>
  <c r="K17" i="4"/>
  <c r="K16" i="4"/>
  <c r="K15" i="4"/>
  <c r="E14" i="4"/>
  <c r="K13" i="4"/>
  <c r="J13" i="4"/>
  <c r="L81" i="4" l="1"/>
  <c r="L85" i="4"/>
  <c r="B126" i="4"/>
  <c r="B131" i="4"/>
  <c r="B130" i="4"/>
  <c r="B123" i="4"/>
  <c r="B134" i="4"/>
  <c r="B125" i="4"/>
  <c r="B124" i="4"/>
  <c r="B132" i="4"/>
  <c r="B133" i="4"/>
  <c r="B127" i="4"/>
  <c r="B129" i="4"/>
  <c r="B128" i="4"/>
  <c r="L75" i="4"/>
  <c r="L83" i="4"/>
  <c r="L80" i="4"/>
  <c r="M80" i="4" s="1"/>
  <c r="M84" i="4"/>
  <c r="M78" i="4"/>
  <c r="M79" i="4"/>
  <c r="M81" i="4" l="1"/>
  <c r="F74" i="4"/>
  <c r="F75" i="4" s="1"/>
  <c r="M82" i="4"/>
  <c r="M85" i="4"/>
  <c r="M77" i="4"/>
  <c r="M75" i="4"/>
  <c r="M83" i="4"/>
  <c r="B138" i="4"/>
  <c r="B146" i="4"/>
  <c r="B143" i="4"/>
  <c r="B141" i="4"/>
  <c r="B137" i="4"/>
  <c r="B136" i="4"/>
  <c r="B145" i="4"/>
  <c r="B140" i="4"/>
  <c r="B135" i="4"/>
  <c r="B142" i="4"/>
  <c r="B144" i="4"/>
  <c r="B139" i="4"/>
  <c r="M76" i="4"/>
  <c r="M74" i="4"/>
  <c r="B150" i="4" l="1"/>
  <c r="B147" i="4"/>
  <c r="B158" i="4"/>
  <c r="B155" i="4"/>
  <c r="B152" i="4"/>
  <c r="B157" i="4"/>
  <c r="B151" i="4"/>
  <c r="B156" i="4"/>
  <c r="B149" i="4"/>
  <c r="B154" i="4"/>
  <c r="B148" i="4"/>
  <c r="B153" i="4"/>
  <c r="L73" i="4"/>
  <c r="G73" i="4"/>
  <c r="L72" i="4"/>
  <c r="L71" i="4"/>
  <c r="L70" i="4"/>
  <c r="L69" i="4"/>
  <c r="L68" i="4"/>
  <c r="L67" i="4"/>
  <c r="L66" i="4"/>
  <c r="L65" i="4"/>
  <c r="L64" i="4"/>
  <c r="F64" i="4"/>
  <c r="F65" i="4" s="1"/>
  <c r="F66" i="4" s="1"/>
  <c r="F67" i="4" s="1"/>
  <c r="F68" i="4" s="1"/>
  <c r="F69" i="4" s="1"/>
  <c r="F70" i="4" s="1"/>
  <c r="F71" i="4" s="1"/>
  <c r="F72" i="4" s="1"/>
  <c r="F73" i="4" s="1"/>
  <c r="E64" i="4"/>
  <c r="E65" i="4" s="1"/>
  <c r="E66" i="4" s="1"/>
  <c r="E67" i="4" s="1"/>
  <c r="E68" i="4" s="1"/>
  <c r="E69" i="4" s="1"/>
  <c r="E70" i="4" s="1"/>
  <c r="E71" i="4" s="1"/>
  <c r="E72" i="4" s="1"/>
  <c r="E73" i="4" s="1"/>
  <c r="L63" i="4"/>
  <c r="E63" i="4"/>
  <c r="L62" i="4"/>
  <c r="L61" i="4"/>
  <c r="G61" i="4"/>
  <c r="L60" i="4"/>
  <c r="L59" i="4"/>
  <c r="L58" i="4"/>
  <c r="L57" i="4"/>
  <c r="L56" i="4"/>
  <c r="L55" i="4"/>
  <c r="L54" i="4"/>
  <c r="L53" i="4"/>
  <c r="L52" i="4"/>
  <c r="F52" i="4"/>
  <c r="F53" i="4" s="1"/>
  <c r="F54" i="4" s="1"/>
  <c r="F55" i="4" s="1"/>
  <c r="F56" i="4" s="1"/>
  <c r="F57" i="4" s="1"/>
  <c r="F58" i="4" s="1"/>
  <c r="F59" i="4" s="1"/>
  <c r="F60" i="4" s="1"/>
  <c r="F61" i="4" s="1"/>
  <c r="E52" i="4"/>
  <c r="E53" i="4" s="1"/>
  <c r="E54" i="4" s="1"/>
  <c r="E55" i="4" s="1"/>
  <c r="E56" i="4" s="1"/>
  <c r="E57" i="4" s="1"/>
  <c r="E58" i="4" s="1"/>
  <c r="E59" i="4" s="1"/>
  <c r="E60" i="4" s="1"/>
  <c r="E61" i="4" s="1"/>
  <c r="L51" i="4"/>
  <c r="E51" i="4"/>
  <c r="L50" i="4"/>
  <c r="L49" i="4"/>
  <c r="G49" i="4"/>
  <c r="L48" i="4"/>
  <c r="L47" i="4"/>
  <c r="L46" i="4"/>
  <c r="L45" i="4"/>
  <c r="L44" i="4"/>
  <c r="L43" i="4"/>
  <c r="L42" i="4"/>
  <c r="L41" i="4"/>
  <c r="L40" i="4"/>
  <c r="F40" i="4"/>
  <c r="F41" i="4" s="1"/>
  <c r="F42" i="4" s="1"/>
  <c r="F43" i="4" s="1"/>
  <c r="F44" i="4" s="1"/>
  <c r="F45" i="4" s="1"/>
  <c r="F46" i="4" s="1"/>
  <c r="F47" i="4" s="1"/>
  <c r="F48" i="4" s="1"/>
  <c r="F49" i="4" s="1"/>
  <c r="E40" i="4"/>
  <c r="E41" i="4" s="1"/>
  <c r="E42" i="4" s="1"/>
  <c r="E43" i="4" s="1"/>
  <c r="E44" i="4" s="1"/>
  <c r="E45" i="4" s="1"/>
  <c r="E46" i="4" s="1"/>
  <c r="E47" i="4" s="1"/>
  <c r="E48" i="4" s="1"/>
  <c r="E49" i="4" s="1"/>
  <c r="L39" i="4"/>
  <c r="E39" i="4"/>
  <c r="L38" i="4"/>
  <c r="L37" i="4"/>
  <c r="G37" i="4"/>
  <c r="L36" i="4"/>
  <c r="L35" i="4"/>
  <c r="L34" i="4"/>
  <c r="L33" i="4"/>
  <c r="L32" i="4"/>
  <c r="L31" i="4"/>
  <c r="L30" i="4"/>
  <c r="L29" i="4"/>
  <c r="L28" i="4"/>
  <c r="F28" i="4"/>
  <c r="F29" i="4" s="1"/>
  <c r="F30" i="4" s="1"/>
  <c r="F31" i="4" s="1"/>
  <c r="F32" i="4" s="1"/>
  <c r="F33" i="4" s="1"/>
  <c r="F34" i="4" s="1"/>
  <c r="F35" i="4" s="1"/>
  <c r="F36" i="4" s="1"/>
  <c r="F37" i="4" s="1"/>
  <c r="E28" i="4"/>
  <c r="E29" i="4" s="1"/>
  <c r="E30" i="4" s="1"/>
  <c r="E31" i="4" s="1"/>
  <c r="E32" i="4" s="1"/>
  <c r="E33" i="4" s="1"/>
  <c r="E34" i="4" s="1"/>
  <c r="E35" i="4" s="1"/>
  <c r="E36" i="4" s="1"/>
  <c r="E37" i="4" s="1"/>
  <c r="L27" i="4"/>
  <c r="L26" i="4"/>
  <c r="E27" i="4"/>
  <c r="L25" i="4"/>
  <c r="G25" i="4"/>
  <c r="L24" i="4"/>
  <c r="L23" i="4"/>
  <c r="L22" i="4"/>
  <c r="L21" i="4"/>
  <c r="L20" i="4"/>
  <c r="L19" i="4"/>
  <c r="L18" i="4"/>
  <c r="L17" i="4"/>
  <c r="L16" i="4"/>
  <c r="F16" i="4"/>
  <c r="F17" i="4" s="1"/>
  <c r="F18" i="4" s="1"/>
  <c r="F19" i="4" s="1"/>
  <c r="F20" i="4" s="1"/>
  <c r="F21" i="4" s="1"/>
  <c r="F22" i="4" s="1"/>
  <c r="F23" i="4" s="1"/>
  <c r="F24" i="4" s="1"/>
  <c r="F25" i="4" s="1"/>
  <c r="E16" i="4"/>
  <c r="E17" i="4" s="1"/>
  <c r="E18" i="4" s="1"/>
  <c r="E19" i="4" s="1"/>
  <c r="E20" i="4" s="1"/>
  <c r="E21" i="4" s="1"/>
  <c r="E22" i="4" s="1"/>
  <c r="E23" i="4" s="1"/>
  <c r="E24" i="4" s="1"/>
  <c r="E25" i="4" s="1"/>
  <c r="L15" i="4"/>
  <c r="L14" i="4"/>
  <c r="E15" i="4"/>
  <c r="G13" i="4"/>
  <c r="M50" i="4" l="1"/>
  <c r="M51" i="4"/>
  <c r="B162" i="4"/>
  <c r="B161" i="4"/>
  <c r="B160" i="4"/>
  <c r="B170" i="4"/>
  <c r="B168" i="4"/>
  <c r="B167" i="4"/>
  <c r="B165" i="4"/>
  <c r="B159" i="4"/>
  <c r="B169" i="4"/>
  <c r="B163" i="4"/>
  <c r="B164" i="4"/>
  <c r="B166" i="4"/>
  <c r="F14" i="4"/>
  <c r="F15" i="4" s="1"/>
  <c r="M68" i="4"/>
  <c r="M67" i="4"/>
  <c r="M64" i="4"/>
  <c r="F62" i="4"/>
  <c r="F63" i="4" s="1"/>
  <c r="M62" i="4"/>
  <c r="M63" i="4"/>
  <c r="M71" i="4"/>
  <c r="M73" i="4"/>
  <c r="M65" i="4"/>
  <c r="M66" i="4"/>
  <c r="M69" i="4"/>
  <c r="M70" i="4"/>
  <c r="M72" i="4"/>
  <c r="M60" i="4"/>
  <c r="M53" i="4"/>
  <c r="M54" i="4"/>
  <c r="M57" i="4"/>
  <c r="M58" i="4"/>
  <c r="M61" i="4"/>
  <c r="F50" i="4"/>
  <c r="F51" i="4" s="1"/>
  <c r="M52" i="4"/>
  <c r="M55" i="4"/>
  <c r="M56" i="4"/>
  <c r="M59" i="4"/>
  <c r="M44" i="4"/>
  <c r="M43" i="4"/>
  <c r="M40" i="4"/>
  <c r="F38" i="4"/>
  <c r="F39" i="4" s="1"/>
  <c r="M38" i="4"/>
  <c r="M39" i="4"/>
  <c r="M47" i="4"/>
  <c r="M49" i="4"/>
  <c r="M41" i="4"/>
  <c r="M42" i="4"/>
  <c r="M45" i="4"/>
  <c r="M46" i="4"/>
  <c r="M48" i="4"/>
  <c r="M26" i="4"/>
  <c r="M28" i="4"/>
  <c r="M30" i="4"/>
  <c r="M34" i="4"/>
  <c r="M37" i="4"/>
  <c r="M32" i="4"/>
  <c r="M36" i="4"/>
  <c r="F26" i="4"/>
  <c r="F27" i="4" s="1"/>
  <c r="M27" i="4"/>
  <c r="M29" i="4"/>
  <c r="M31" i="4"/>
  <c r="M33" i="4"/>
  <c r="M35" i="4"/>
  <c r="M24" i="4"/>
  <c r="M14" i="4"/>
  <c r="M15" i="4"/>
  <c r="M16" i="4"/>
  <c r="M17" i="4"/>
  <c r="M18" i="4"/>
  <c r="M19" i="4"/>
  <c r="M20" i="4"/>
  <c r="M21" i="4"/>
  <c r="M22" i="4"/>
  <c r="M23" i="4"/>
  <c r="M25" i="4"/>
  <c r="B177" i="4" l="1"/>
  <c r="B171" i="4"/>
  <c r="B182" i="4"/>
  <c r="B181" i="4"/>
  <c r="B180" i="4"/>
  <c r="B179" i="4"/>
  <c r="B174" i="4"/>
  <c r="B173" i="4"/>
  <c r="B172" i="4"/>
  <c r="B176" i="4"/>
  <c r="B175" i="4"/>
  <c r="B178" i="4"/>
  <c r="F13" i="4"/>
  <c r="E13" i="4"/>
  <c r="B186" i="4" l="1"/>
  <c r="B194" i="4"/>
  <c r="B191" i="4"/>
  <c r="B185" i="4"/>
  <c r="B184" i="4"/>
  <c r="B193" i="4"/>
  <c r="B183" i="4"/>
  <c r="B190" i="4"/>
  <c r="B192" i="4"/>
  <c r="B188" i="4"/>
  <c r="B187" i="4"/>
  <c r="B189" i="4"/>
  <c r="L13" i="4"/>
  <c r="M2" i="4" l="1"/>
  <c r="M9" i="4"/>
  <c r="M8" i="4"/>
  <c r="F2" i="4"/>
  <c r="F3" i="4" s="1"/>
  <c r="M7" i="4"/>
  <c r="M10" i="4"/>
  <c r="M11" i="4"/>
  <c r="M3" i="4"/>
  <c r="M4" i="4"/>
  <c r="M6" i="4"/>
  <c r="M12" i="4"/>
  <c r="M5" i="4"/>
  <c r="B198" i="4"/>
  <c r="B203" i="4"/>
  <c r="B200" i="4"/>
  <c r="B195" i="4"/>
  <c r="B206" i="4"/>
  <c r="B197" i="4"/>
  <c r="B202" i="4"/>
  <c r="B204" i="4"/>
  <c r="B205" i="4"/>
  <c r="B199" i="4"/>
  <c r="B196" i="4"/>
  <c r="B201" i="4"/>
  <c r="B210" i="4" l="1"/>
  <c r="B215" i="4"/>
  <c r="B208" i="4"/>
  <c r="B218" i="4"/>
  <c r="B207" i="4"/>
  <c r="B209" i="4"/>
  <c r="B214" i="4"/>
  <c r="B216" i="4"/>
  <c r="B212" i="4"/>
  <c r="B217" i="4"/>
  <c r="B211" i="4"/>
  <c r="B213" i="4"/>
  <c r="B222" i="4" l="1"/>
  <c r="B227" i="4"/>
  <c r="B220" i="4"/>
  <c r="B230" i="4"/>
  <c r="B242" i="4" s="1"/>
  <c r="B219" i="4"/>
  <c r="B221" i="4"/>
  <c r="B226" i="4"/>
  <c r="B228" i="4"/>
  <c r="B224" i="4"/>
  <c r="B229" i="4"/>
  <c r="B223" i="4"/>
  <c r="B225" i="4"/>
  <c r="B253" i="4" l="1"/>
  <c r="B254" i="4"/>
  <c r="B246" i="4"/>
  <c r="B252" i="4"/>
  <c r="B245" i="4"/>
  <c r="B244" i="4"/>
  <c r="B247" i="4"/>
  <c r="B250" i="4"/>
  <c r="B243" i="4"/>
  <c r="B249" i="4"/>
  <c r="B248" i="4"/>
  <c r="B251" i="4"/>
  <c r="B234" i="4"/>
  <c r="B236" i="4"/>
  <c r="B239" i="4"/>
  <c r="B231" i="4"/>
  <c r="B241" i="4"/>
  <c r="B235" i="4"/>
  <c r="B240" i="4"/>
  <c r="B233" i="4"/>
  <c r="B238" i="4"/>
  <c r="B232" i="4"/>
  <c r="B237" i="4"/>
  <c r="M13" i="4"/>
  <c r="B265" i="4" l="1"/>
  <c r="B266" i="4"/>
  <c r="B259" i="4"/>
  <c r="B263" i="4"/>
  <c r="B261" i="4"/>
  <c r="B257" i="4"/>
  <c r="B255" i="4"/>
  <c r="B258" i="4"/>
  <c r="B260" i="4"/>
  <c r="B264" i="4"/>
  <c r="B262" i="4"/>
  <c r="B256" i="4"/>
  <c r="B277" i="4" l="1"/>
  <c r="B275" i="4"/>
  <c r="B269" i="4"/>
  <c r="B278" i="4"/>
  <c r="B273" i="4"/>
  <c r="B271" i="4"/>
  <c r="B267" i="4"/>
  <c r="B274" i="4"/>
  <c r="B270" i="4"/>
  <c r="B272" i="4"/>
  <c r="B268" i="4"/>
  <c r="B276" i="4"/>
  <c r="B289" i="4" l="1"/>
  <c r="B287" i="4"/>
  <c r="B281" i="4"/>
  <c r="B285" i="4"/>
  <c r="B290" i="4"/>
  <c r="B279" i="4"/>
  <c r="B283" i="4"/>
  <c r="B284" i="4"/>
  <c r="B280" i="4"/>
  <c r="B282" i="4"/>
  <c r="B286" i="4"/>
  <c r="B288" i="4"/>
  <c r="B301" i="4" l="1"/>
  <c r="B302" i="4"/>
  <c r="B295" i="4"/>
  <c r="B291" i="4"/>
  <c r="B293" i="4"/>
  <c r="B299" i="4"/>
  <c r="B296" i="4"/>
  <c r="B298" i="4"/>
  <c r="B297" i="4"/>
  <c r="B300" i="4"/>
  <c r="B292" i="4"/>
  <c r="B294" i="4"/>
  <c r="B313" i="4" l="1"/>
  <c r="B310" i="4"/>
  <c r="B304" i="4"/>
  <c r="B314" i="4"/>
  <c r="B308" i="4"/>
  <c r="B306" i="4"/>
  <c r="B312" i="4"/>
  <c r="B307" i="4"/>
  <c r="B311" i="4"/>
  <c r="B303" i="4"/>
  <c r="B309" i="4"/>
  <c r="B305" i="4"/>
  <c r="B325" i="4" l="1"/>
  <c r="B326" i="4"/>
  <c r="B324" i="4"/>
  <c r="B319" i="4"/>
  <c r="B316" i="4"/>
  <c r="B317" i="4"/>
  <c r="B315" i="4"/>
  <c r="B318" i="4"/>
  <c r="B321" i="4"/>
  <c r="B320" i="4"/>
  <c r="B322" i="4"/>
  <c r="B323" i="4"/>
  <c r="B337" i="4" l="1"/>
  <c r="B338" i="4"/>
  <c r="B330" i="4"/>
  <c r="B331" i="4"/>
  <c r="B332" i="4"/>
  <c r="B334" i="4"/>
  <c r="B333" i="4"/>
  <c r="B336" i="4"/>
  <c r="B327" i="4"/>
  <c r="B335" i="4"/>
  <c r="B328" i="4"/>
  <c r="B329" i="4"/>
  <c r="B349" i="4" l="1"/>
  <c r="B350" i="4"/>
  <c r="B340" i="4"/>
  <c r="B342" i="4"/>
  <c r="B343" i="4"/>
  <c r="B344" i="4"/>
  <c r="B339" i="4"/>
  <c r="B347" i="4"/>
  <c r="B346" i="4"/>
  <c r="B345" i="4"/>
  <c r="B348" i="4"/>
  <c r="B341" i="4"/>
  <c r="B361" i="4" l="1"/>
  <c r="B362" i="4"/>
  <c r="B358" i="4"/>
  <c r="B357" i="4"/>
  <c r="B351" i="4"/>
  <c r="B359" i="4"/>
  <c r="B353" i="4"/>
  <c r="B354" i="4"/>
  <c r="B355" i="4"/>
  <c r="B352" i="4"/>
  <c r="B356" i="4"/>
  <c r="B360" i="4"/>
  <c r="B373" i="4" l="1"/>
  <c r="B374" i="4"/>
  <c r="B364" i="4"/>
  <c r="B368" i="4"/>
  <c r="B370" i="4"/>
  <c r="B369" i="4"/>
  <c r="B372" i="4"/>
  <c r="B366" i="4"/>
  <c r="B367" i="4"/>
  <c r="B363" i="4"/>
  <c r="B371" i="4"/>
  <c r="B365" i="4"/>
  <c r="B385" i="4" l="1"/>
  <c r="B386" i="4"/>
  <c r="B380" i="4"/>
  <c r="B376" i="4"/>
  <c r="B378" i="4"/>
  <c r="B384" i="4"/>
  <c r="B382" i="4"/>
  <c r="B377" i="4"/>
  <c r="B379" i="4"/>
  <c r="B381" i="4"/>
  <c r="B383" i="4"/>
  <c r="B375" i="4"/>
  <c r="B397" i="4" l="1"/>
  <c r="B398" i="4"/>
  <c r="B388" i="4"/>
  <c r="B387" i="4"/>
  <c r="B390" i="4"/>
  <c r="B395" i="4"/>
  <c r="B392" i="4"/>
  <c r="B391" i="4"/>
  <c r="B394" i="4"/>
  <c r="B393" i="4"/>
  <c r="B396" i="4"/>
  <c r="B389" i="4"/>
  <c r="B409" i="4" l="1"/>
  <c r="B410" i="4"/>
  <c r="B399" i="4"/>
  <c r="B407" i="4"/>
  <c r="B401" i="4"/>
  <c r="B400" i="4"/>
  <c r="B408" i="4"/>
  <c r="B402" i="4"/>
  <c r="B403" i="4"/>
  <c r="B406" i="4"/>
  <c r="B405" i="4"/>
  <c r="B404" i="4"/>
  <c r="B421" i="4" l="1"/>
  <c r="B422" i="4"/>
  <c r="B414" i="4"/>
  <c r="B415" i="4"/>
  <c r="B416" i="4"/>
  <c r="B418" i="4"/>
  <c r="B417" i="4"/>
  <c r="B420" i="4"/>
  <c r="B411" i="4"/>
  <c r="B419" i="4"/>
  <c r="B413" i="4"/>
  <c r="B412" i="4"/>
  <c r="B433" i="4" l="1"/>
  <c r="B434" i="4"/>
  <c r="B425" i="4"/>
  <c r="B424" i="4"/>
  <c r="B426" i="4"/>
  <c r="B427" i="4"/>
  <c r="B428" i="4"/>
  <c r="B430" i="4"/>
  <c r="B429" i="4"/>
  <c r="B432" i="4"/>
  <c r="B423" i="4"/>
  <c r="B431" i="4"/>
  <c r="B445" i="4" l="1"/>
  <c r="B446" i="4"/>
  <c r="B442" i="4"/>
  <c r="B441" i="4"/>
  <c r="B444" i="4"/>
  <c r="B435" i="4"/>
  <c r="B443" i="4"/>
  <c r="B438" i="4"/>
  <c r="B439" i="4"/>
  <c r="B437" i="4"/>
  <c r="B436" i="4"/>
  <c r="B440" i="4"/>
  <c r="B457" i="4" l="1"/>
  <c r="B458" i="4"/>
  <c r="B449" i="4"/>
  <c r="B448" i="4"/>
  <c r="B450" i="4"/>
  <c r="B451" i="4"/>
  <c r="B452" i="4"/>
  <c r="B447" i="4"/>
  <c r="B455" i="4"/>
  <c r="B454" i="4"/>
  <c r="B453" i="4"/>
  <c r="B456" i="4"/>
  <c r="B469" i="4" l="1"/>
  <c r="B470" i="4"/>
  <c r="B468" i="4"/>
  <c r="B459" i="4"/>
  <c r="B467" i="4"/>
  <c r="B461" i="4"/>
  <c r="B460" i="4"/>
  <c r="B464" i="4"/>
  <c r="B462" i="4"/>
  <c r="B463" i="4"/>
  <c r="B466" i="4"/>
  <c r="B465" i="4"/>
  <c r="B481" i="4" l="1"/>
  <c r="B482" i="4"/>
  <c r="B474" i="4"/>
  <c r="B475" i="4"/>
  <c r="B476" i="4"/>
  <c r="B478" i="4"/>
  <c r="B477" i="4"/>
  <c r="B480" i="4"/>
  <c r="B473" i="4"/>
  <c r="B471" i="4"/>
  <c r="B479" i="4"/>
  <c r="B472" i="4"/>
  <c r="B493" i="4" l="1"/>
  <c r="B494" i="4"/>
  <c r="B485" i="4"/>
  <c r="B484" i="4"/>
  <c r="B486" i="4"/>
  <c r="B487" i="4"/>
  <c r="B491" i="4"/>
  <c r="B488" i="4"/>
  <c r="B483" i="4"/>
  <c r="B490" i="4"/>
  <c r="B489" i="4"/>
  <c r="B492" i="4"/>
  <c r="B505" i="4" l="1"/>
  <c r="B506" i="4"/>
  <c r="B502" i="4"/>
  <c r="B501" i="4"/>
  <c r="B504" i="4"/>
  <c r="B495" i="4"/>
  <c r="B503" i="4"/>
  <c r="B497" i="4"/>
  <c r="B496" i="4"/>
  <c r="B498" i="4"/>
  <c r="B499" i="4"/>
  <c r="B500" i="4"/>
  <c r="B518" i="4" l="1"/>
  <c r="B516" i="4"/>
  <c r="B512" i="4"/>
  <c r="B508" i="4"/>
  <c r="B514" i="4"/>
  <c r="B510" i="4"/>
  <c r="B507" i="4"/>
  <c r="B509" i="4"/>
  <c r="B511" i="4"/>
  <c r="B513" i="4"/>
  <c r="B515" i="4"/>
  <c r="B517" i="4"/>
  <c r="B530" i="4" l="1"/>
  <c r="B523" i="4"/>
  <c r="B521" i="4"/>
  <c r="B519" i="4"/>
  <c r="B528" i="4"/>
  <c r="B526" i="4"/>
  <c r="B529" i="4"/>
  <c r="B524" i="4"/>
  <c r="B527" i="4"/>
  <c r="B522" i="4"/>
  <c r="B525" i="4"/>
  <c r="B520" i="4"/>
  <c r="B542" i="4" l="1"/>
  <c r="B533" i="4"/>
  <c r="B532" i="4"/>
  <c r="B535" i="4"/>
  <c r="B534" i="4"/>
  <c r="B537" i="4"/>
  <c r="B536" i="4"/>
  <c r="B539" i="4"/>
  <c r="B538" i="4"/>
  <c r="B541" i="4"/>
  <c r="B540" i="4"/>
  <c r="B531" i="4"/>
  <c r="B554" i="4" l="1"/>
  <c r="B547" i="4"/>
  <c r="B545" i="4"/>
  <c r="B543" i="4"/>
  <c r="B552" i="4"/>
  <c r="B550" i="4"/>
  <c r="B553" i="4"/>
  <c r="B548" i="4"/>
  <c r="B551" i="4"/>
  <c r="B546" i="4"/>
  <c r="B549" i="4"/>
  <c r="B544" i="4"/>
  <c r="B566" i="4" l="1"/>
  <c r="B557" i="4"/>
  <c r="B556" i="4"/>
  <c r="B559" i="4"/>
  <c r="B558" i="4"/>
  <c r="B561" i="4"/>
  <c r="B560" i="4"/>
  <c r="B563" i="4"/>
  <c r="B562" i="4"/>
  <c r="B565" i="4"/>
  <c r="B564" i="4"/>
  <c r="B555" i="4"/>
  <c r="B578" i="4" l="1"/>
  <c r="B571" i="4"/>
  <c r="B569" i="4"/>
  <c r="B567" i="4"/>
  <c r="B576" i="4"/>
  <c r="B574" i="4"/>
  <c r="B577" i="4"/>
  <c r="B572" i="4"/>
  <c r="B575" i="4"/>
  <c r="B570" i="4"/>
  <c r="B573" i="4"/>
  <c r="B568" i="4"/>
  <c r="B590" i="4" l="1"/>
  <c r="B581" i="4"/>
  <c r="B580" i="4"/>
  <c r="B583" i="4"/>
  <c r="B582" i="4"/>
  <c r="B585" i="4"/>
  <c r="B584" i="4"/>
  <c r="B587" i="4"/>
  <c r="B586" i="4"/>
  <c r="B589" i="4"/>
  <c r="B588" i="4"/>
  <c r="B579" i="4"/>
  <c r="B602" i="4" l="1"/>
  <c r="B595" i="4"/>
  <c r="B593" i="4"/>
  <c r="B591" i="4"/>
  <c r="B600" i="4"/>
  <c r="B598" i="4"/>
  <c r="B601" i="4"/>
  <c r="B596" i="4"/>
  <c r="B599" i="4"/>
  <c r="B594" i="4"/>
  <c r="B597" i="4"/>
  <c r="B592" i="4"/>
  <c r="B614" i="4" l="1"/>
  <c r="B605" i="4"/>
  <c r="B604" i="4"/>
  <c r="B607" i="4"/>
  <c r="B606" i="4"/>
  <c r="B609" i="4"/>
  <c r="B608" i="4"/>
  <c r="B611" i="4"/>
  <c r="B610" i="4"/>
  <c r="B613" i="4"/>
  <c r="B612" i="4"/>
  <c r="B603" i="4"/>
  <c r="B626" i="4" l="1"/>
  <c r="B619" i="4"/>
  <c r="B617" i="4"/>
  <c r="B615" i="4"/>
  <c r="B624" i="4"/>
  <c r="B622" i="4"/>
  <c r="B625" i="4"/>
  <c r="B620" i="4"/>
  <c r="B623" i="4"/>
  <c r="B618" i="4"/>
  <c r="B621" i="4"/>
  <c r="B616" i="4"/>
  <c r="B638" i="4" l="1"/>
  <c r="B629" i="4"/>
  <c r="B628" i="4"/>
  <c r="B631" i="4"/>
  <c r="B630" i="4"/>
  <c r="B633" i="4"/>
  <c r="B632" i="4"/>
  <c r="B635" i="4"/>
  <c r="B634" i="4"/>
  <c r="B637" i="4"/>
  <c r="B636" i="4"/>
  <c r="B627" i="4"/>
  <c r="B650" i="4" l="1"/>
  <c r="B643" i="4"/>
  <c r="B641" i="4"/>
  <c r="B639" i="4"/>
  <c r="B648" i="4"/>
  <c r="B646" i="4"/>
  <c r="B649" i="4"/>
  <c r="B644" i="4"/>
  <c r="B647" i="4"/>
  <c r="B642" i="4"/>
  <c r="B645" i="4"/>
  <c r="B640" i="4"/>
  <c r="B662" i="4" l="1"/>
  <c r="B653" i="4"/>
  <c r="B652" i="4"/>
  <c r="B655" i="4"/>
  <c r="B654" i="4"/>
  <c r="B657" i="4"/>
  <c r="B656" i="4"/>
  <c r="B659" i="4"/>
  <c r="B658" i="4"/>
  <c r="B661" i="4"/>
  <c r="B660" i="4"/>
  <c r="B651" i="4"/>
  <c r="B674" i="4" l="1"/>
  <c r="B667" i="4"/>
  <c r="B665" i="4"/>
  <c r="B663" i="4"/>
  <c r="B672" i="4"/>
  <c r="B670" i="4"/>
  <c r="B673" i="4"/>
  <c r="B668" i="4"/>
  <c r="B671" i="4"/>
  <c r="B666" i="4"/>
  <c r="B669" i="4"/>
  <c r="B664" i="4"/>
  <c r="B686" i="4" l="1"/>
  <c r="B698" i="4" s="1"/>
  <c r="B677" i="4"/>
  <c r="B676" i="4"/>
  <c r="B679" i="4"/>
  <c r="B678" i="4"/>
  <c r="B681" i="4"/>
  <c r="B680" i="4"/>
  <c r="B683" i="4"/>
  <c r="B682" i="4"/>
  <c r="B685" i="4"/>
  <c r="B684" i="4"/>
  <c r="B675" i="4"/>
  <c r="B709" i="4" l="1"/>
  <c r="B703" i="4"/>
  <c r="B699" i="4"/>
  <c r="B707" i="4"/>
  <c r="B701" i="4"/>
  <c r="B710" i="4"/>
  <c r="B705" i="4"/>
  <c r="B700" i="4"/>
  <c r="B702" i="4"/>
  <c r="B704" i="4"/>
  <c r="B706" i="4"/>
  <c r="B708" i="4"/>
  <c r="B691" i="4"/>
  <c r="B689" i="4"/>
  <c r="B687" i="4"/>
  <c r="B696" i="4"/>
  <c r="B694" i="4"/>
  <c r="B697" i="4"/>
  <c r="B692" i="4"/>
  <c r="B695" i="4"/>
  <c r="B690" i="4"/>
  <c r="B693" i="4"/>
  <c r="B688" i="4"/>
  <c r="B721" i="4" l="1"/>
  <c r="B722" i="4"/>
  <c r="B712" i="4"/>
  <c r="B714" i="4"/>
  <c r="B716" i="4"/>
  <c r="B718" i="4"/>
  <c r="B713" i="4"/>
  <c r="B720" i="4"/>
  <c r="B715" i="4"/>
  <c r="B711" i="4"/>
  <c r="B719" i="4"/>
  <c r="B717" i="4"/>
  <c r="B733" i="4" l="1"/>
  <c r="B734" i="4"/>
  <c r="B746" i="4" s="1"/>
  <c r="B725" i="4"/>
  <c r="B727" i="4"/>
  <c r="B724" i="4"/>
  <c r="B729" i="4"/>
  <c r="B726" i="4"/>
  <c r="B731" i="4"/>
  <c r="B723" i="4"/>
  <c r="B728" i="4"/>
  <c r="B730" i="4"/>
  <c r="B732" i="4"/>
  <c r="B757" i="4" l="1"/>
  <c r="B751" i="4"/>
  <c r="B758" i="4"/>
  <c r="B752" i="4"/>
  <c r="B750" i="4"/>
  <c r="B749" i="4"/>
  <c r="B756" i="4"/>
  <c r="B754" i="4"/>
  <c r="B747" i="4"/>
  <c r="B753" i="4"/>
  <c r="B755" i="4"/>
  <c r="B748" i="4"/>
  <c r="B745" i="4"/>
  <c r="B736" i="4"/>
  <c r="B738" i="4"/>
  <c r="B743" i="4"/>
  <c r="B740" i="4"/>
  <c r="B742" i="4"/>
  <c r="B744" i="4"/>
  <c r="B741" i="4"/>
  <c r="B735" i="4"/>
  <c r="B737" i="4"/>
  <c r="B739" i="4"/>
  <c r="B765" i="4" l="1"/>
  <c r="B760" i="4"/>
  <c r="B766" i="4"/>
  <c r="B762" i="4"/>
  <c r="B764" i="4"/>
  <c r="B759" i="4"/>
  <c r="B770" i="4"/>
  <c r="B767" i="4"/>
  <c r="B768" i="4"/>
  <c r="B761" i="4"/>
  <c r="B763" i="4"/>
  <c r="B769" i="4"/>
  <c r="B782" i="4" l="1"/>
  <c r="B781" i="4"/>
  <c r="B776" i="4"/>
  <c r="B773" i="4"/>
  <c r="B775" i="4"/>
  <c r="B780" i="4"/>
  <c r="B774" i="4"/>
  <c r="B772" i="4"/>
  <c r="B779" i="4"/>
  <c r="B771" i="4"/>
  <c r="B778" i="4"/>
  <c r="B777" i="4"/>
  <c r="B786" i="4" l="1"/>
  <c r="B783" i="4"/>
  <c r="B794" i="4"/>
  <c r="B791" i="4"/>
  <c r="B793" i="4"/>
  <c r="B792" i="4"/>
  <c r="B785" i="4"/>
  <c r="B789" i="4"/>
  <c r="B790" i="4"/>
  <c r="B787" i="4"/>
  <c r="B788" i="4"/>
  <c r="B784" i="4"/>
  <c r="B804" i="4" l="1"/>
  <c r="B805" i="4"/>
  <c r="B796" i="4"/>
  <c r="B798" i="4"/>
  <c r="B806" i="4"/>
  <c r="B803" i="4"/>
  <c r="B795" i="4"/>
  <c r="B797" i="4"/>
  <c r="B801" i="4"/>
  <c r="B800" i="4"/>
  <c r="B802" i="4"/>
  <c r="B799" i="4"/>
  <c r="B810" i="4" l="1"/>
  <c r="B818" i="4"/>
  <c r="B808" i="4"/>
  <c r="B807" i="4"/>
  <c r="B815" i="4"/>
  <c r="B813" i="4"/>
  <c r="B816" i="4"/>
  <c r="B812" i="4"/>
  <c r="B809" i="4"/>
  <c r="B811" i="4"/>
  <c r="B817" i="4"/>
  <c r="B814" i="4"/>
  <c r="B825" i="4" l="1"/>
  <c r="B819" i="4"/>
  <c r="B820" i="4"/>
  <c r="B826" i="4"/>
  <c r="B827" i="4"/>
  <c r="B822" i="4"/>
  <c r="B830" i="4"/>
  <c r="B821" i="4"/>
  <c r="B828" i="4"/>
  <c r="B829" i="4"/>
  <c r="B823" i="4"/>
  <c r="B824" i="4"/>
  <c r="B837" i="4" l="1"/>
  <c r="B842" i="4"/>
  <c r="B841" i="4"/>
  <c r="B839" i="4"/>
  <c r="B833" i="4"/>
  <c r="B834" i="4"/>
  <c r="B831" i="4"/>
  <c r="B838" i="4"/>
  <c r="B836" i="4"/>
  <c r="B835" i="4"/>
  <c r="B832" i="4"/>
  <c r="B840" i="4"/>
  <c r="B849" i="4" l="1"/>
  <c r="B851" i="4"/>
  <c r="B845" i="4"/>
  <c r="B854" i="4"/>
  <c r="B846" i="4"/>
  <c r="B844" i="4"/>
  <c r="B843" i="4"/>
  <c r="B853" i="4"/>
  <c r="B848" i="4"/>
  <c r="B850" i="4"/>
  <c r="B847" i="4"/>
  <c r="B852" i="4"/>
  <c r="B858" i="4" l="1"/>
  <c r="B855" i="4"/>
  <c r="B866" i="4"/>
  <c r="B863" i="4"/>
  <c r="B856" i="4"/>
  <c r="B861" i="4"/>
  <c r="B864" i="4"/>
  <c r="B860" i="4"/>
  <c r="B859" i="4"/>
  <c r="B857" i="4"/>
  <c r="B865" i="4"/>
  <c r="B862" i="4"/>
  <c r="B870" i="4" l="1"/>
  <c r="B875" i="4"/>
  <c r="B867" i="4"/>
  <c r="B878" i="4"/>
  <c r="B872" i="4"/>
  <c r="B868" i="4"/>
  <c r="B873" i="4"/>
  <c r="B876" i="4"/>
  <c r="B871" i="4"/>
  <c r="B869" i="4"/>
  <c r="B877" i="4"/>
  <c r="B874" i="4"/>
  <c r="B882" i="4" l="1"/>
  <c r="B879" i="4"/>
  <c r="B890" i="4"/>
  <c r="B887" i="4"/>
  <c r="B880" i="4"/>
  <c r="B888" i="4"/>
  <c r="B883" i="4"/>
  <c r="B885" i="4"/>
  <c r="B886" i="4"/>
  <c r="B884" i="4"/>
  <c r="B881" i="4"/>
  <c r="B889" i="4"/>
  <c r="B897" i="4" l="1"/>
  <c r="B901" i="4"/>
  <c r="B893" i="4"/>
  <c r="B899" i="4"/>
  <c r="B894" i="4"/>
  <c r="B891" i="4"/>
  <c r="B902" i="4"/>
  <c r="B898" i="4"/>
  <c r="B892" i="4"/>
  <c r="B895" i="4"/>
  <c r="B900" i="4"/>
  <c r="B896" i="4"/>
  <c r="B906" i="4" l="1"/>
  <c r="B911" i="4"/>
  <c r="B914" i="4"/>
  <c r="B903" i="4"/>
  <c r="B907" i="4"/>
  <c r="B910" i="4"/>
  <c r="B904" i="4"/>
  <c r="B912" i="4"/>
  <c r="B908" i="4"/>
  <c r="B909" i="4"/>
  <c r="B905" i="4"/>
  <c r="B913" i="4"/>
  <c r="B918" i="4" l="1"/>
  <c r="B915" i="4"/>
  <c r="B923" i="4"/>
  <c r="B917" i="4"/>
  <c r="B925" i="4"/>
  <c r="B926" i="4"/>
  <c r="B920" i="4"/>
  <c r="B916" i="4"/>
  <c r="B922" i="4"/>
  <c r="B919" i="4"/>
  <c r="B924" i="4"/>
  <c r="B921" i="4"/>
  <c r="B933" i="4" l="1"/>
  <c r="B937" i="4"/>
  <c r="B930" i="4"/>
  <c r="B927" i="4"/>
  <c r="B935" i="4"/>
  <c r="B929" i="4"/>
  <c r="B938" i="4"/>
  <c r="B932" i="4"/>
  <c r="B934" i="4"/>
  <c r="B931" i="4"/>
  <c r="B928" i="4"/>
  <c r="B936" i="4"/>
  <c r="B942" i="4" l="1"/>
  <c r="B947" i="4"/>
  <c r="B940" i="4"/>
  <c r="B950" i="4"/>
  <c r="B945" i="4"/>
  <c r="B939" i="4"/>
  <c r="B948" i="4"/>
  <c r="B944" i="4"/>
  <c r="B943" i="4"/>
  <c r="B941" i="4"/>
  <c r="B949" i="4"/>
  <c r="B946" i="4"/>
  <c r="B954" i="4" l="1"/>
  <c r="B962" i="4"/>
  <c r="B951" i="4"/>
  <c r="B959" i="4"/>
  <c r="B952" i="4"/>
  <c r="B960" i="4"/>
  <c r="B955" i="4"/>
  <c r="B957" i="4"/>
  <c r="B956" i="4"/>
  <c r="B953" i="4"/>
  <c r="B961" i="4"/>
  <c r="B958" i="4"/>
  <c r="B973" i="4" l="1"/>
  <c r="B974" i="4"/>
  <c r="B970" i="4"/>
  <c r="B965" i="4"/>
  <c r="B972" i="4"/>
  <c r="B968" i="4"/>
  <c r="B969" i="4"/>
  <c r="B963" i="4"/>
  <c r="B971" i="4"/>
  <c r="B967" i="4"/>
  <c r="B966" i="4"/>
  <c r="B964" i="4"/>
  <c r="B985" i="4" l="1"/>
  <c r="B986" i="4"/>
  <c r="B978" i="4"/>
  <c r="B983" i="4"/>
  <c r="B980" i="4"/>
  <c r="B976" i="4"/>
  <c r="B981" i="4"/>
  <c r="B982" i="4"/>
  <c r="B975" i="4"/>
  <c r="B984" i="4"/>
  <c r="B979" i="4"/>
  <c r="B977" i="4"/>
  <c r="B997" i="4" l="1"/>
  <c r="B998" i="4"/>
  <c r="B996" i="4"/>
  <c r="B987" i="4"/>
  <c r="B994" i="4"/>
  <c r="B989" i="4"/>
  <c r="B988" i="4"/>
  <c r="B991" i="4"/>
  <c r="B993" i="4"/>
  <c r="B992" i="4"/>
  <c r="B990" i="4"/>
  <c r="B995" i="4"/>
  <c r="B1009" i="4" l="1"/>
  <c r="B1008" i="4"/>
  <c r="B1000" i="4"/>
  <c r="B1002" i="4"/>
  <c r="B1004" i="4"/>
  <c r="B1006" i="4"/>
  <c r="B1010" i="4"/>
  <c r="B1003" i="4"/>
  <c r="B1005" i="4"/>
  <c r="B1001" i="4"/>
  <c r="B1007" i="4"/>
  <c r="B999" i="4"/>
  <c r="B1021" i="4" l="1"/>
  <c r="B1022" i="4"/>
  <c r="B1020" i="4"/>
  <c r="B1011" i="4"/>
  <c r="B1018" i="4"/>
  <c r="B1013" i="4"/>
  <c r="B1012" i="4"/>
  <c r="B1017" i="4"/>
  <c r="B1015" i="4"/>
  <c r="B1016" i="4"/>
  <c r="B1014" i="4"/>
  <c r="B1019" i="4"/>
  <c r="B1033" i="4" l="1"/>
  <c r="B1034" i="4"/>
  <c r="B1027" i="4"/>
  <c r="B1024" i="4"/>
  <c r="B1029" i="4"/>
  <c r="B1025" i="4"/>
  <c r="B1026" i="4"/>
  <c r="B1031" i="4"/>
  <c r="B1028" i="4"/>
  <c r="B1030" i="4"/>
  <c r="B1023" i="4"/>
  <c r="B1032" i="4"/>
  <c r="B1045" i="4" l="1"/>
  <c r="B1039" i="4"/>
  <c r="B1035" i="4"/>
  <c r="B1046" i="4"/>
  <c r="B1037" i="4"/>
  <c r="B1042" i="4"/>
  <c r="B1044" i="4"/>
  <c r="B1040" i="4"/>
  <c r="B1043" i="4"/>
  <c r="B1036" i="4"/>
  <c r="B1041" i="4"/>
  <c r="B1038" i="4"/>
  <c r="B1057" i="4" l="1"/>
  <c r="B1058" i="4"/>
  <c r="B1048" i="4"/>
  <c r="B1053" i="4"/>
  <c r="B1050" i="4"/>
  <c r="B1055" i="4"/>
  <c r="B1052" i="4"/>
  <c r="B1054" i="4"/>
  <c r="B1056" i="4"/>
  <c r="B1051" i="4"/>
  <c r="B1047" i="4"/>
  <c r="B1049" i="4"/>
  <c r="B1069" i="4" l="1"/>
  <c r="B1070" i="4"/>
  <c r="B1066" i="4"/>
  <c r="B1068" i="4"/>
  <c r="B1059" i="4"/>
  <c r="B1061" i="4"/>
  <c r="B1063" i="4"/>
  <c r="B1064" i="4"/>
  <c r="B1060" i="4"/>
  <c r="B1065" i="4"/>
  <c r="B1062" i="4"/>
  <c r="B1067" i="4"/>
  <c r="B1081" i="4" l="1"/>
  <c r="B1082" i="4"/>
  <c r="B1073" i="4"/>
  <c r="B1075" i="4"/>
  <c r="B1072" i="4"/>
  <c r="B1077" i="4"/>
  <c r="B1074" i="4"/>
  <c r="B1079" i="4"/>
  <c r="B1076" i="4"/>
  <c r="B1071" i="4"/>
  <c r="B1078" i="4"/>
  <c r="B1080" i="4"/>
  <c r="B1093" i="4" l="1"/>
  <c r="B1094" i="4"/>
  <c r="B1086" i="4"/>
  <c r="B1091" i="4"/>
  <c r="B1088" i="4"/>
  <c r="B1090" i="4"/>
  <c r="B1092" i="4"/>
  <c r="B1083" i="4"/>
  <c r="B1084" i="4"/>
  <c r="B1089" i="4"/>
  <c r="B1085" i="4"/>
  <c r="B1087" i="4"/>
  <c r="B1105" i="4" l="1"/>
  <c r="B1100" i="4"/>
  <c r="B1098" i="4"/>
  <c r="B1102" i="4"/>
  <c r="B1096" i="4"/>
  <c r="B1104" i="4"/>
  <c r="B1106" i="4"/>
  <c r="B1095" i="4"/>
  <c r="B1097" i="4"/>
  <c r="B1099" i="4"/>
  <c r="B1101" i="4"/>
  <c r="B1103" i="4"/>
  <c r="B1117" i="4" l="1"/>
  <c r="B1118" i="4"/>
  <c r="B1110" i="4"/>
  <c r="B1115" i="4"/>
  <c r="B1112" i="4"/>
  <c r="B1114" i="4"/>
  <c r="B1116" i="4"/>
  <c r="B1107" i="4"/>
  <c r="B1108" i="4"/>
  <c r="B1113" i="4"/>
  <c r="B1109" i="4"/>
  <c r="B1111" i="4"/>
  <c r="B1129" i="4" l="1"/>
  <c r="B1130" i="4"/>
  <c r="B1128" i="4"/>
  <c r="B1119" i="4"/>
  <c r="B1121" i="4"/>
  <c r="B1123" i="4"/>
  <c r="B1120" i="4"/>
  <c r="B1125" i="4"/>
  <c r="B1126" i="4"/>
  <c r="B1122" i="4"/>
  <c r="B1127" i="4"/>
  <c r="B1124" i="4"/>
  <c r="B1141" i="4" l="1"/>
  <c r="B1142" i="4"/>
  <c r="B1135" i="4"/>
  <c r="B1132" i="4"/>
  <c r="B1137" i="4"/>
  <c r="B1134" i="4"/>
  <c r="B1139" i="4"/>
  <c r="B1136" i="4"/>
  <c r="B1138" i="4"/>
  <c r="B1133" i="4"/>
  <c r="B1140" i="4"/>
  <c r="B1131" i="4"/>
  <c r="B1153" i="4" l="1"/>
  <c r="B1154" i="4"/>
  <c r="B1148" i="4"/>
  <c r="B1150" i="4"/>
  <c r="B1152" i="4"/>
  <c r="B1143" i="4"/>
  <c r="B1145" i="4"/>
  <c r="B1146" i="4"/>
  <c r="B1151" i="4"/>
  <c r="B1147" i="4"/>
  <c r="B1144" i="4"/>
  <c r="B1149" i="4"/>
  <c r="B1165" i="4" l="1"/>
  <c r="B1166" i="4"/>
  <c r="B1155" i="4"/>
  <c r="B1157" i="4"/>
  <c r="B1159" i="4"/>
  <c r="B1156" i="4"/>
  <c r="B1161" i="4"/>
  <c r="B1158" i="4"/>
  <c r="B1163" i="4"/>
  <c r="B1164" i="4"/>
  <c r="B1160" i="4"/>
  <c r="B1162" i="4"/>
  <c r="B1177" i="4" l="1"/>
  <c r="B1178" i="4"/>
  <c r="B1168" i="4"/>
  <c r="B1173" i="4"/>
  <c r="B1170" i="4"/>
  <c r="B1175" i="4"/>
  <c r="B1172" i="4"/>
  <c r="B1174" i="4"/>
  <c r="B1176" i="4"/>
  <c r="B1171" i="4"/>
  <c r="B1167" i="4"/>
  <c r="B1169" i="4"/>
  <c r="B1189" i="4" l="1"/>
  <c r="B1190" i="4"/>
  <c r="B1186" i="4"/>
  <c r="B1188" i="4"/>
  <c r="B1179" i="4"/>
  <c r="B1181" i="4"/>
  <c r="B1183" i="4"/>
  <c r="B1184" i="4"/>
  <c r="B1180" i="4"/>
  <c r="B1185" i="4"/>
  <c r="B1182" i="4"/>
  <c r="B1187" i="4"/>
  <c r="B1201" i="4" l="1"/>
  <c r="B1202" i="4"/>
  <c r="B1198" i="4"/>
  <c r="B1196" i="4"/>
  <c r="B1192" i="4"/>
  <c r="B1200" i="4"/>
  <c r="B1194" i="4"/>
  <c r="B1193" i="4"/>
  <c r="B1195" i="4"/>
  <c r="B1197" i="4"/>
  <c r="B1199" i="4"/>
  <c r="B1191" i="4"/>
  <c r="B1213" i="4" l="1"/>
  <c r="B1214" i="4"/>
  <c r="B1226" i="4" s="1"/>
  <c r="B1204" i="4"/>
  <c r="B1203" i="4"/>
  <c r="B1205" i="4"/>
  <c r="B1206" i="4"/>
  <c r="B1207" i="4"/>
  <c r="B1208" i="4"/>
  <c r="B1209" i="4"/>
  <c r="B1211" i="4"/>
  <c r="B1210" i="4"/>
  <c r="B1212" i="4"/>
  <c r="B1237" i="4" l="1"/>
  <c r="B1236" i="4"/>
  <c r="B1234" i="4"/>
  <c r="B1232" i="4"/>
  <c r="B1230" i="4"/>
  <c r="B1238" i="4"/>
  <c r="B1229" i="4"/>
  <c r="B1227" i="4"/>
  <c r="B1228" i="4"/>
  <c r="B1233" i="4"/>
  <c r="B1231" i="4"/>
  <c r="B1235" i="4"/>
  <c r="B1225" i="4"/>
  <c r="B1224" i="4"/>
  <c r="B1222" i="4"/>
  <c r="B1220" i="4"/>
  <c r="B1216" i="4"/>
  <c r="B1218" i="4"/>
  <c r="B1221" i="4"/>
  <c r="B1223" i="4"/>
  <c r="B1215" i="4"/>
  <c r="B1217" i="4"/>
  <c r="B1219" i="4"/>
  <c r="B1249" i="4" l="1"/>
  <c r="B1246" i="4"/>
  <c r="B1241" i="4"/>
  <c r="B1250" i="4"/>
  <c r="B1248" i="4"/>
  <c r="B1244" i="4"/>
  <c r="B1239" i="4"/>
  <c r="B1240" i="4"/>
  <c r="B1243" i="4"/>
  <c r="B1247" i="4"/>
  <c r="B1242" i="4"/>
  <c r="B1245" i="4"/>
  <c r="B1261" i="4" l="1"/>
  <c r="B1262" i="4"/>
  <c r="B1251" i="4"/>
  <c r="B1259" i="4"/>
  <c r="B1252" i="4"/>
  <c r="B1256" i="4"/>
  <c r="B1260" i="4"/>
  <c r="B1257" i="4"/>
  <c r="B1255" i="4"/>
  <c r="B1254" i="4"/>
  <c r="B1258" i="4"/>
  <c r="B1253" i="4"/>
  <c r="B1273" i="4" l="1"/>
  <c r="B1274" i="4"/>
  <c r="B1264" i="4"/>
  <c r="B1268" i="4"/>
  <c r="B1272" i="4"/>
  <c r="B1265" i="4"/>
  <c r="B1269" i="4"/>
  <c r="B1266" i="4"/>
  <c r="B1270" i="4"/>
  <c r="B1263" i="4"/>
  <c r="B1267" i="4"/>
  <c r="B1271" i="4"/>
  <c r="B1285" i="4" l="1"/>
  <c r="B1286" i="4"/>
  <c r="B1278" i="4"/>
  <c r="B1282" i="4"/>
  <c r="B1275" i="4"/>
  <c r="B1279" i="4"/>
  <c r="B1283" i="4"/>
  <c r="B1276" i="4"/>
  <c r="B1280" i="4"/>
  <c r="B1284" i="4"/>
  <c r="B1277" i="4"/>
  <c r="B1281" i="4"/>
  <c r="B1297" i="4" l="1"/>
  <c r="B1298" i="4"/>
  <c r="B1288" i="4"/>
  <c r="B1292" i="4"/>
  <c r="B1296" i="4"/>
  <c r="B1289" i="4"/>
  <c r="B1293" i="4"/>
  <c r="B1290" i="4"/>
  <c r="B1294" i="4"/>
  <c r="B1287" i="4"/>
  <c r="B1291" i="4"/>
  <c r="B1295" i="4"/>
  <c r="B1309" i="4" l="1"/>
  <c r="B1310" i="4"/>
  <c r="B1302" i="4"/>
  <c r="B1306" i="4"/>
  <c r="B1299" i="4"/>
  <c r="B1303" i="4"/>
  <c r="B1307" i="4"/>
  <c r="B1300" i="4"/>
  <c r="B1304" i="4"/>
  <c r="B1308" i="4"/>
  <c r="B1301" i="4"/>
  <c r="B1305" i="4"/>
  <c r="B1321" i="4" l="1"/>
  <c r="B1322" i="4"/>
  <c r="B1312" i="4"/>
  <c r="B1316" i="4"/>
  <c r="B1320" i="4"/>
  <c r="B1313" i="4"/>
  <c r="B1317" i="4"/>
  <c r="B1314" i="4"/>
  <c r="B1318" i="4"/>
  <c r="B1311" i="4"/>
  <c r="B1315" i="4"/>
  <c r="B1319" i="4"/>
  <c r="B1333" i="4" l="1"/>
  <c r="B1334" i="4"/>
  <c r="B1326" i="4"/>
  <c r="B1330" i="4"/>
  <c r="B1323" i="4"/>
  <c r="B1327" i="4"/>
  <c r="B1331" i="4"/>
  <c r="B1324" i="4"/>
  <c r="B1328" i="4"/>
  <c r="B1332" i="4"/>
  <c r="B1325" i="4"/>
  <c r="B1329" i="4"/>
  <c r="B1345" i="4" l="1"/>
  <c r="B1346" i="4"/>
  <c r="B1336" i="4"/>
  <c r="B1340" i="4"/>
  <c r="B1344" i="4"/>
  <c r="B1337" i="4"/>
  <c r="B1341" i="4"/>
  <c r="B1338" i="4"/>
  <c r="B1342" i="4"/>
  <c r="B1335" i="4"/>
  <c r="B1339" i="4"/>
  <c r="B1343" i="4"/>
  <c r="B1357" i="4" l="1"/>
  <c r="B1358" i="4"/>
  <c r="B1350" i="4"/>
  <c r="B1354" i="4"/>
  <c r="B1347" i="4"/>
  <c r="B1351" i="4"/>
  <c r="B1355" i="4"/>
  <c r="B1348" i="4"/>
  <c r="B1352" i="4"/>
  <c r="B1356" i="4"/>
  <c r="B1349" i="4"/>
  <c r="B1353" i="4"/>
  <c r="B1369" i="4" l="1"/>
  <c r="B1370" i="4"/>
  <c r="B1360" i="4"/>
  <c r="B1364" i="4"/>
  <c r="B1368" i="4"/>
  <c r="B1361" i="4"/>
  <c r="B1365" i="4"/>
  <c r="B1362" i="4"/>
  <c r="B1366" i="4"/>
  <c r="B1359" i="4"/>
  <c r="B1363" i="4"/>
  <c r="B1367" i="4"/>
  <c r="B1381" i="4" l="1"/>
  <c r="B1382" i="4"/>
  <c r="B1374" i="4"/>
  <c r="B1378" i="4"/>
  <c r="B1371" i="4"/>
  <c r="B1375" i="4"/>
  <c r="B1379" i="4"/>
  <c r="B1372" i="4"/>
  <c r="B1376" i="4"/>
  <c r="B1380" i="4"/>
  <c r="B1373" i="4"/>
  <c r="B1377" i="4"/>
  <c r="B1393" i="4" l="1"/>
  <c r="B1394" i="4"/>
  <c r="B1384" i="4"/>
  <c r="B1388" i="4"/>
  <c r="B1392" i="4"/>
  <c r="B1385" i="4"/>
  <c r="B1389" i="4"/>
  <c r="B1386" i="4"/>
  <c r="B1390" i="4"/>
  <c r="B1383" i="4"/>
  <c r="B1387" i="4"/>
  <c r="B1391" i="4"/>
  <c r="B1405" i="4" l="1"/>
  <c r="B1406" i="4"/>
  <c r="B1398" i="4"/>
  <c r="B1402" i="4"/>
  <c r="B1395" i="4"/>
  <c r="B1399" i="4"/>
  <c r="B1403" i="4"/>
  <c r="B1396" i="4"/>
  <c r="B1400" i="4"/>
  <c r="B1404" i="4"/>
  <c r="B1397" i="4"/>
  <c r="B1401" i="4"/>
  <c r="B1417" i="4" l="1"/>
  <c r="B1418" i="4"/>
  <c r="B1408" i="4"/>
  <c r="B1412" i="4"/>
  <c r="B1416" i="4"/>
  <c r="B1409" i="4"/>
  <c r="B1413" i="4"/>
  <c r="B1410" i="4"/>
  <c r="B1414" i="4"/>
  <c r="B1407" i="4"/>
  <c r="B1411" i="4"/>
  <c r="B1415" i="4"/>
  <c r="B1429" i="4" l="1"/>
  <c r="B1430" i="4"/>
  <c r="B1422" i="4"/>
  <c r="B1426" i="4"/>
  <c r="B1419" i="4"/>
  <c r="B1423" i="4"/>
  <c r="B1427" i="4"/>
  <c r="B1420" i="4"/>
  <c r="B1424" i="4"/>
  <c r="B1428" i="4"/>
  <c r="B1421" i="4"/>
  <c r="B1425" i="4"/>
  <c r="B1441" i="4" l="1"/>
  <c r="B1442" i="4"/>
  <c r="B1432" i="4"/>
  <c r="B1436" i="4"/>
  <c r="B1440" i="4"/>
  <c r="B1433" i="4"/>
  <c r="B1437" i="4"/>
  <c r="B1434" i="4"/>
  <c r="B1438" i="4"/>
  <c r="B1431" i="4"/>
  <c r="B1435" i="4"/>
  <c r="B1439" i="4"/>
  <c r="B1453" i="4" l="1"/>
  <c r="B1454" i="4"/>
  <c r="B1446" i="4"/>
  <c r="B1450" i="4"/>
  <c r="B1443" i="4"/>
  <c r="B1447" i="4"/>
  <c r="B1451" i="4"/>
  <c r="B1444" i="4"/>
  <c r="B1448" i="4"/>
  <c r="B1452" i="4"/>
  <c r="B1445" i="4"/>
  <c r="B1449" i="4"/>
  <c r="B1465" i="4" l="1"/>
  <c r="B1466" i="4"/>
  <c r="B1456" i="4"/>
  <c r="B1460" i="4"/>
  <c r="B1464" i="4"/>
  <c r="B1457" i="4"/>
  <c r="B1461" i="4"/>
  <c r="B1458" i="4"/>
  <c r="B1462" i="4"/>
  <c r="B1455" i="4"/>
  <c r="B1459" i="4"/>
  <c r="B1463" i="4"/>
  <c r="B1477" i="4" l="1"/>
  <c r="B1478" i="4"/>
  <c r="B1470" i="4"/>
  <c r="B1474" i="4"/>
  <c r="B1467" i="4"/>
  <c r="B1471" i="4"/>
  <c r="B1475" i="4"/>
  <c r="B1468" i="4"/>
  <c r="B1472" i="4"/>
  <c r="B1476" i="4"/>
  <c r="B1469" i="4"/>
  <c r="B1473" i="4"/>
  <c r="B1489" i="4" l="1"/>
  <c r="B1490" i="4"/>
  <c r="B1480" i="4"/>
  <c r="B1484" i="4"/>
  <c r="B1488" i="4"/>
  <c r="B1481" i="4"/>
  <c r="B1485" i="4"/>
  <c r="B1482" i="4"/>
  <c r="B1486" i="4"/>
  <c r="B1479" i="4"/>
  <c r="B1483" i="4"/>
  <c r="B1487" i="4"/>
  <c r="B1501" i="4" l="1"/>
  <c r="B1502" i="4"/>
  <c r="B1494" i="4"/>
  <c r="B1498" i="4"/>
  <c r="B1491" i="4"/>
  <c r="B1495" i="4"/>
  <c r="B1499" i="4"/>
  <c r="B1492" i="4"/>
  <c r="B1496" i="4"/>
  <c r="B1500" i="4"/>
  <c r="B1493" i="4"/>
  <c r="B1497" i="4"/>
  <c r="B1513" i="4" l="1"/>
  <c r="B1514" i="4"/>
  <c r="B1504" i="4"/>
  <c r="B1508" i="4"/>
  <c r="B1512" i="4"/>
  <c r="B1505" i="4"/>
  <c r="B1509" i="4"/>
  <c r="B1506" i="4"/>
  <c r="B1510" i="4"/>
  <c r="B1503" i="4"/>
  <c r="B1507" i="4"/>
  <c r="B1511" i="4"/>
  <c r="B1525" i="4" l="1"/>
  <c r="B1526" i="4"/>
  <c r="B1518" i="4"/>
  <c r="B1522" i="4"/>
  <c r="B1515" i="4"/>
  <c r="B1519" i="4"/>
  <c r="B1523" i="4"/>
  <c r="B1516" i="4"/>
  <c r="B1520" i="4"/>
  <c r="B1524" i="4"/>
  <c r="B1517" i="4"/>
  <c r="B1521" i="4"/>
  <c r="B1537" i="4" l="1"/>
  <c r="B1538" i="4"/>
  <c r="B1528" i="4"/>
  <c r="B1532" i="4"/>
  <c r="B1536" i="4"/>
  <c r="B1529" i="4"/>
  <c r="B1533" i="4"/>
  <c r="B1530" i="4"/>
  <c r="B1534" i="4"/>
  <c r="B1527" i="4"/>
  <c r="B1531" i="4"/>
  <c r="B1535" i="4"/>
  <c r="B1549" i="4" l="1"/>
  <c r="B1550" i="4"/>
  <c r="B1542" i="4"/>
  <c r="B1546" i="4"/>
  <c r="B1539" i="4"/>
  <c r="B1543" i="4"/>
  <c r="B1547" i="4"/>
  <c r="B1540" i="4"/>
  <c r="B1544" i="4"/>
  <c r="B1548" i="4"/>
  <c r="B1541" i="4"/>
  <c r="B1545" i="4"/>
  <c r="B1561" i="4" l="1"/>
  <c r="B1562" i="4"/>
  <c r="B1552" i="4"/>
  <c r="B1556" i="4"/>
  <c r="B1560" i="4"/>
  <c r="B1553" i="4"/>
  <c r="B1557" i="4"/>
  <c r="B1554" i="4"/>
  <c r="B1558" i="4"/>
  <c r="B1551" i="4"/>
  <c r="B1555" i="4"/>
  <c r="B1559" i="4"/>
  <c r="B1573" i="4" l="1"/>
  <c r="B1574" i="4"/>
  <c r="B1566" i="4"/>
  <c r="B1570" i="4"/>
  <c r="B1563" i="4"/>
  <c r="B1567" i="4"/>
  <c r="B1571" i="4"/>
  <c r="B1564" i="4"/>
  <c r="B1568" i="4"/>
  <c r="B1572" i="4"/>
  <c r="B1565" i="4"/>
  <c r="B1569" i="4"/>
  <c r="B1585" i="4" l="1"/>
  <c r="B1586" i="4"/>
  <c r="B1576" i="4"/>
  <c r="B1580" i="4"/>
  <c r="B1584" i="4"/>
  <c r="B1577" i="4"/>
  <c r="B1581" i="4"/>
  <c r="B1578" i="4"/>
  <c r="B1582" i="4"/>
  <c r="B1575" i="4"/>
  <c r="B1579" i="4"/>
  <c r="B1583" i="4"/>
  <c r="B1597" i="4" l="1"/>
  <c r="B1598" i="4"/>
  <c r="B1590" i="4"/>
  <c r="B1594" i="4"/>
  <c r="B1587" i="4"/>
  <c r="B1591" i="4"/>
  <c r="B1595" i="4"/>
  <c r="B1588" i="4"/>
  <c r="B1592" i="4"/>
  <c r="B1596" i="4"/>
  <c r="B1589" i="4"/>
  <c r="B1593" i="4"/>
  <c r="B1609" i="4" l="1"/>
  <c r="B1610" i="4"/>
  <c r="B1600" i="4"/>
  <c r="B1604" i="4"/>
  <c r="B1608" i="4"/>
  <c r="B1601" i="4"/>
  <c r="B1605" i="4"/>
  <c r="B1602" i="4"/>
  <c r="B1606" i="4"/>
  <c r="B1599" i="4"/>
  <c r="B1603" i="4"/>
  <c r="B1607" i="4"/>
  <c r="B1621" i="4" l="1"/>
  <c r="B1622" i="4"/>
  <c r="B1614" i="4"/>
  <c r="B1618" i="4"/>
  <c r="B1611" i="4"/>
  <c r="B1615" i="4"/>
  <c r="B1619" i="4"/>
  <c r="B1612" i="4"/>
  <c r="B1616" i="4"/>
  <c r="B1620" i="4"/>
  <c r="B1613" i="4"/>
  <c r="B1617" i="4"/>
  <c r="B1633" i="4" l="1"/>
  <c r="B1634" i="4"/>
  <c r="B1624" i="4"/>
  <c r="B1628" i="4"/>
  <c r="B1632" i="4"/>
  <c r="B1625" i="4"/>
  <c r="B1629" i="4"/>
  <c r="B1626" i="4"/>
  <c r="B1630" i="4"/>
  <c r="B1623" i="4"/>
  <c r="B1627" i="4"/>
  <c r="B1631" i="4"/>
  <c r="B1645" i="4" l="1"/>
  <c r="B1646" i="4"/>
  <c r="B1638" i="4"/>
  <c r="B1642" i="4"/>
  <c r="B1635" i="4"/>
  <c r="B1639" i="4"/>
  <c r="B1643" i="4"/>
  <c r="B1636" i="4"/>
  <c r="B1640" i="4"/>
  <c r="B1644" i="4"/>
  <c r="B1637" i="4"/>
  <c r="B1641" i="4"/>
  <c r="B1657" i="4" l="1"/>
  <c r="B1658" i="4"/>
  <c r="B1648" i="4"/>
  <c r="B1652" i="4"/>
  <c r="B1656" i="4"/>
  <c r="B1649" i="4"/>
  <c r="B1653" i="4"/>
  <c r="B1650" i="4"/>
  <c r="B1654" i="4"/>
  <c r="B1647" i="4"/>
  <c r="B1651" i="4"/>
  <c r="B1655" i="4"/>
  <c r="B1669" i="4" l="1"/>
  <c r="B1670" i="4"/>
  <c r="B1660" i="4"/>
  <c r="B1664" i="4"/>
  <c r="B1668" i="4"/>
  <c r="B1661" i="4"/>
  <c r="B1665" i="4"/>
  <c r="B1662" i="4"/>
  <c r="B1666" i="4"/>
  <c r="B1659" i="4"/>
  <c r="B1663" i="4"/>
  <c r="B1667" i="4"/>
  <c r="B1681" i="4" l="1"/>
  <c r="B1682" i="4"/>
  <c r="B1674" i="4"/>
  <c r="B1678" i="4"/>
  <c r="B1671" i="4"/>
  <c r="B1675" i="4"/>
  <c r="B1679" i="4"/>
  <c r="B1672" i="4"/>
  <c r="B1676" i="4"/>
  <c r="B1680" i="4"/>
  <c r="B1673" i="4"/>
  <c r="B1677" i="4"/>
  <c r="B1693" i="4" l="1"/>
  <c r="B1694" i="4"/>
  <c r="B1684" i="4"/>
  <c r="B1688" i="4"/>
  <c r="B1692" i="4"/>
  <c r="B1685" i="4"/>
  <c r="B1689" i="4"/>
  <c r="B1686" i="4"/>
  <c r="B1690" i="4"/>
  <c r="B1683" i="4"/>
  <c r="B1687" i="4"/>
  <c r="B1691" i="4"/>
  <c r="B1705" i="4" l="1"/>
  <c r="B1706" i="4"/>
  <c r="B1698" i="4"/>
  <c r="B1702" i="4"/>
  <c r="B1695" i="4"/>
  <c r="B1699" i="4"/>
  <c r="B1703" i="4"/>
  <c r="B1696" i="4"/>
  <c r="B1700" i="4"/>
  <c r="B1704" i="4"/>
  <c r="B1697" i="4"/>
  <c r="B1701" i="4"/>
  <c r="B1717" i="4" l="1"/>
  <c r="B1718" i="4"/>
  <c r="B1708" i="4"/>
  <c r="B1712" i="4"/>
  <c r="B1716" i="4"/>
  <c r="B1709" i="4"/>
  <c r="B1713" i="4"/>
  <c r="B1710" i="4"/>
  <c r="B1714" i="4"/>
  <c r="B1707" i="4"/>
  <c r="B1711" i="4"/>
  <c r="B1715" i="4"/>
  <c r="B1729" i="4" l="1"/>
  <c r="B1730" i="4"/>
  <c r="B1728" i="4"/>
  <c r="B1726" i="4"/>
  <c r="B1724" i="4"/>
  <c r="B1722" i="4"/>
  <c r="B1720" i="4"/>
  <c r="B1719" i="4"/>
  <c r="B1723" i="4"/>
  <c r="B1727" i="4"/>
  <c r="B1721" i="4"/>
  <c r="B1725" i="4"/>
  <c r="B1741" i="4" l="1"/>
  <c r="B1742" i="4"/>
  <c r="B1732" i="4"/>
  <c r="B1736" i="4"/>
  <c r="B1740" i="4"/>
  <c r="B1733" i="4"/>
  <c r="B1737" i="4"/>
  <c r="B1734" i="4"/>
  <c r="B1738" i="4"/>
  <c r="B1731" i="4"/>
  <c r="B1735" i="4"/>
  <c r="B1739" i="4"/>
  <c r="B1753" i="4" l="1"/>
  <c r="B1754" i="4"/>
  <c r="B1746" i="4"/>
  <c r="B1750" i="4"/>
  <c r="B1743" i="4"/>
  <c r="B1747" i="4"/>
  <c r="B1751" i="4"/>
  <c r="B1744" i="4"/>
  <c r="B1748" i="4"/>
  <c r="B1752" i="4"/>
  <c r="B1745" i="4"/>
  <c r="B1749" i="4"/>
  <c r="B1765" i="4" l="1"/>
  <c r="B1766" i="4"/>
  <c r="B1778" i="4" s="1"/>
  <c r="B1756" i="4"/>
  <c r="B1760" i="4"/>
  <c r="B1764" i="4"/>
  <c r="B1757" i="4"/>
  <c r="B1761" i="4"/>
  <c r="B1758" i="4"/>
  <c r="B1762" i="4"/>
  <c r="B1755" i="4"/>
  <c r="B1759" i="4"/>
  <c r="B1763" i="4"/>
  <c r="B1789" i="4" l="1"/>
  <c r="B1790" i="4"/>
  <c r="B1788" i="4"/>
  <c r="B1779" i="4"/>
  <c r="B1781" i="4"/>
  <c r="B1783" i="4"/>
  <c r="B1780" i="4"/>
  <c r="B1785" i="4"/>
  <c r="B1782" i="4"/>
  <c r="B1787" i="4"/>
  <c r="B1784" i="4"/>
  <c r="B1786" i="4"/>
  <c r="B1777" i="4"/>
  <c r="B1770" i="4"/>
  <c r="B1774" i="4"/>
  <c r="B1767" i="4"/>
  <c r="B1771" i="4"/>
  <c r="B1775" i="4"/>
  <c r="B1768" i="4"/>
  <c r="B1772" i="4"/>
  <c r="B1776" i="4"/>
  <c r="B1769" i="4"/>
  <c r="B1773" i="4"/>
  <c r="B1801" i="4" l="1"/>
  <c r="B1802" i="4"/>
  <c r="B1795" i="4"/>
  <c r="B1792" i="4"/>
  <c r="B1797" i="4"/>
  <c r="B1794" i="4"/>
  <c r="B1799" i="4"/>
  <c r="B1796" i="4"/>
  <c r="B1798" i="4"/>
  <c r="B1800" i="4"/>
  <c r="B1791" i="4"/>
  <c r="B1793" i="4"/>
  <c r="B1813" i="4" l="1"/>
  <c r="B1814" i="4"/>
  <c r="B1808" i="4"/>
  <c r="B1810" i="4"/>
  <c r="B1812" i="4"/>
  <c r="B1803" i="4"/>
  <c r="B1805" i="4"/>
  <c r="B1807" i="4"/>
  <c r="B1804" i="4"/>
  <c r="B1809" i="4"/>
  <c r="B1806" i="4"/>
  <c r="B1811" i="4"/>
  <c r="B1825" i="4" l="1"/>
  <c r="B1826" i="4"/>
  <c r="B1815" i="4"/>
  <c r="B1817" i="4"/>
  <c r="B1819" i="4"/>
  <c r="B1816" i="4"/>
  <c r="B1821" i="4"/>
  <c r="B1818" i="4"/>
  <c r="B1823" i="4"/>
  <c r="B1820" i="4"/>
  <c r="B1822" i="4"/>
  <c r="B1824" i="4"/>
  <c r="B1837" i="4" l="1"/>
  <c r="B1838" i="4"/>
  <c r="B1828" i="4"/>
  <c r="B1833" i="4"/>
  <c r="B1830" i="4"/>
  <c r="B1835" i="4"/>
  <c r="B1832" i="4"/>
  <c r="B1834" i="4"/>
  <c r="B1836" i="4"/>
  <c r="B1827" i="4"/>
  <c r="B1829" i="4"/>
  <c r="B1831" i="4"/>
  <c r="B1849" i="4" l="1"/>
  <c r="B1850" i="4"/>
  <c r="B1846" i="4"/>
  <c r="B1848" i="4"/>
  <c r="B1839" i="4"/>
  <c r="B1841" i="4"/>
  <c r="B1843" i="4"/>
  <c r="B1840" i="4"/>
  <c r="B1845" i="4"/>
  <c r="B1842" i="4"/>
  <c r="B1847" i="4"/>
  <c r="B1844" i="4"/>
  <c r="B1861" i="4" l="1"/>
  <c r="B1858" i="4"/>
  <c r="B1856" i="4"/>
  <c r="B1862" i="4"/>
  <c r="B1852" i="4"/>
  <c r="B1860" i="4"/>
  <c r="B1854" i="4"/>
  <c r="B1855" i="4"/>
  <c r="B1857" i="4"/>
  <c r="B1859" i="4"/>
  <c r="B1851" i="4"/>
  <c r="B1853" i="4"/>
  <c r="B1873" i="4" l="1"/>
  <c r="B1874" i="4"/>
  <c r="B1868" i="4"/>
  <c r="B1870" i="4"/>
  <c r="B1872" i="4"/>
  <c r="B1863" i="4"/>
  <c r="B1865" i="4"/>
  <c r="B1867" i="4"/>
  <c r="B1869" i="4"/>
  <c r="B1864" i="4"/>
  <c r="B1871" i="4"/>
  <c r="B1866" i="4"/>
  <c r="B1885" i="4" l="1"/>
  <c r="B1886" i="4"/>
  <c r="B1877" i="4"/>
  <c r="B1879" i="4"/>
  <c r="B1876" i="4"/>
  <c r="B1881" i="4"/>
  <c r="B1878" i="4"/>
  <c r="B1883" i="4"/>
  <c r="B1880" i="4"/>
  <c r="B1882" i="4"/>
  <c r="B1884" i="4"/>
  <c r="B1875" i="4"/>
  <c r="B1897" i="4" l="1"/>
  <c r="B1898" i="4"/>
  <c r="B1890" i="4"/>
  <c r="B1895" i="4"/>
  <c r="B1892" i="4"/>
  <c r="B1894" i="4"/>
  <c r="B1896" i="4"/>
  <c r="B1887" i="4"/>
  <c r="B1889" i="4"/>
  <c r="B1891" i="4"/>
  <c r="B1888" i="4"/>
  <c r="B1893" i="4"/>
  <c r="B1909" i="4" l="1"/>
  <c r="B1910" i="4"/>
  <c r="B1908" i="4"/>
  <c r="B1899" i="4"/>
  <c r="B1901" i="4"/>
  <c r="B1903" i="4"/>
  <c r="B1900" i="4"/>
  <c r="B1905" i="4"/>
  <c r="B1902" i="4"/>
  <c r="B1907" i="4"/>
  <c r="B1904" i="4"/>
  <c r="B1906" i="4"/>
  <c r="B1921" i="4" l="1"/>
  <c r="B1922" i="4"/>
  <c r="B1915" i="4"/>
  <c r="B1912" i="4"/>
  <c r="B1917" i="4"/>
  <c r="B1914" i="4"/>
  <c r="B1919" i="4"/>
  <c r="B1916" i="4"/>
  <c r="B1918" i="4"/>
  <c r="B1920" i="4"/>
  <c r="B1911" i="4"/>
  <c r="B1913" i="4"/>
  <c r="B1933" i="4" l="1"/>
  <c r="B1934" i="4"/>
  <c r="B1928" i="4"/>
  <c r="B1930" i="4"/>
  <c r="B1932" i="4"/>
  <c r="B1923" i="4"/>
  <c r="B1925" i="4"/>
  <c r="B1927" i="4"/>
  <c r="B1924" i="4"/>
  <c r="B1929" i="4"/>
  <c r="B1926" i="4"/>
  <c r="B1931" i="4"/>
  <c r="B1945" i="4" l="1"/>
  <c r="B1946" i="4"/>
  <c r="B1935" i="4"/>
  <c r="B1937" i="4"/>
  <c r="B1939" i="4"/>
  <c r="B1936" i="4"/>
  <c r="B1941" i="4"/>
  <c r="B1938" i="4"/>
  <c r="B1943" i="4"/>
  <c r="B1940" i="4"/>
  <c r="B1942" i="4"/>
  <c r="B1944" i="4"/>
  <c r="B1957" i="4" l="1"/>
  <c r="B1958" i="4"/>
  <c r="B1970" i="4" s="1"/>
  <c r="B1948" i="4"/>
  <c r="B1953" i="4"/>
  <c r="B1950" i="4"/>
  <c r="B1955" i="4"/>
  <c r="B1952" i="4"/>
  <c r="B1954" i="4"/>
  <c r="B1956" i="4"/>
  <c r="B1947" i="4"/>
  <c r="B1949" i="4"/>
  <c r="B1951" i="4"/>
  <c r="B1973" i="4" l="1"/>
  <c r="B1979" i="4"/>
  <c r="B1972" i="4"/>
  <c r="B1982" i="4"/>
  <c r="B1974" i="4"/>
  <c r="B1980" i="4"/>
  <c r="B1975" i="4"/>
  <c r="B1971" i="4"/>
  <c r="B1978" i="4"/>
  <c r="B1977" i="4"/>
  <c r="B1981" i="4"/>
  <c r="B1976" i="4"/>
  <c r="B1969" i="4"/>
  <c r="B1966" i="4"/>
  <c r="B1968" i="4"/>
  <c r="B1959" i="4"/>
  <c r="B1961" i="4"/>
  <c r="B1963" i="4"/>
  <c r="B1960" i="4"/>
  <c r="B1965" i="4"/>
  <c r="B1962" i="4"/>
  <c r="B1967" i="4"/>
  <c r="B1964" i="4"/>
  <c r="B1986" i="4" l="1"/>
  <c r="B1991" i="4"/>
  <c r="B1985" i="4"/>
  <c r="B1994" i="4"/>
  <c r="B1989" i="4"/>
  <c r="B1984" i="4"/>
  <c r="B1993" i="4"/>
  <c r="B1983" i="4"/>
  <c r="B1992" i="4"/>
  <c r="B1988" i="4"/>
  <c r="B1990" i="4"/>
  <c r="B1987" i="4"/>
  <c r="B1998" i="4" l="1"/>
  <c r="B1995" i="4"/>
  <c r="B2003" i="4"/>
  <c r="B1996" i="4"/>
  <c r="B2006" i="4"/>
  <c r="B1999" i="4"/>
  <c r="B2002" i="4"/>
  <c r="B2004" i="4"/>
  <c r="B2001" i="4"/>
  <c r="B2000" i="4"/>
  <c r="B1997" i="4"/>
  <c r="B2005" i="4"/>
  <c r="B2016" i="4" l="1"/>
  <c r="B2015" i="4"/>
  <c r="B2010" i="4"/>
  <c r="B2008" i="4"/>
  <c r="B2017" i="4"/>
  <c r="B2013" i="4"/>
  <c r="B2007" i="4"/>
  <c r="B2009" i="4"/>
  <c r="B2014" i="4"/>
  <c r="B2018" i="4"/>
  <c r="B2012" i="4"/>
  <c r="B2011" i="4"/>
  <c r="B2023" i="4" l="1"/>
  <c r="B2027" i="4"/>
  <c r="B2022" i="4"/>
  <c r="B2030" i="4"/>
  <c r="B2019" i="4"/>
  <c r="B2025" i="4"/>
  <c r="B2029" i="4"/>
  <c r="B2020" i="4"/>
  <c r="B2028" i="4"/>
  <c r="B2021" i="4"/>
  <c r="B2026" i="4"/>
  <c r="B2024" i="4"/>
  <c r="B2037" i="4" l="1"/>
  <c r="B2039" i="4"/>
  <c r="B2038" i="4"/>
  <c r="B2042" i="4"/>
  <c r="B2034" i="4"/>
  <c r="B2031" i="4"/>
  <c r="B2041" i="4"/>
  <c r="B2033" i="4"/>
  <c r="B2035" i="4"/>
  <c r="B2032" i="4"/>
  <c r="B2040" i="4"/>
  <c r="B2036" i="4"/>
  <c r="B2046" i="4" l="1"/>
  <c r="B2050" i="4"/>
  <c r="B2054" i="4"/>
  <c r="B2043" i="4"/>
  <c r="B2053" i="4"/>
  <c r="B2044" i="4"/>
  <c r="B2045" i="4"/>
  <c r="B2051" i="4"/>
  <c r="B2048" i="4"/>
  <c r="B2047" i="4"/>
  <c r="B2049" i="4"/>
  <c r="B2052" i="4"/>
  <c r="B2058" i="4" l="1"/>
  <c r="B2063" i="4"/>
  <c r="B2057" i="4"/>
  <c r="B2066" i="4"/>
  <c r="B2061" i="4"/>
  <c r="B2056" i="4"/>
  <c r="B2065" i="4"/>
  <c r="B2055" i="4"/>
  <c r="B2064" i="4"/>
  <c r="B2062" i="4"/>
  <c r="B2060" i="4"/>
  <c r="B2059" i="4"/>
  <c r="B2070" i="4" l="1"/>
  <c r="B2067" i="4"/>
  <c r="B2078" i="4"/>
  <c r="B2068" i="4"/>
  <c r="B2075" i="4"/>
  <c r="B2076" i="4"/>
  <c r="B2072" i="4"/>
  <c r="B2073" i="4"/>
  <c r="B2069" i="4"/>
  <c r="B2074" i="4"/>
  <c r="B2077" i="4"/>
  <c r="B2071" i="4"/>
  <c r="B2082" i="4" l="1"/>
  <c r="B2090" i="4"/>
  <c r="B2080" i="4"/>
  <c r="B2084" i="4"/>
  <c r="B2079" i="4"/>
  <c r="B2087" i="4"/>
  <c r="B2085" i="4"/>
  <c r="B2088" i="4"/>
  <c r="B2081" i="4"/>
  <c r="B2086" i="4"/>
  <c r="B2089" i="4"/>
  <c r="B2083" i="4"/>
  <c r="B2101" i="4" l="1"/>
  <c r="B2102" i="4"/>
  <c r="B2094" i="4"/>
  <c r="B2096" i="4"/>
  <c r="B2091" i="4"/>
  <c r="B2100" i="4"/>
  <c r="B2092" i="4"/>
  <c r="B2098" i="4"/>
  <c r="B2093" i="4"/>
  <c r="B2097" i="4"/>
  <c r="B2095" i="4"/>
  <c r="B2099" i="4"/>
  <c r="B2113" i="4" l="1"/>
  <c r="B2114" i="4"/>
  <c r="B2107" i="4"/>
  <c r="B2104" i="4"/>
  <c r="B2109" i="4"/>
  <c r="B2108" i="4"/>
  <c r="B2106" i="4"/>
  <c r="B2110" i="4"/>
  <c r="B2112" i="4"/>
  <c r="B2103" i="4"/>
  <c r="B2105" i="4"/>
  <c r="B2111" i="4"/>
  <c r="B2125" i="4" l="1"/>
  <c r="B2120" i="4"/>
  <c r="B2122" i="4"/>
  <c r="B2115" i="4"/>
  <c r="B2116" i="4"/>
  <c r="B2118" i="4"/>
  <c r="B2124" i="4"/>
  <c r="B2117" i="4"/>
  <c r="B2119" i="4"/>
  <c r="B2121" i="4"/>
  <c r="B2123" i="4"/>
  <c r="B2126" i="4"/>
  <c r="B2138" i="4" l="1"/>
  <c r="B2136" i="4"/>
  <c r="B2135" i="4"/>
  <c r="B2127" i="4"/>
  <c r="B2132" i="4"/>
  <c r="B2137" i="4"/>
  <c r="B2130" i="4"/>
  <c r="B2131" i="4"/>
  <c r="B2133" i="4"/>
  <c r="B2129" i="4"/>
  <c r="B2128" i="4"/>
  <c r="B2134" i="4"/>
  <c r="B2149" i="4" l="1"/>
  <c r="B2150" i="4"/>
  <c r="B2141" i="4"/>
  <c r="B2143" i="4"/>
  <c r="B2142" i="4"/>
  <c r="B2147" i="4"/>
  <c r="B2140" i="4"/>
  <c r="B2146" i="4"/>
  <c r="B2139" i="4"/>
  <c r="B2148" i="4"/>
  <c r="B2145" i="4"/>
  <c r="B2144" i="4"/>
  <c r="B2161" i="4" l="1"/>
  <c r="B2162" i="4"/>
  <c r="B2154" i="4"/>
  <c r="B2159" i="4"/>
  <c r="B2156" i="4"/>
  <c r="B2160" i="4"/>
  <c r="B2158" i="4"/>
  <c r="B2153" i="4"/>
  <c r="B2151" i="4"/>
  <c r="B2152" i="4"/>
  <c r="B2155" i="4"/>
  <c r="B2157" i="4"/>
  <c r="B2173" i="4" l="1"/>
  <c r="B2174" i="4"/>
  <c r="B2172" i="4"/>
  <c r="B2163" i="4"/>
  <c r="B2167" i="4"/>
  <c r="B2166" i="4"/>
  <c r="B2170" i="4"/>
  <c r="B2168" i="4"/>
  <c r="B2165" i="4"/>
  <c r="B2169" i="4"/>
  <c r="B2171" i="4"/>
  <c r="B2164" i="4"/>
  <c r="B2185" i="4" l="1"/>
  <c r="B2186" i="4"/>
  <c r="B2179" i="4"/>
  <c r="B2181" i="4"/>
  <c r="B2176" i="4"/>
  <c r="B2180" i="4"/>
  <c r="B2178" i="4"/>
  <c r="B2184" i="4"/>
  <c r="B2182" i="4"/>
  <c r="B2175" i="4"/>
  <c r="B2177" i="4"/>
  <c r="B2183" i="4"/>
  <c r="B2197" i="4" l="1"/>
  <c r="B2198" i="4"/>
  <c r="B2192" i="4"/>
  <c r="B2194" i="4"/>
  <c r="B2187" i="4"/>
  <c r="B2195" i="4"/>
  <c r="B2188" i="4"/>
  <c r="B2196" i="4"/>
  <c r="B2190" i="4"/>
  <c r="B2189" i="4"/>
  <c r="B2191" i="4"/>
  <c r="B2193" i="4"/>
  <c r="B2209" i="4" l="1"/>
  <c r="B2210" i="4"/>
  <c r="B2199" i="4"/>
  <c r="B2201" i="4"/>
  <c r="B2200" i="4"/>
  <c r="B2205" i="4"/>
  <c r="B2207" i="4"/>
  <c r="B2204" i="4"/>
  <c r="B2202" i="4"/>
  <c r="B2206" i="4"/>
  <c r="B2208" i="4"/>
  <c r="B2203" i="4"/>
  <c r="B2221" i="4" l="1"/>
  <c r="B2222" i="4"/>
  <c r="B2212" i="4"/>
  <c r="B2217" i="4"/>
  <c r="B2214" i="4"/>
  <c r="B2219" i="4"/>
  <c r="B2218" i="4"/>
  <c r="B2213" i="4"/>
  <c r="B2215" i="4"/>
  <c r="B2216" i="4"/>
  <c r="B2220" i="4"/>
  <c r="B2211" i="4"/>
  <c r="B2233" i="4" l="1"/>
  <c r="B2234" i="4"/>
  <c r="B2230" i="4"/>
  <c r="B2232" i="4"/>
  <c r="B2225" i="4"/>
  <c r="B2223" i="4"/>
  <c r="B2229" i="4"/>
  <c r="B2231" i="4"/>
  <c r="B2227" i="4"/>
  <c r="B2224" i="4"/>
  <c r="B2226" i="4"/>
  <c r="B2228" i="4"/>
  <c r="B2245" i="4" l="1"/>
  <c r="B2246" i="4"/>
  <c r="B2237" i="4"/>
  <c r="B2239" i="4"/>
  <c r="B2238" i="4"/>
  <c r="B2243" i="4"/>
  <c r="B2242" i="4"/>
  <c r="B2235" i="4"/>
  <c r="B2241" i="4"/>
  <c r="B2244" i="4"/>
  <c r="B2236" i="4"/>
  <c r="B2240" i="4"/>
  <c r="B2257" i="4" l="1"/>
  <c r="B2258" i="4"/>
  <c r="B2250" i="4"/>
  <c r="B2255" i="4"/>
  <c r="B2252" i="4"/>
  <c r="B2256" i="4"/>
  <c r="B2254" i="4"/>
  <c r="B2249" i="4"/>
  <c r="B2253" i="4"/>
  <c r="B2251" i="4"/>
  <c r="B2247" i="4"/>
  <c r="B2248" i="4"/>
  <c r="B2269" i="4" l="1"/>
  <c r="B2270" i="4"/>
  <c r="B2268" i="4"/>
  <c r="B2259" i="4"/>
  <c r="B2263" i="4"/>
  <c r="B2262" i="4"/>
  <c r="B2266" i="4"/>
  <c r="B2265" i="4"/>
  <c r="B2261" i="4"/>
  <c r="B2264" i="4"/>
  <c r="B2267" i="4"/>
  <c r="B2260" i="4"/>
  <c r="B2281" i="4" l="1"/>
  <c r="B2282" i="4"/>
  <c r="B2275" i="4"/>
  <c r="B2272" i="4"/>
  <c r="B2277" i="4"/>
  <c r="B2276" i="4"/>
  <c r="B2274" i="4"/>
  <c r="B2280" i="4"/>
  <c r="B2273" i="4"/>
  <c r="B2271" i="4"/>
  <c r="B2278" i="4"/>
  <c r="B2279" i="4"/>
  <c r="B2293" i="4" l="1"/>
  <c r="B2294" i="4"/>
  <c r="B2288" i="4"/>
  <c r="B2290" i="4"/>
  <c r="B2283" i="4"/>
  <c r="B2284" i="4"/>
  <c r="B2292" i="4"/>
  <c r="B2287" i="4"/>
  <c r="B2285" i="4"/>
  <c r="B2289" i="4"/>
  <c r="B2291" i="4"/>
  <c r="B2286" i="4"/>
  <c r="B2305" i="4" l="1"/>
  <c r="B2306" i="4"/>
  <c r="B2304" i="4"/>
  <c r="B2295" i="4"/>
  <c r="B2297" i="4"/>
  <c r="B2299" i="4"/>
  <c r="B2296" i="4"/>
  <c r="B2301" i="4"/>
  <c r="B2300" i="4"/>
  <c r="B2302" i="4"/>
  <c r="B2298" i="4"/>
  <c r="B2303" i="4"/>
  <c r="B2317" i="4" l="1"/>
  <c r="B2318" i="4"/>
  <c r="B2311" i="4"/>
  <c r="B2308" i="4"/>
  <c r="B2313" i="4"/>
  <c r="B2310" i="4"/>
  <c r="B2315" i="4"/>
  <c r="B2312" i="4"/>
  <c r="B2314" i="4"/>
  <c r="B2307" i="4"/>
  <c r="B2309" i="4"/>
  <c r="B2316" i="4"/>
  <c r="B2329" i="4" l="1"/>
  <c r="B2320" i="4"/>
  <c r="B2328" i="4"/>
  <c r="B2322" i="4"/>
  <c r="B2326" i="4"/>
  <c r="B2330" i="4"/>
  <c r="B2324" i="4"/>
  <c r="B2319" i="4"/>
  <c r="B2321" i="4"/>
  <c r="B2325" i="4"/>
  <c r="B2327" i="4"/>
  <c r="B2323" i="4"/>
  <c r="B2341" i="4" l="1"/>
  <c r="B2342" i="4"/>
  <c r="B2335" i="4"/>
  <c r="B2332" i="4"/>
  <c r="B2337" i="4"/>
  <c r="B2334" i="4"/>
  <c r="B2339" i="4"/>
  <c r="B2336" i="4"/>
  <c r="B2338" i="4"/>
  <c r="B2331" i="4"/>
  <c r="B2333" i="4"/>
  <c r="B2340" i="4"/>
  <c r="B2353" i="4" l="1"/>
  <c r="B2354" i="4"/>
  <c r="B2348" i="4"/>
  <c r="B2350" i="4"/>
  <c r="B2352" i="4"/>
  <c r="B2343" i="4"/>
  <c r="B2345" i="4"/>
  <c r="B2344" i="4"/>
  <c r="B2349" i="4"/>
  <c r="B2346" i="4"/>
  <c r="B2351" i="4"/>
  <c r="B2347" i="4"/>
  <c r="B2365" i="4" l="1"/>
  <c r="B2366" i="4"/>
  <c r="B2355" i="4"/>
  <c r="B2357" i="4"/>
  <c r="B2359" i="4"/>
  <c r="B2356" i="4"/>
  <c r="B2361" i="4"/>
  <c r="B2358" i="4"/>
  <c r="B2363" i="4"/>
  <c r="B2362" i="4"/>
  <c r="B2364" i="4"/>
  <c r="B2360" i="4"/>
  <c r="B2377" i="4" l="1"/>
  <c r="B2374" i="4"/>
  <c r="B2378" i="4"/>
  <c r="B2370" i="4"/>
  <c r="B2376" i="4"/>
  <c r="B2368" i="4"/>
  <c r="B2372" i="4"/>
  <c r="B2373" i="4"/>
  <c r="B2375" i="4"/>
  <c r="B2369" i="4"/>
  <c r="B2371" i="4"/>
  <c r="B2367" i="4"/>
  <c r="B2389" i="4" l="1"/>
  <c r="B2390" i="4"/>
  <c r="B2379" i="4"/>
  <c r="B2381" i="4"/>
  <c r="B2383" i="4"/>
  <c r="B2380" i="4"/>
  <c r="B2385" i="4"/>
  <c r="B2382" i="4"/>
  <c r="B2387" i="4"/>
  <c r="B2386" i="4"/>
  <c r="B2388" i="4"/>
  <c r="B2384" i="4"/>
  <c r="B2401" i="4" l="1"/>
  <c r="B2402" i="4"/>
  <c r="B2414" i="4" s="1"/>
  <c r="B2394" i="4"/>
  <c r="B2399" i="4"/>
  <c r="B2396" i="4"/>
  <c r="B2398" i="4"/>
  <c r="B2400" i="4"/>
  <c r="B2391" i="4"/>
  <c r="B2395" i="4"/>
  <c r="B2392" i="4"/>
  <c r="B2397" i="4"/>
  <c r="B2393" i="4"/>
  <c r="B2422" i="4" l="1"/>
  <c r="B2415" i="4"/>
  <c r="B2417" i="4"/>
  <c r="B2421" i="4"/>
  <c r="B2419" i="4"/>
  <c r="B2423" i="4"/>
  <c r="B2418" i="4"/>
  <c r="B2420" i="4"/>
  <c r="B2425" i="4"/>
  <c r="B2426" i="4"/>
  <c r="B2424" i="4"/>
  <c r="B2416" i="4"/>
  <c r="B2413" i="4"/>
  <c r="B2412" i="4"/>
  <c r="B2403" i="4"/>
  <c r="B2405" i="4"/>
  <c r="B2407" i="4"/>
  <c r="B2404" i="4"/>
  <c r="B2409" i="4"/>
  <c r="B2408" i="4"/>
  <c r="B2410" i="4"/>
  <c r="B2411" i="4"/>
  <c r="B2406" i="4"/>
  <c r="B2428" i="4" l="1"/>
  <c r="B2438" i="4"/>
  <c r="B2435" i="4"/>
  <c r="B2437" i="4"/>
  <c r="B2431" i="4"/>
  <c r="B2433" i="4"/>
  <c r="B2436" i="4"/>
  <c r="B2429" i="4"/>
  <c r="B2434" i="4"/>
  <c r="B2427" i="4"/>
  <c r="B2432" i="4"/>
  <c r="B2430" i="4"/>
  <c r="B2447" i="4" l="1"/>
  <c r="B2440" i="4"/>
  <c r="B2445" i="4"/>
  <c r="B2443" i="4"/>
  <c r="B2441" i="4"/>
  <c r="B2439" i="4"/>
  <c r="B2446" i="4"/>
  <c r="B2448" i="4"/>
  <c r="B2450" i="4"/>
  <c r="B2444" i="4"/>
  <c r="B2449" i="4"/>
  <c r="B2442" i="4"/>
  <c r="B2459" i="4" l="1"/>
  <c r="B2462" i="4"/>
  <c r="B2457" i="4"/>
  <c r="B2461" i="4"/>
  <c r="B2451" i="4"/>
  <c r="B2453" i="4"/>
  <c r="B2455" i="4"/>
  <c r="B2460" i="4"/>
  <c r="B2452" i="4"/>
  <c r="B2458" i="4"/>
  <c r="B2456" i="4"/>
  <c r="B2454" i="4"/>
  <c r="B2470" i="4" l="1"/>
  <c r="B2468" i="4"/>
  <c r="B2466" i="4"/>
  <c r="B2474" i="4"/>
  <c r="B2464" i="4"/>
  <c r="B2473" i="4"/>
  <c r="B2463" i="4"/>
  <c r="B2471" i="4"/>
  <c r="B2467" i="4"/>
  <c r="B2469" i="4"/>
  <c r="B2465" i="4"/>
  <c r="B2472" i="4"/>
  <c r="B2480" i="4" l="1"/>
  <c r="B2475" i="4"/>
  <c r="B2478" i="4"/>
  <c r="B2476" i="4"/>
  <c r="B2484" i="4"/>
  <c r="B2482" i="4"/>
  <c r="B2486" i="4"/>
  <c r="B2481" i="4"/>
  <c r="B2485" i="4"/>
  <c r="B2479" i="4"/>
  <c r="B2483" i="4"/>
  <c r="B2477" i="4"/>
  <c r="B2489" i="4" l="1"/>
  <c r="B2487" i="4"/>
  <c r="B2498" i="4"/>
  <c r="B2496" i="4"/>
  <c r="B2497" i="4"/>
  <c r="B2494" i="4"/>
  <c r="B2493" i="4"/>
  <c r="B2492" i="4"/>
  <c r="B2491" i="4"/>
  <c r="B2490" i="4"/>
  <c r="B2495" i="4"/>
  <c r="B2488" i="4"/>
  <c r="B2508" i="4" l="1"/>
  <c r="B2504" i="4"/>
  <c r="B2506" i="4"/>
  <c r="B2502" i="4"/>
  <c r="B2505" i="4"/>
  <c r="B2500" i="4"/>
  <c r="B2503" i="4"/>
  <c r="B2507" i="4"/>
  <c r="B2509" i="4"/>
  <c r="B2501" i="4"/>
  <c r="B2499" i="4"/>
  <c r="B2510" i="4"/>
  <c r="B2522" i="4" l="1"/>
  <c r="B2518" i="4"/>
  <c r="B2521" i="4"/>
  <c r="B2516" i="4"/>
  <c r="B2519" i="4"/>
  <c r="B2514" i="4"/>
  <c r="B2517" i="4"/>
  <c r="B2512" i="4"/>
  <c r="B2520" i="4"/>
  <c r="B2515" i="4"/>
  <c r="B2513" i="4"/>
  <c r="B2511" i="4"/>
  <c r="B2532" i="4" l="1"/>
  <c r="B2531" i="4"/>
  <c r="B2533" i="4"/>
  <c r="B2530" i="4"/>
  <c r="B2529" i="4"/>
  <c r="B2528" i="4"/>
  <c r="B2527" i="4"/>
  <c r="B2526" i="4"/>
  <c r="B2525" i="4"/>
  <c r="B2524" i="4"/>
  <c r="B2523" i="4"/>
  <c r="B2534" i="4"/>
  <c r="B2544" i="4" l="1"/>
  <c r="B2541" i="4"/>
  <c r="B2546" i="4"/>
  <c r="B2542" i="4"/>
  <c r="B2539" i="4"/>
  <c r="B2540" i="4"/>
  <c r="B2537" i="4"/>
  <c r="B2538" i="4"/>
  <c r="B2535" i="4"/>
  <c r="B2536" i="4"/>
  <c r="B2545" i="4"/>
  <c r="B2543" i="4"/>
  <c r="B2556" i="4" l="1"/>
  <c r="B2553" i="4"/>
  <c r="B2554" i="4"/>
  <c r="B2551" i="4"/>
  <c r="B2552" i="4"/>
  <c r="B2549" i="4"/>
  <c r="B2555" i="4"/>
  <c r="B2550" i="4"/>
  <c r="B2547" i="4"/>
  <c r="B2548" i="4"/>
  <c r="B2558" i="4"/>
  <c r="B2557" i="4"/>
  <c r="B2568" i="4" l="1"/>
  <c r="B2565" i="4"/>
  <c r="B2562" i="4"/>
  <c r="B2569" i="4"/>
  <c r="B2566" i="4"/>
  <c r="B2563" i="4"/>
  <c r="B2567" i="4"/>
  <c r="B2564" i="4"/>
  <c r="B2561" i="4"/>
  <c r="B2559" i="4"/>
  <c r="B2560" i="4"/>
  <c r="B2570" i="4"/>
  <c r="B2580" i="4" l="1"/>
  <c r="B2577" i="4"/>
  <c r="B2578" i="4"/>
  <c r="B2575" i="4"/>
  <c r="B2579" i="4"/>
  <c r="B2576" i="4"/>
  <c r="B2573" i="4"/>
  <c r="B2574" i="4"/>
  <c r="B2571" i="4"/>
  <c r="B2572" i="4"/>
  <c r="B2582" i="4"/>
  <c r="B2581" i="4"/>
  <c r="B2592" i="4" l="1"/>
  <c r="B2589" i="4"/>
  <c r="B2590" i="4"/>
  <c r="B2587" i="4"/>
  <c r="B2588" i="4"/>
  <c r="B2585" i="4"/>
  <c r="B2586" i="4"/>
  <c r="B2583" i="4"/>
  <c r="B2584" i="4"/>
  <c r="B2594" i="4"/>
  <c r="B2593" i="4"/>
  <c r="B2591" i="4"/>
  <c r="B2606" i="4" l="1"/>
  <c r="B2602" i="4"/>
  <c r="B2595" i="4"/>
  <c r="B2600" i="4"/>
  <c r="B2598" i="4"/>
  <c r="B2596" i="4"/>
  <c r="B2603" i="4"/>
  <c r="B2601" i="4"/>
  <c r="B2605" i="4"/>
  <c r="B2599" i="4"/>
  <c r="B2604" i="4"/>
  <c r="B2597" i="4"/>
  <c r="B2616" i="4" l="1"/>
  <c r="B2615" i="4"/>
  <c r="B2609" i="4"/>
  <c r="B2613" i="4"/>
  <c r="B2618" i="4"/>
  <c r="B2630" i="4" s="1"/>
  <c r="B2607" i="4"/>
  <c r="B2617" i="4"/>
  <c r="B2611" i="4"/>
  <c r="B2610" i="4"/>
  <c r="B2612" i="4"/>
  <c r="B2614" i="4"/>
  <c r="B2608" i="4"/>
  <c r="B2641" i="4" l="1"/>
  <c r="B2634" i="4"/>
  <c r="B2631" i="4"/>
  <c r="B2640" i="4"/>
  <c r="B2638" i="4"/>
  <c r="B2642" i="4"/>
  <c r="B2633" i="4"/>
  <c r="B2636" i="4"/>
  <c r="B2637" i="4"/>
  <c r="B2639" i="4"/>
  <c r="B2632" i="4"/>
  <c r="B2635" i="4"/>
  <c r="B2629" i="4"/>
  <c r="B2621" i="4"/>
  <c r="B2625" i="4"/>
  <c r="B2619" i="4"/>
  <c r="B2623" i="4"/>
  <c r="B2627" i="4"/>
  <c r="B2628" i="4"/>
  <c r="B2620" i="4"/>
  <c r="B2622" i="4"/>
  <c r="B2624" i="4"/>
  <c r="B2626" i="4"/>
  <c r="B2653" i="4" l="1"/>
  <c r="B2654" i="4"/>
  <c r="B2645" i="4"/>
  <c r="B2652" i="4"/>
  <c r="B2647" i="4"/>
  <c r="B2643" i="4"/>
  <c r="B2644" i="4"/>
  <c r="B2646" i="4"/>
  <c r="B2651" i="4"/>
  <c r="B2648" i="4"/>
  <c r="B2650" i="4"/>
  <c r="B2649" i="4"/>
  <c r="B2665" i="4" l="1"/>
  <c r="B2666" i="4"/>
  <c r="B2660" i="4"/>
  <c r="B2662" i="4"/>
  <c r="B2655" i="4"/>
  <c r="B2657" i="4"/>
  <c r="B2659" i="4"/>
  <c r="B2656" i="4"/>
  <c r="B2661" i="4"/>
  <c r="B2658" i="4"/>
  <c r="B2663" i="4"/>
  <c r="B2664" i="4"/>
  <c r="B2677" i="4" l="1"/>
  <c r="B2676" i="4"/>
  <c r="B2670" i="4"/>
  <c r="B2678" i="4"/>
  <c r="B2672" i="4"/>
  <c r="B2668" i="4"/>
  <c r="B2674" i="4"/>
  <c r="B2667" i="4"/>
  <c r="B2669" i="4"/>
  <c r="B2673" i="4"/>
  <c r="B2675" i="4"/>
  <c r="B2671" i="4"/>
  <c r="B2689" i="4" l="1"/>
  <c r="B2690" i="4"/>
  <c r="B2684" i="4"/>
  <c r="B2686" i="4"/>
  <c r="B2679" i="4"/>
  <c r="B2681" i="4"/>
  <c r="B2683" i="4"/>
  <c r="B2680" i="4"/>
  <c r="B2685" i="4"/>
  <c r="B2682" i="4"/>
  <c r="B2687" i="4"/>
  <c r="B2688" i="4"/>
  <c r="B2691" i="4" l="1"/>
  <c r="B2693" i="4"/>
  <c r="B2700" i="4"/>
  <c r="B2696" i="4"/>
  <c r="B2702" i="4"/>
  <c r="B2698" i="4"/>
  <c r="B2694" i="4"/>
  <c r="B2692" i="4"/>
  <c r="B2701" i="4"/>
  <c r="B2697" i="4"/>
  <c r="B2699" i="4"/>
  <c r="B2695" i="4"/>
  <c r="B2713" i="4" l="1"/>
  <c r="B2714" i="4"/>
  <c r="B2703" i="4"/>
  <c r="B2705" i="4"/>
  <c r="B2704" i="4"/>
  <c r="B2709" i="4"/>
  <c r="B2706" i="4"/>
  <c r="B2711" i="4"/>
  <c r="B2708" i="4"/>
  <c r="B2710" i="4"/>
  <c r="B2712" i="4"/>
  <c r="B2707" i="4"/>
  <c r="B2725" i="4" l="1"/>
  <c r="B2726" i="4"/>
  <c r="B2720" i="4"/>
  <c r="B2716" i="4"/>
  <c r="B2718" i="4"/>
  <c r="B2722" i="4"/>
  <c r="B2721" i="4"/>
  <c r="B2723" i="4"/>
  <c r="B2724" i="4"/>
  <c r="B2715" i="4"/>
  <c r="B2717" i="4"/>
  <c r="B2719" i="4"/>
  <c r="B2737" i="4" l="1"/>
  <c r="B2738" i="4"/>
  <c r="B2729" i="4"/>
  <c r="B2731" i="4"/>
  <c r="B2730" i="4"/>
  <c r="B2735" i="4"/>
  <c r="B2732" i="4"/>
  <c r="B2734" i="4"/>
  <c r="B2728" i="4"/>
  <c r="B2736" i="4"/>
  <c r="B2727" i="4"/>
  <c r="B2733" i="4"/>
  <c r="B2749" i="4" l="1"/>
  <c r="B2750" i="4"/>
  <c r="B2742" i="4"/>
  <c r="B2747" i="4"/>
  <c r="B2744" i="4"/>
  <c r="B2748" i="4"/>
  <c r="B2739" i="4"/>
  <c r="B2741" i="4"/>
  <c r="B2743" i="4"/>
  <c r="B2740" i="4"/>
  <c r="B2745" i="4"/>
  <c r="B2746" i="4"/>
  <c r="B2761" i="4" l="1"/>
  <c r="B2762" i="4"/>
  <c r="B2760" i="4"/>
  <c r="B2751" i="4"/>
  <c r="B2755" i="4"/>
  <c r="B2752" i="4"/>
  <c r="B2757" i="4"/>
  <c r="B2754" i="4"/>
  <c r="B2759" i="4"/>
  <c r="B2756" i="4"/>
  <c r="B2758" i="4"/>
  <c r="B2753" i="4"/>
  <c r="B2773" i="4" l="1"/>
  <c r="B2774" i="4"/>
  <c r="B2767" i="4"/>
  <c r="B2764" i="4"/>
  <c r="B2769" i="4"/>
  <c r="B2768" i="4"/>
  <c r="B2770" i="4"/>
  <c r="B2772" i="4"/>
  <c r="B2763" i="4"/>
  <c r="B2765" i="4"/>
  <c r="B2766" i="4"/>
  <c r="B2771" i="4"/>
  <c r="B2785" i="4" l="1"/>
  <c r="B2784" i="4"/>
  <c r="B2780" i="4"/>
  <c r="B2776" i="4"/>
  <c r="B2782" i="4"/>
  <c r="B2778" i="4"/>
  <c r="B2775" i="4"/>
  <c r="B2777" i="4"/>
  <c r="B2779" i="4"/>
  <c r="B2781" i="4"/>
  <c r="B278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 CARACS</author>
  </authors>
  <commentList>
    <comment ref="E302" authorId="0" shapeId="0" xr:uid="{00000000-0006-0000-0000-000001000000}">
      <text>
        <r>
          <rPr>
            <b/>
            <sz val="9"/>
            <color indexed="81"/>
            <rFont val="Tahoma"/>
            <family val="2"/>
          </rPr>
          <t>HP CARACS:</t>
        </r>
        <r>
          <rPr>
            <sz val="9"/>
            <color indexed="81"/>
            <rFont val="Tahoma"/>
            <family val="2"/>
          </rPr>
          <t xml:space="preserve">
certainement erreur  pesée initiale</t>
        </r>
      </text>
    </comment>
    <comment ref="E458" authorId="0" shapeId="0" xr:uid="{00000000-0006-0000-0000-000002000000}">
      <text>
        <r>
          <rPr>
            <b/>
            <sz val="9"/>
            <color indexed="81"/>
            <rFont val="Tahoma"/>
            <family val="2"/>
          </rPr>
          <t>HP CARACS:</t>
        </r>
        <r>
          <rPr>
            <sz val="9"/>
            <color indexed="81"/>
            <rFont val="Tahoma"/>
            <family val="2"/>
          </rPr>
          <t xml:space="preserve">
erreur pesée de départ</t>
        </r>
      </text>
    </comment>
    <comment ref="E830" authorId="0" shapeId="0" xr:uid="{00000000-0006-0000-0000-000003000000}">
      <text>
        <r>
          <rPr>
            <b/>
            <sz val="9"/>
            <color indexed="81"/>
            <rFont val="Tahoma"/>
            <family val="2"/>
          </rPr>
          <t>HP CARACS:</t>
        </r>
        <r>
          <rPr>
            <sz val="9"/>
            <color indexed="81"/>
            <rFont val="Tahoma"/>
            <family val="2"/>
          </rPr>
          <t xml:space="preserve">
balance non fonctionnelle (mousse)</t>
        </r>
      </text>
    </comment>
    <comment ref="E842" authorId="0" shapeId="0" xr:uid="{00000000-0006-0000-0000-000004000000}">
      <text>
        <r>
          <rPr>
            <b/>
            <sz val="9"/>
            <color indexed="81"/>
            <rFont val="Tahoma"/>
            <family val="2"/>
          </rPr>
          <t>HP CARACS:</t>
        </r>
        <r>
          <rPr>
            <sz val="9"/>
            <color indexed="81"/>
            <rFont val="Tahoma"/>
            <family val="2"/>
          </rPr>
          <t xml:space="preserve">
balance non fonctionnelle (mousse)</t>
        </r>
      </text>
    </comment>
    <comment ref="E866" authorId="0" shapeId="0" xr:uid="{00000000-0006-0000-0000-000005000000}">
      <text>
        <r>
          <rPr>
            <b/>
            <sz val="9"/>
            <color indexed="81"/>
            <rFont val="Tahoma"/>
            <family val="2"/>
          </rPr>
          <t>HP CARACS:</t>
        </r>
        <r>
          <rPr>
            <sz val="9"/>
            <color indexed="81"/>
            <rFont val="Tahoma"/>
            <family val="2"/>
          </rPr>
          <t xml:space="preserve">
balance non fonctionnelle (mousse)</t>
        </r>
      </text>
    </comment>
    <comment ref="E878" authorId="0" shapeId="0" xr:uid="{00000000-0006-0000-0000-000006000000}">
      <text>
        <r>
          <rPr>
            <b/>
            <sz val="9"/>
            <color indexed="81"/>
            <rFont val="Tahoma"/>
            <family val="2"/>
          </rPr>
          <t>HP CARACS:</t>
        </r>
        <r>
          <rPr>
            <sz val="9"/>
            <color indexed="81"/>
            <rFont val="Tahoma"/>
            <family val="2"/>
          </rPr>
          <t xml:space="preserve">
balance non fonctionnelle (mousse)</t>
        </r>
      </text>
    </comment>
    <comment ref="E890" authorId="0" shapeId="0" xr:uid="{00000000-0006-0000-0000-000007000000}">
      <text>
        <r>
          <rPr>
            <b/>
            <sz val="9"/>
            <color indexed="81"/>
            <rFont val="Tahoma"/>
            <family val="2"/>
          </rPr>
          <t>HP CARACS:</t>
        </r>
        <r>
          <rPr>
            <sz val="9"/>
            <color indexed="81"/>
            <rFont val="Tahoma"/>
            <family val="2"/>
          </rPr>
          <t xml:space="preserve">
balance non fonctionnelle (mousse)</t>
        </r>
      </text>
    </comment>
    <comment ref="E902" authorId="0" shapeId="0" xr:uid="{00000000-0006-0000-0000-000008000000}">
      <text>
        <r>
          <rPr>
            <b/>
            <sz val="9"/>
            <color indexed="81"/>
            <rFont val="Tahoma"/>
            <family val="2"/>
          </rPr>
          <t>HP CARACS:</t>
        </r>
        <r>
          <rPr>
            <sz val="9"/>
            <color indexed="81"/>
            <rFont val="Tahoma"/>
            <family val="2"/>
          </rPr>
          <t xml:space="preserve">
balance non fonctionnelle (mousse)</t>
        </r>
      </text>
    </comment>
    <comment ref="E914" authorId="0" shapeId="0" xr:uid="{00000000-0006-0000-0000-000009000000}">
      <text>
        <r>
          <rPr>
            <b/>
            <sz val="9"/>
            <color indexed="81"/>
            <rFont val="Tahoma"/>
            <family val="2"/>
          </rPr>
          <t>HP CARACS:</t>
        </r>
        <r>
          <rPr>
            <sz val="9"/>
            <color indexed="81"/>
            <rFont val="Tahoma"/>
            <family val="2"/>
          </rPr>
          <t xml:space="preserve">
balance non fonctionnelle (mousse)</t>
        </r>
      </text>
    </comment>
    <comment ref="E926" authorId="0" shapeId="0" xr:uid="{00000000-0006-0000-0000-00000A000000}">
      <text>
        <r>
          <rPr>
            <b/>
            <sz val="9"/>
            <color indexed="81"/>
            <rFont val="Tahoma"/>
            <family val="2"/>
          </rPr>
          <t>HP CARACS:</t>
        </r>
        <r>
          <rPr>
            <sz val="9"/>
            <color indexed="81"/>
            <rFont val="Tahoma"/>
            <family val="2"/>
          </rPr>
          <t xml:space="preserve">
balance non fonctionnelle (mousse)</t>
        </r>
      </text>
    </comment>
    <comment ref="E938" authorId="0" shapeId="0" xr:uid="{00000000-0006-0000-0000-00000B000000}">
      <text>
        <r>
          <rPr>
            <b/>
            <sz val="9"/>
            <color indexed="81"/>
            <rFont val="Tahoma"/>
            <family val="2"/>
          </rPr>
          <t>HP CARACS:</t>
        </r>
        <r>
          <rPr>
            <sz val="9"/>
            <color indexed="81"/>
            <rFont val="Tahoma"/>
            <family val="2"/>
          </rPr>
          <t xml:space="preserve">
balance non fonctionnelle (mousse)</t>
        </r>
      </text>
    </comment>
    <comment ref="E950" authorId="0" shapeId="0" xr:uid="{00000000-0006-0000-0000-00000C000000}">
      <text>
        <r>
          <rPr>
            <b/>
            <sz val="9"/>
            <color indexed="81"/>
            <rFont val="Tahoma"/>
            <family val="2"/>
          </rPr>
          <t>HP CARACS:</t>
        </r>
        <r>
          <rPr>
            <sz val="9"/>
            <color indexed="81"/>
            <rFont val="Tahoma"/>
            <family val="2"/>
          </rPr>
          <t xml:space="preserve">
balance non fonctionnelle (mousse)</t>
        </r>
      </text>
    </comment>
    <comment ref="E962" authorId="0" shapeId="0" xr:uid="{00000000-0006-0000-0000-00000D000000}">
      <text>
        <r>
          <rPr>
            <b/>
            <sz val="9"/>
            <color indexed="81"/>
            <rFont val="Tahoma"/>
            <family val="2"/>
          </rPr>
          <t>HP CARACS:</t>
        </r>
        <r>
          <rPr>
            <sz val="9"/>
            <color indexed="81"/>
            <rFont val="Tahoma"/>
            <family val="2"/>
          </rPr>
          <t xml:space="preserve">
balance non fonctionnelle (mousse)</t>
        </r>
      </text>
    </comment>
    <comment ref="E974" authorId="0" shapeId="0" xr:uid="{00000000-0006-0000-0000-00000E000000}">
      <text>
        <r>
          <rPr>
            <b/>
            <sz val="9"/>
            <color indexed="81"/>
            <rFont val="Tahoma"/>
            <family val="2"/>
          </rPr>
          <t>HP CARACS:</t>
        </r>
        <r>
          <rPr>
            <sz val="9"/>
            <color indexed="81"/>
            <rFont val="Tahoma"/>
            <family val="2"/>
          </rPr>
          <t xml:space="preserve">
balance non fonctionnelle (mousse)</t>
        </r>
      </text>
    </comment>
    <comment ref="E1058" authorId="0" shapeId="0" xr:uid="{00000000-0006-0000-0000-00000F000000}">
      <text>
        <r>
          <rPr>
            <b/>
            <sz val="9"/>
            <color indexed="81"/>
            <rFont val="Tahoma"/>
            <family val="2"/>
          </rPr>
          <t>HP CARACS:</t>
        </r>
        <r>
          <rPr>
            <sz val="9"/>
            <color indexed="81"/>
            <rFont val="Tahoma"/>
            <family val="2"/>
          </rPr>
          <t xml:space="preserve">
balance non fonctionnelle (mousse)</t>
        </r>
      </text>
    </comment>
    <comment ref="E1070" authorId="0" shapeId="0" xr:uid="{00000000-0006-0000-0000-000010000000}">
      <text>
        <r>
          <rPr>
            <b/>
            <sz val="9"/>
            <color indexed="81"/>
            <rFont val="Tahoma"/>
            <family val="2"/>
          </rPr>
          <t>HP CARACS:</t>
        </r>
        <r>
          <rPr>
            <sz val="9"/>
            <color indexed="81"/>
            <rFont val="Tahoma"/>
            <family val="2"/>
          </rPr>
          <t xml:space="preserve">
balance non fonctionnelle (mousse)</t>
        </r>
      </text>
    </comment>
    <comment ref="E1082" authorId="0" shapeId="0" xr:uid="{00000000-0006-0000-0000-000011000000}">
      <text>
        <r>
          <rPr>
            <b/>
            <sz val="9"/>
            <color indexed="81"/>
            <rFont val="Tahoma"/>
            <family val="2"/>
          </rPr>
          <t>HP CARACS:</t>
        </r>
        <r>
          <rPr>
            <sz val="9"/>
            <color indexed="81"/>
            <rFont val="Tahoma"/>
            <family val="2"/>
          </rPr>
          <t xml:space="preserve">
balance non fonctionnelle (mousse)</t>
        </r>
      </text>
    </comment>
    <comment ref="E1094" authorId="0" shapeId="0" xr:uid="{00000000-0006-0000-0000-000012000000}">
      <text>
        <r>
          <rPr>
            <b/>
            <sz val="9"/>
            <color indexed="81"/>
            <rFont val="Tahoma"/>
            <family val="2"/>
          </rPr>
          <t>HP CARACS:</t>
        </r>
        <r>
          <rPr>
            <sz val="9"/>
            <color indexed="81"/>
            <rFont val="Tahoma"/>
            <family val="2"/>
          </rPr>
          <t xml:space="preserve">
balance non fonctionnelle (mousse)</t>
        </r>
      </text>
    </comment>
    <comment ref="E1106" authorId="0" shapeId="0" xr:uid="{00000000-0006-0000-0000-000013000000}">
      <text>
        <r>
          <rPr>
            <b/>
            <sz val="9"/>
            <color indexed="81"/>
            <rFont val="Tahoma"/>
            <family val="2"/>
          </rPr>
          <t>HP CARACS:</t>
        </r>
        <r>
          <rPr>
            <sz val="9"/>
            <color indexed="81"/>
            <rFont val="Tahoma"/>
            <family val="2"/>
          </rPr>
          <t xml:space="preserve">
balance non fonctionnelle (mousse)</t>
        </r>
      </text>
    </comment>
    <comment ref="E1118" authorId="0" shapeId="0" xr:uid="{00000000-0006-0000-0000-000014000000}">
      <text>
        <r>
          <rPr>
            <b/>
            <sz val="9"/>
            <color indexed="81"/>
            <rFont val="Tahoma"/>
            <family val="2"/>
          </rPr>
          <t>HP CARACS:</t>
        </r>
        <r>
          <rPr>
            <sz val="9"/>
            <color indexed="81"/>
            <rFont val="Tahoma"/>
            <family val="2"/>
          </rPr>
          <t xml:space="preserve">
balance non fonctionnelle (mousse)</t>
        </r>
      </text>
    </comment>
    <comment ref="E1130" authorId="0" shapeId="0" xr:uid="{00000000-0006-0000-0000-000015000000}">
      <text>
        <r>
          <rPr>
            <b/>
            <sz val="9"/>
            <color indexed="81"/>
            <rFont val="Tahoma"/>
            <family val="2"/>
          </rPr>
          <t>HP CARACS:</t>
        </r>
        <r>
          <rPr>
            <sz val="9"/>
            <color indexed="81"/>
            <rFont val="Tahoma"/>
            <family val="2"/>
          </rPr>
          <t xml:space="preserve">
balance non fonctionnelle (mousse)</t>
        </r>
      </text>
    </comment>
    <comment ref="E1142" authorId="0" shapeId="0" xr:uid="{00000000-0006-0000-0000-000016000000}">
      <text>
        <r>
          <rPr>
            <b/>
            <sz val="9"/>
            <color indexed="81"/>
            <rFont val="Tahoma"/>
            <family val="2"/>
          </rPr>
          <t>HP CARACS:</t>
        </r>
        <r>
          <rPr>
            <sz val="9"/>
            <color indexed="81"/>
            <rFont val="Tahoma"/>
            <family val="2"/>
          </rPr>
          <t xml:space="preserve">
balance non fonctionnelle (mousse)</t>
        </r>
      </text>
    </comment>
    <comment ref="E1154" authorId="0" shapeId="0" xr:uid="{00000000-0006-0000-0000-000017000000}">
      <text>
        <r>
          <rPr>
            <b/>
            <sz val="9"/>
            <color indexed="81"/>
            <rFont val="Tahoma"/>
            <family val="2"/>
          </rPr>
          <t>HP CARACS:</t>
        </r>
        <r>
          <rPr>
            <sz val="9"/>
            <color indexed="81"/>
            <rFont val="Tahoma"/>
            <family val="2"/>
          </rPr>
          <t xml:space="preserve">
balance non fonctionnelle (mousse)</t>
        </r>
      </text>
    </comment>
    <comment ref="E1166" authorId="0" shapeId="0" xr:uid="{00000000-0006-0000-0000-000018000000}">
      <text>
        <r>
          <rPr>
            <b/>
            <sz val="9"/>
            <color indexed="81"/>
            <rFont val="Tahoma"/>
            <family val="2"/>
          </rPr>
          <t>HP CARACS:</t>
        </r>
        <r>
          <rPr>
            <sz val="9"/>
            <color indexed="81"/>
            <rFont val="Tahoma"/>
            <family val="2"/>
          </rPr>
          <t xml:space="preserve">
balance non fonctionnelle (mousse)</t>
        </r>
      </text>
    </comment>
  </commentList>
</comments>
</file>

<file path=xl/sharedStrings.xml><?xml version="1.0" encoding="utf-8"?>
<sst xmlns="http://schemas.openxmlformats.org/spreadsheetml/2006/main" count="12258" uniqueCount="578">
  <si>
    <t>N° Test</t>
  </si>
  <si>
    <t>Masse reconstituée du prélèvement (kg)</t>
  </si>
  <si>
    <t>Date / heure de la caractérisation</t>
  </si>
  <si>
    <t>OBSERVATIONS</t>
  </si>
  <si>
    <t>CARACTERISATION (kg)</t>
  </si>
  <si>
    <t>Classif. Valo/refus</t>
  </si>
  <si>
    <t>Sous-catégorie</t>
  </si>
  <si>
    <t xml:space="preserve">Commentaires </t>
  </si>
  <si>
    <t>ID_flux</t>
  </si>
  <si>
    <t>Valorisables</t>
  </si>
  <si>
    <t>Refus</t>
  </si>
  <si>
    <t>Date</t>
  </si>
  <si>
    <t>Masse brute (kg)</t>
  </si>
  <si>
    <t>Tare (kg)</t>
  </si>
  <si>
    <t>Masse nette (kg)</t>
  </si>
  <si>
    <t>ID_carac_1</t>
  </si>
  <si>
    <t>ID_carac_2</t>
  </si>
  <si>
    <t>ID_carac_3</t>
  </si>
  <si>
    <t>Pesée de départ</t>
  </si>
  <si>
    <t>Pesée reconstituée</t>
  </si>
  <si>
    <t>% éch.</t>
  </si>
  <si>
    <r>
      <t>Masse initiale du prélèvement (</t>
    </r>
    <r>
      <rPr>
        <b/>
        <u/>
        <sz val="14"/>
        <color theme="1"/>
        <rFont val="Calibri"/>
        <family val="2"/>
        <scheme val="minor"/>
      </rPr>
      <t>environ 35 kg</t>
    </r>
    <r>
      <rPr>
        <b/>
        <sz val="14"/>
        <color theme="1"/>
        <rFont val="Calibri"/>
        <family val="2"/>
        <scheme val="minor"/>
      </rPr>
      <t>)</t>
    </r>
  </si>
  <si>
    <t>ELA</t>
  </si>
  <si>
    <t>EMR</t>
  </si>
  <si>
    <t>caissette</t>
  </si>
  <si>
    <t>Bac</t>
  </si>
  <si>
    <t>PET Clair Bouteilles / flacons (Code 1)</t>
  </si>
  <si>
    <t>Étiquettes de lignes</t>
  </si>
  <si>
    <t>Total général</t>
  </si>
  <si>
    <t>Étiquettes de colonnes</t>
  </si>
  <si>
    <t>Somme de % éch.</t>
  </si>
  <si>
    <t>TOTAL</t>
  </si>
  <si>
    <t>% valorisables</t>
  </si>
  <si>
    <t>% refus</t>
  </si>
  <si>
    <t>Aluminiums</t>
  </si>
  <si>
    <t>Aluminiums souples</t>
  </si>
  <si>
    <t>Papiers Cartons Mélés (= gros de magasin) : fibreux &gt; 120x50</t>
  </si>
  <si>
    <t>Papiers (1,11)</t>
  </si>
  <si>
    <t>Acier</t>
  </si>
  <si>
    <t>CARACTERISATION SELECTIF VAUCHE</t>
  </si>
  <si>
    <t>FLUX_ENTRANT_1</t>
  </si>
  <si>
    <t>FLUX_ENTRANT_2</t>
  </si>
  <si>
    <t>FLUX_ENTRANT_3</t>
  </si>
  <si>
    <t>PEHD/PP (Codes 2 - 5)</t>
  </si>
  <si>
    <t>Flux Développement : (Codes 1-6)
- PET coloré bouteilles et flacons
- PET opaque
- PET barquettes
- PS</t>
  </si>
  <si>
    <t>Film PEBD (Code 4)</t>
  </si>
  <si>
    <r>
      <rPr>
        <b/>
        <sz val="14"/>
        <color theme="1"/>
        <rFont val="Calibri"/>
        <family val="2"/>
        <scheme val="minor"/>
      </rPr>
      <t xml:space="preserve">Comptabilisés comme refus : </t>
    </r>
    <r>
      <rPr>
        <sz val="14"/>
        <color theme="1"/>
        <rFont val="Calibri"/>
        <family val="2"/>
        <scheme val="minor"/>
      </rPr>
      <t xml:space="preserve">
- Films PP
- Films PE trop souillés (apprécié au poids)
- Bouteilles non vidées (apprécié au poids)
- Barquettes PP/PE de couleur noire
- Imbriqués de matières différentes non séparables facilement
- verre...
</t>
    </r>
    <r>
      <rPr>
        <b/>
        <sz val="14"/>
        <color theme="1"/>
        <rFont val="Calibri"/>
        <family val="2"/>
        <scheme val="minor"/>
      </rPr>
      <t xml:space="preserve">Comptabilisés comme valorisables : </t>
    </r>
    <r>
      <rPr>
        <sz val="14"/>
        <color theme="1"/>
        <rFont val="Calibri"/>
        <family val="2"/>
        <scheme val="minor"/>
      </rPr>
      <t xml:space="preserve">
- Imbriqués légers séparables facilement
- Imbriqués incluant Acier si celui-ci représente la majorité du poids</t>
    </r>
  </si>
  <si>
    <t>bac</t>
  </si>
  <si>
    <t>1 sac OM
bcp de feuilles papiers dans pochettes plastiques</t>
  </si>
  <si>
    <t>planche en bois</t>
  </si>
  <si>
    <t>Refus_1</t>
  </si>
  <si>
    <t>PET_clair_1</t>
  </si>
  <si>
    <t>EMR_1</t>
  </si>
  <si>
    <t>petits objets divers, nourriture, plastique non valo…</t>
  </si>
  <si>
    <t>PCM_1</t>
  </si>
  <si>
    <t>(Plusieurs éléments)</t>
  </si>
  <si>
    <t>PET Clair Bouteilles / flacons</t>
  </si>
  <si>
    <t>Flux Développement</t>
  </si>
  <si>
    <t>PEHD/PP</t>
  </si>
  <si>
    <t>Papiers (1.11)</t>
  </si>
  <si>
    <t>Film PEBD</t>
  </si>
  <si>
    <t>Analyse échantillons - flux sortant</t>
  </si>
  <si>
    <t>% autres valorisables</t>
  </si>
  <si>
    <t>% tri correct</t>
  </si>
  <si>
    <t>Remarques</t>
  </si>
  <si>
    <t>Présence de plastiques type barquettes notamment</t>
  </si>
  <si>
    <t>- 1 sac OM
- Bcp de feuilles papiers dans pochettes plastiques</t>
  </si>
  <si>
    <t>- Planche en bois</t>
  </si>
  <si>
    <t>JRM_1</t>
  </si>
  <si>
    <t>dont dossier relié avec couvetrure et reliure plastique</t>
  </si>
  <si>
    <t>échantillon : 16/11/21 à 12h34</t>
  </si>
  <si>
    <t>échantillon : 16/11/21 à 7h30</t>
  </si>
  <si>
    <t>JRM_2</t>
  </si>
  <si>
    <t>bois petit branchage + morceau de cagette</t>
  </si>
  <si>
    <t>échantillon : 16/11/21 à 9h24</t>
  </si>
  <si>
    <t>boites de conserves</t>
  </si>
  <si>
    <t>quelques gros cartons + bcp d'EMR</t>
  </si>
  <si>
    <t>PCM_2</t>
  </si>
  <si>
    <t>JRM_3</t>
  </si>
  <si>
    <t>Beaucoup de fines, petit morceaux de verre, de bois</t>
  </si>
  <si>
    <t>PCM_3</t>
  </si>
  <si>
    <t>échantillon : 16/11/21 à 9h15</t>
  </si>
  <si>
    <t>EMR_2</t>
  </si>
  <si>
    <t>échantillon : 16/11/21 à 9h52</t>
  </si>
  <si>
    <t>échantillon : 16/11/21 à 11h47</t>
  </si>
  <si>
    <t>Beaucoup de fines. Quelques restes alimentaires</t>
  </si>
  <si>
    <t>EMR_3</t>
  </si>
  <si>
    <t>échantillon : 16/11/21 à 12h</t>
  </si>
  <si>
    <t>Gros_cartons_1</t>
  </si>
  <si>
    <t>échantillon : 16/11/21 à 7h53</t>
  </si>
  <si>
    <t>100% gros cartons</t>
  </si>
  <si>
    <t>tapisserie + gros sacs de croquettes</t>
  </si>
  <si>
    <t>échantillon : 16/11/21 à 11h05</t>
  </si>
  <si>
    <t>Gros_cartons_2</t>
  </si>
  <si>
    <t>ELA_1</t>
  </si>
  <si>
    <t>ELA_2</t>
  </si>
  <si>
    <t>échantillon : 16/11/21 à 7h58</t>
  </si>
  <si>
    <t>échantillon : 16/11/21 à 12h52</t>
  </si>
  <si>
    <t>pas mal de barquettes et de pots de yaourts</t>
  </si>
  <si>
    <t>quelques bouteilles PE + pot de crème fraiche</t>
  </si>
  <si>
    <t>ELA_3</t>
  </si>
  <si>
    <t>échantillon : 16/11/21 à 10h16</t>
  </si>
  <si>
    <t>beaucoup de gobelets carton</t>
  </si>
  <si>
    <t>PEHD/PP_1</t>
  </si>
  <si>
    <t>films plastiques non valorisables</t>
  </si>
  <si>
    <t>PEHD/PP_2</t>
  </si>
  <si>
    <t>PEHD/PP_3</t>
  </si>
  <si>
    <t>échantillon : 16/11/21 à 7h35</t>
  </si>
  <si>
    <t>tri :14h40</t>
  </si>
  <si>
    <t>tri = 13h45</t>
  </si>
  <si>
    <t>échantillon : 16/11/21 à 10h02</t>
  </si>
  <si>
    <t>tri : 15h11</t>
  </si>
  <si>
    <t>beaucoup d'ELA</t>
  </si>
  <si>
    <t>cahiers sans couverture</t>
  </si>
  <si>
    <t>classeur avec fiches plastiques, films plastiques non valo…</t>
  </si>
  <si>
    <t>échantillon : 16/11/21 à 13h02</t>
  </si>
  <si>
    <t>tri : 15h40</t>
  </si>
  <si>
    <t>FLUX_DEV_1</t>
  </si>
  <si>
    <t>échantillon : 16/11/21 à 10h34</t>
  </si>
  <si>
    <t>tri : 16h05</t>
  </si>
  <si>
    <t>polystyrène, films non valos, sacs croquette</t>
  </si>
  <si>
    <t>FLUX_DEV_2</t>
  </si>
  <si>
    <t>échantillon : 16/11/21 à 8h30</t>
  </si>
  <si>
    <t>tri : 16h30</t>
  </si>
  <si>
    <t>FLUX_DEV_3</t>
  </si>
  <si>
    <t>échantillon : 16/11/21 à 13h30</t>
  </si>
  <si>
    <t>tri : 8h40</t>
  </si>
  <si>
    <t>FILM_PE_1</t>
  </si>
  <si>
    <t>échantillon : 16/11/21 à 10h54</t>
  </si>
  <si>
    <t>tri : 9h</t>
  </si>
  <si>
    <t>FILM_PE_2</t>
  </si>
  <si>
    <t>échantillon : 16/11/21 à 9h</t>
  </si>
  <si>
    <t>tri : 9h30</t>
  </si>
  <si>
    <t>FILM_PE_3</t>
  </si>
  <si>
    <t>échantillon : 16/11/21 à 13h58</t>
  </si>
  <si>
    <t>tri : 10h10</t>
  </si>
  <si>
    <t>PET_clair_2</t>
  </si>
  <si>
    <t>PET_clair_3</t>
  </si>
  <si>
    <t>échantillon : 16/11/21 à 13h28</t>
  </si>
  <si>
    <t>tri : 10h25</t>
  </si>
  <si>
    <t>échantillon : 16/11/21 à 10h25</t>
  </si>
  <si>
    <t>tri : 10h45</t>
  </si>
  <si>
    <t>barquettes PET (beaucoup) et quelques bouteilles PET couleur</t>
  </si>
  <si>
    <t>Gros_cartons_3</t>
  </si>
  <si>
    <t>drap housse + grands plastiques souples</t>
  </si>
  <si>
    <t>dont 1,3kg d'EMR autres que grands cartons (sacs papiers, petits EMR…)</t>
  </si>
  <si>
    <t>échantillon : 16/11/21 à 13h38</t>
  </si>
  <si>
    <t>tri : 11h</t>
  </si>
  <si>
    <t>Refus_2</t>
  </si>
  <si>
    <t>Refus_3</t>
  </si>
  <si>
    <t>échantillon : 16/11/21 à 11h58</t>
  </si>
  <si>
    <t>tri : 11h35</t>
  </si>
  <si>
    <t>échantillon : 16/11/21 à 11h25</t>
  </si>
  <si>
    <t>tri : 12h</t>
  </si>
  <si>
    <t>Acier_1</t>
  </si>
  <si>
    <t>gros sac jaune non ouvert avec déchets divers</t>
  </si>
  <si>
    <t>Aluminium_1</t>
  </si>
  <si>
    <t>plastiques non valorisables, refus divers (tube "pringles"…)</t>
  </si>
  <si>
    <t>Aluminium_2</t>
  </si>
  <si>
    <t>tri : 15h</t>
  </si>
  <si>
    <t>tri : 14h30</t>
  </si>
  <si>
    <t>tri : 13h55</t>
  </si>
  <si>
    <t>Aluminium_3</t>
  </si>
  <si>
    <t>tri : 15h20</t>
  </si>
  <si>
    <t>plastiques non valorisables</t>
  </si>
  <si>
    <t>gros plastique noir, grosse tige plastiques, films plastiques non valo</t>
  </si>
  <si>
    <t>Petits_alus_1</t>
  </si>
  <si>
    <t>petits DEEE, sachets croquettes, plastiques non valo</t>
  </si>
  <si>
    <t>Acier_2</t>
  </si>
  <si>
    <t>Acier_3</t>
  </si>
  <si>
    <t>tri : 15h50</t>
  </si>
  <si>
    <t>échantillon : 18/11/21 à 13h</t>
  </si>
  <si>
    <t>échantillon : 18/11/21 à 15h</t>
  </si>
  <si>
    <t>tri : 16h30 / fini le 19-11 à 8h30</t>
  </si>
  <si>
    <t>PET Clair Bouteilles / flacons2</t>
  </si>
  <si>
    <t>Flux Développement2</t>
  </si>
  <si>
    <t>PEHD/PP2</t>
  </si>
  <si>
    <t>Film PEBD2</t>
  </si>
  <si>
    <t>REFUS</t>
  </si>
  <si>
    <t>PCM</t>
  </si>
  <si>
    <t>JRM</t>
  </si>
  <si>
    <t>Gros cartons</t>
  </si>
  <si>
    <t>FLUX_DEV</t>
  </si>
  <si>
    <t>FILM_PE</t>
  </si>
  <si>
    <t>PET_clair</t>
  </si>
  <si>
    <t>Aluminium</t>
  </si>
  <si>
    <t>Petits_alus</t>
  </si>
  <si>
    <t>Total REFUS</t>
  </si>
  <si>
    <t>Total PET_clair</t>
  </si>
  <si>
    <t>Total EMR</t>
  </si>
  <si>
    <t>Total PCM</t>
  </si>
  <si>
    <t>Total JRM</t>
  </si>
  <si>
    <t>Total Gros cartons</t>
  </si>
  <si>
    <t>Total ELA</t>
  </si>
  <si>
    <t>Total PEHD/PP</t>
  </si>
  <si>
    <t>Total FLUX_DEV</t>
  </si>
  <si>
    <t>Total FILM_PE</t>
  </si>
  <si>
    <t>Total Acier</t>
  </si>
  <si>
    <t>Total Aluminium</t>
  </si>
  <si>
    <t>Total Petits_alus</t>
  </si>
  <si>
    <t>Papiers Cartons Mélés</t>
  </si>
  <si>
    <t>moyenne Refus</t>
  </si>
  <si>
    <t>moyenne PET_clair</t>
  </si>
  <si>
    <t>moyenne EMR</t>
  </si>
  <si>
    <t>moyenne PCM</t>
  </si>
  <si>
    <t>moyenne JRM</t>
  </si>
  <si>
    <t>moyenne gros cartons</t>
  </si>
  <si>
    <t>moyenne ELA</t>
  </si>
  <si>
    <t>moyenne PEHD/PP</t>
  </si>
  <si>
    <t>moyenne FLUX_DEV</t>
  </si>
  <si>
    <t>moyenne FILM_PE</t>
  </si>
  <si>
    <t>moyenne Acier</t>
  </si>
  <si>
    <t>moyenne Aluminium</t>
  </si>
  <si>
    <t>- Refus : petits objets divers, nourriture, plastique non valo…</t>
  </si>
  <si>
    <t>- Refus : dont dossier relié avec couverture et reliure plastique</t>
  </si>
  <si>
    <t>- EMR : 100% gros cartons
- Refus : dont tapisserie + gros sacs de croquettes</t>
  </si>
  <si>
    <t>- Refus : dont bois petit branchage + morceau de cagette</t>
  </si>
  <si>
    <t>- EMR : beaucoup de gobelets carton</t>
  </si>
  <si>
    <t>- beaucoup d'ELA
- Refus : dont films plastiques non valorisables</t>
  </si>
  <si>
    <t>- cahiers sans couverture
- Refus : dont classeur avec fiches plastiques, films plastiques non valo…</t>
  </si>
  <si>
    <t>- Refus : polystyrène, films non valos, sacs croquette</t>
  </si>
  <si>
    <t>- Flux dev : barquettes PET (beaucoup) et quelques bouteilles PET couleur</t>
  </si>
  <si>
    <t xml:space="preserve">- EMR : grands cartons, sauf 1,3kg d'EMR autres que grands cartons (sacs papiers, petits EMR…)
- Refus : dont drap housse + grands plastiques souples
</t>
  </si>
  <si>
    <t>- Refus : dont gros sac jaune non ouvert avec déchets divers</t>
  </si>
  <si>
    <t>- Refus : dont plastiques non valorisables, refus divers (tube "pringles"…)</t>
  </si>
  <si>
    <t>- Refus : dont plastiques non valorisables</t>
  </si>
  <si>
    <t>- Refus : dont gros plastique noir, grosse tige plastiques, films plastiques non valo</t>
  </si>
  <si>
    <t>- Refus : dont petits DEEE, sachets croquettes, plastiques non valo</t>
  </si>
  <si>
    <t>- Flux dev : beaucoup de barquettes PET</t>
  </si>
  <si>
    <t>- Refus : majoritairement films non PE</t>
  </si>
  <si>
    <t>tri : 8h45</t>
  </si>
  <si>
    <t>plusieurs sacs non ouverts avec dechets divers / sachets croquettes / essuie-glace</t>
  </si>
  <si>
    <t>- Refus : plusieurs sacs non ouverts avec dechets divers / sachets croquettes / essuie-glace</t>
  </si>
  <si>
    <t>beaucoup de papiers broyés</t>
  </si>
  <si>
    <t>gros sac jaune non ouvert plein de déchets, cables usb, plastiques aluminisés</t>
  </si>
  <si>
    <t>Prélèvement 10 + 12 _1</t>
  </si>
  <si>
    <t>Prélèvement 10 + 12</t>
  </si>
  <si>
    <t>Prélèvement 11 + 13 _1</t>
  </si>
  <si>
    <t>Prélèvement 11 + 13</t>
  </si>
  <si>
    <t>sac jaune non ouvert, sac avec textile, plastiques avec isolant, imbriqués divers, sachets de croquettes, plastiques aluminisés, films non valo</t>
  </si>
  <si>
    <t>échantillon : 19/11/21 à 10h</t>
  </si>
  <si>
    <t>tri : 10h15</t>
  </si>
  <si>
    <t>tri : 10h40</t>
  </si>
  <si>
    <t>Prélèvement 14 _1</t>
  </si>
  <si>
    <t>Prélèvement 14</t>
  </si>
  <si>
    <t>Prélèvement 15 _1</t>
  </si>
  <si>
    <t>Prélèvement 15</t>
  </si>
  <si>
    <t>Prélèvement 33 _1</t>
  </si>
  <si>
    <t>Prélèvement 33</t>
  </si>
  <si>
    <t>Prélèvement 34 _1</t>
  </si>
  <si>
    <t>Prélèvement 34</t>
  </si>
  <si>
    <t>Total Prélèvement 10 + 12</t>
  </si>
  <si>
    <t>Total Prélèvement 11 + 13</t>
  </si>
  <si>
    <t>Total Prélèvement 14</t>
  </si>
  <si>
    <t>Total Prélèvement 15</t>
  </si>
  <si>
    <t>Total Prélèvement 33</t>
  </si>
  <si>
    <t>Total Prélèvement 34</t>
  </si>
  <si>
    <t>- PCM : beaucoup de papiers broyés
- Refus : gros sac jaune non ouvert plein de déchets, cables usb, plastiques aluminisés</t>
  </si>
  <si>
    <t>échantillon : 19/11/21 à 11h00</t>
  </si>
  <si>
    <t>tuyaux, chaussures, textiles, petite planche bois, revue encore sous plastique</t>
  </si>
  <si>
    <t>Prélèvement 24 _1</t>
  </si>
  <si>
    <t>Prélèvement 24</t>
  </si>
  <si>
    <t>Prélèvement 22 _1</t>
  </si>
  <si>
    <t>Prélèvement 22</t>
  </si>
  <si>
    <t>dont un gros jouet PP de 450g avec autres matériaux / plastiques souples non valo</t>
  </si>
  <si>
    <t>dont couverture de survie</t>
  </si>
  <si>
    <t>Prélèvement 23 _1</t>
  </si>
  <si>
    <t>Prélèvement 23</t>
  </si>
  <si>
    <t>dont plusieurs sacs non ouverts avec dechets divers / plusieurs gros textiles / emballages avec aliments encore présents</t>
  </si>
  <si>
    <t>Tri : 14h40</t>
  </si>
  <si>
    <t>Prélèvement 35+38_1</t>
  </si>
  <si>
    <t>Prélèvement 35+38</t>
  </si>
  <si>
    <t>dont 2 gros sac jaune non ouvert avec déchets divers + bouteille en verre + cables électriques neufs</t>
  </si>
  <si>
    <t>Prélèvement 37+40_1</t>
  </si>
  <si>
    <t>Prélèvement 37+40</t>
  </si>
  <si>
    <t>Prélèvement 36+39_1</t>
  </si>
  <si>
    <t>Prélèvement 36+39</t>
  </si>
  <si>
    <t>ensemble de bouteilles PET clair compactées</t>
  </si>
  <si>
    <t>Tri : 15h10</t>
  </si>
  <si>
    <t>Tri : 14h55</t>
  </si>
  <si>
    <t>échantillon : 23/11/21 à 8h45</t>
  </si>
  <si>
    <t>Tri : 9h50</t>
  </si>
  <si>
    <t>Tri : 9h15</t>
  </si>
  <si>
    <t>Prélèvement 32_1</t>
  </si>
  <si>
    <t>Prélèvement 32</t>
  </si>
  <si>
    <t>Tri : 15h25</t>
  </si>
  <si>
    <t>Echantillon : 14h</t>
  </si>
  <si>
    <t>Echantillon : 13h30</t>
  </si>
  <si>
    <t>Tri : 15h30</t>
  </si>
  <si>
    <t>Prélèvement 29_1</t>
  </si>
  <si>
    <t>Prélèvement 29</t>
  </si>
  <si>
    <t>Tri : 15h37</t>
  </si>
  <si>
    <t>Prélèvement 25+27+30_1</t>
  </si>
  <si>
    <t>Prélèvement 25+27+30</t>
  </si>
  <si>
    <t>Prélèvement 31_1</t>
  </si>
  <si>
    <t>Prélèvement 31</t>
  </si>
  <si>
    <t>Tri : 15h43</t>
  </si>
  <si>
    <t>Prélèvement 28_1</t>
  </si>
  <si>
    <t>Prélèvement 28</t>
  </si>
  <si>
    <t>Tri : 15h52</t>
  </si>
  <si>
    <t>Prélèvement 26_1</t>
  </si>
  <si>
    <t>Prélèvement 26</t>
  </si>
  <si>
    <t>Prélèvement 20_1</t>
  </si>
  <si>
    <t>Prélèvement 20</t>
  </si>
  <si>
    <t>Prélèvement 18+21_1</t>
  </si>
  <si>
    <t>Prélèvement 18+21</t>
  </si>
  <si>
    <t>Prélèvement 16+19_1</t>
  </si>
  <si>
    <t>Prélèvement 16+19</t>
  </si>
  <si>
    <t>Prélèvement 17_1</t>
  </si>
  <si>
    <t>Prélèvement 17</t>
  </si>
  <si>
    <t>Total Prélèvement 24</t>
  </si>
  <si>
    <t>Total Prélèvement 22</t>
  </si>
  <si>
    <t>Total Prélèvement 23</t>
  </si>
  <si>
    <t>Total Prélèvement 35+38</t>
  </si>
  <si>
    <t>Total Prélèvement 37+40</t>
  </si>
  <si>
    <t>Total Prélèvement 36+39</t>
  </si>
  <si>
    <t>Total Prélèvement 32</t>
  </si>
  <si>
    <t>Total Prélèvement 25+27+30</t>
  </si>
  <si>
    <t>Total Prélèvement 29</t>
  </si>
  <si>
    <t>Total Prélèvement 31</t>
  </si>
  <si>
    <t>Total Prélèvement 28</t>
  </si>
  <si>
    <t>Total Prélèvement 26</t>
  </si>
  <si>
    <t>Total Prélèvement 20</t>
  </si>
  <si>
    <t>Total Prélèvement 18+21</t>
  </si>
  <si>
    <t>Total Prélèvement 16+19</t>
  </si>
  <si>
    <t>Total Prélèvement 17</t>
  </si>
  <si>
    <t>- Refus : dont tuyaux, chaussures, textiles, petite planche bois, revue encore sous plastique</t>
  </si>
  <si>
    <t>- Refus : dont un gros jouet PP de 450g avec autres matériaux, plastiques souples non valo</t>
  </si>
  <si>
    <t>PET clair : ensemble de bouteilles PET clair compactées</t>
  </si>
  <si>
    <t>- Refus : sac jaune non ouvert, sac avec textiles, plastiques avec isolant, imbriqués divers, sachets de croquettes, plastiques aluminisés, films non valo</t>
  </si>
  <si>
    <t>- Refus : dont plusieurs sacs non ouverts avec dechets divers / plusieurs gros textiles / emballages avec aliments encore présents</t>
  </si>
  <si>
    <t>- Refus : dont 2 gros sac jaune non ouvert avec déchets divers + bouteille en verre + cables électriques</t>
  </si>
  <si>
    <t>TO 01 + TO 02</t>
  </si>
  <si>
    <t>TO 03</t>
  </si>
  <si>
    <t>TO 04</t>
  </si>
  <si>
    <t>TO 05</t>
  </si>
  <si>
    <t>TO 06</t>
  </si>
  <si>
    <t>TO 07</t>
  </si>
  <si>
    <t>TO 08</t>
  </si>
  <si>
    <t>- Echantillon trop petit</t>
  </si>
  <si>
    <r>
      <t xml:space="preserve">- Refus : dont couverture de survie
</t>
    </r>
    <r>
      <rPr>
        <sz val="11"/>
        <color rgb="FFFF0000"/>
        <rFont val="Calibri"/>
        <family val="2"/>
        <scheme val="minor"/>
      </rPr>
      <t>- Echantillon trop petit</t>
    </r>
  </si>
  <si>
    <t>FLUX_ENTRANT_4</t>
  </si>
  <si>
    <t>FLUX_ENTRANT</t>
  </si>
  <si>
    <t>FLUX_ENTRANT_5</t>
  </si>
  <si>
    <t>FLUX_ENTRANT_6</t>
  </si>
  <si>
    <t>Analyse échantillons - flux entrant - 1ère série (novembre 2021)</t>
  </si>
  <si>
    <t>Analyse échantillons - flux entrant - 2ème série (décembre 2021)</t>
  </si>
  <si>
    <t>verre, 1 sac OM, restes alimentaires</t>
  </si>
  <si>
    <t>JRM_4</t>
  </si>
  <si>
    <t>JRM_5</t>
  </si>
  <si>
    <t>JRM_6</t>
  </si>
  <si>
    <t>EMR_4</t>
  </si>
  <si>
    <t>EMR_5</t>
  </si>
  <si>
    <t>chaussettes, chiffons, papier filmé, films plastiques..</t>
  </si>
  <si>
    <t>PCM_4</t>
  </si>
  <si>
    <t>petits morceaux de verre, de céramique, de pain, papier aluminisé…</t>
  </si>
  <si>
    <t>PEHD/PP_4</t>
  </si>
  <si>
    <t>PEHD/PP_5</t>
  </si>
  <si>
    <t>échantillon : 7/12</t>
  </si>
  <si>
    <t>PEHD/PP_6</t>
  </si>
  <si>
    <t>PET_clair_4</t>
  </si>
  <si>
    <t>échantillon : 10/12</t>
  </si>
  <si>
    <t>dont 1,1 kg barqu monocouche PET</t>
  </si>
  <si>
    <t>PET couleur principalement</t>
  </si>
  <si>
    <t>PET_clair_5</t>
  </si>
  <si>
    <t>dont 1,3 kg de barqu monocouche PET</t>
  </si>
  <si>
    <t>PET_clair_6</t>
  </si>
  <si>
    <t>dont 1,45 kg de barqu monocouche PET</t>
  </si>
  <si>
    <t>EMR_6</t>
  </si>
  <si>
    <t>dont gros morceau de bois, textiles…</t>
  </si>
  <si>
    <t>sac de croquette avec déchets divers à l'intérieur</t>
  </si>
  <si>
    <t>Gros_cartons_4</t>
  </si>
  <si>
    <t>Gros_cartons_5</t>
  </si>
  <si>
    <t>Gros_cartons_6</t>
  </si>
  <si>
    <t>PCM_5</t>
  </si>
  <si>
    <t>ELA_4</t>
  </si>
  <si>
    <t>ELA_5</t>
  </si>
  <si>
    <t>ELA_6</t>
  </si>
  <si>
    <t>FILM_PE_4</t>
  </si>
  <si>
    <t>FILM_PE_5</t>
  </si>
  <si>
    <t>FILM_PE_6</t>
  </si>
  <si>
    <t>Acier_4</t>
  </si>
  <si>
    <t>Acier_5</t>
  </si>
  <si>
    <t>Acier_6</t>
  </si>
  <si>
    <t>dont DEEE</t>
  </si>
  <si>
    <t>PCM_6</t>
  </si>
  <si>
    <t>petits morceaux de verre, coquilles d'huitres, bois, textiles…</t>
  </si>
  <si>
    <t>FLUX_DEV_4</t>
  </si>
  <si>
    <t>FLUX_DEV_5</t>
  </si>
  <si>
    <t>FLUX_DEV_6</t>
  </si>
  <si>
    <t>Refus_4</t>
  </si>
  <si>
    <t>Refus_5</t>
  </si>
  <si>
    <t>Refus_6</t>
  </si>
  <si>
    <t>Aluminium_4</t>
  </si>
  <si>
    <t>Aluminium_5</t>
  </si>
  <si>
    <t>Aluminium_6</t>
  </si>
  <si>
    <t>1 DEEE + plusieurs aérosols pleins</t>
  </si>
  <si>
    <t>téléphone, batteries, DEEE, 2 gros morceaux de bois, conserves pleines,aérosols pleins…</t>
  </si>
  <si>
    <t>Petits_alus_2</t>
  </si>
  <si>
    <t>dont verre, 1 sac OM, restes alimentaires</t>
  </si>
  <si>
    <t>Analyse échantillons - flux sortant - série 1 (novembre)</t>
  </si>
  <si>
    <t>Analyse échantillons - flux sortant - série 2 (décembre)</t>
  </si>
  <si>
    <t>- Refus : dont chaussettes, chiffons, papier filmé, films plastiques..</t>
  </si>
  <si>
    <t>- Refus : dont petits morceaux de verre, de céramique, de pain, papier aluminisé…</t>
  </si>
  <si>
    <t>PET Clair</t>
  </si>
  <si>
    <t>Dont 1,1 kg barqu monocouche PET (soit 7% du total) compté avec le PET clair
- Flux dev : principalement bouteilles PET couleurs</t>
  </si>
  <si>
    <t>Dont 1,3kg barqu monocouche PET (soit 6% du total) compté avec le PET clair
- Flux dev : principalement bouteilles PET couleurs</t>
  </si>
  <si>
    <t>Dont 1,45 kg barqu monocouche PET (soit 8,5% du total) compté avec le PET clair
- Flux dev : principalement bouteilles PET couleurs</t>
  </si>
  <si>
    <t xml:space="preserve"> Refus : dont gros morceau de bois, textiles…</t>
  </si>
  <si>
    <t>- Refus : dont sac de croquette avec déchets divers à l'intérieur</t>
  </si>
  <si>
    <t>grosse pièce metallique</t>
  </si>
  <si>
    <t>- Refus : dont DEEE</t>
  </si>
  <si>
    <t>- Refus : petits morceaux de verre, coquilles d'huitres, bois, textiles…</t>
  </si>
  <si>
    <t>- Refus : téléphone, batteries, DEEE, 2 gros morceaux de bois, conserves pleines,aérosols pleins…</t>
  </si>
  <si>
    <t>- Refus : 1 DEEE + plusieurs aérosols pleins</t>
  </si>
  <si>
    <t>FLUX_ENTRANT_7</t>
  </si>
  <si>
    <t>FLUX_ENTRANT_8</t>
  </si>
  <si>
    <t>verre, sac OM</t>
  </si>
  <si>
    <t>FLUX_ENTRANT_9</t>
  </si>
  <si>
    <t>JRM_7</t>
  </si>
  <si>
    <t>JRM_8</t>
  </si>
  <si>
    <t>JRM_9</t>
  </si>
  <si>
    <t>EMR_7</t>
  </si>
  <si>
    <t>EMR_8</t>
  </si>
  <si>
    <t>EMR_9</t>
  </si>
  <si>
    <t>PET_clair_7</t>
  </si>
  <si>
    <t>PET_clair_8</t>
  </si>
  <si>
    <t>films plastiques non valo principalement</t>
  </si>
  <si>
    <t>gros plastiques</t>
  </si>
  <si>
    <t>FILM_PE_7</t>
  </si>
  <si>
    <t>FILM_PE_8</t>
  </si>
  <si>
    <t>ELA_7</t>
  </si>
  <si>
    <t>Aluminium_7</t>
  </si>
  <si>
    <t>PEHD/PP_7</t>
  </si>
  <si>
    <t>FLUX_DEV_7</t>
  </si>
  <si>
    <t>PCM_7</t>
  </si>
  <si>
    <t>Acier_7</t>
  </si>
  <si>
    <t>Acier_8</t>
  </si>
  <si>
    <t>aérosol et conserves pleines</t>
  </si>
  <si>
    <t>Acier_9</t>
  </si>
  <si>
    <t>ELA_8</t>
  </si>
  <si>
    <t>ELA_9</t>
  </si>
  <si>
    <t>FLUX_DEV_8</t>
  </si>
  <si>
    <t>FLUX_DEV_9</t>
  </si>
  <si>
    <t>Refus_7</t>
  </si>
  <si>
    <t>Refus_8</t>
  </si>
  <si>
    <t>PCM_8</t>
  </si>
  <si>
    <t>PCM_9</t>
  </si>
  <si>
    <t>Refus_9</t>
  </si>
  <si>
    <t>FILM_PE_9</t>
  </si>
  <si>
    <t>PET_clair_9</t>
  </si>
  <si>
    <t>PEHD/PP_8</t>
  </si>
  <si>
    <t>PEHD/PP_9</t>
  </si>
  <si>
    <t>Aluminium_8</t>
  </si>
  <si>
    <t>Aluminium_9</t>
  </si>
  <si>
    <t>Gros_cartons_7</t>
  </si>
  <si>
    <t>Gros_cartons_8</t>
  </si>
  <si>
    <t>Gros_cartons_9</t>
  </si>
  <si>
    <t>Prélèvement 22 _2</t>
  </si>
  <si>
    <t>Prélèvement 23 _2</t>
  </si>
  <si>
    <t>Prélèvement 24 _2</t>
  </si>
  <si>
    <t>Prélèvement 25+27+30_2</t>
  </si>
  <si>
    <t>Prélèvement 26_2</t>
  </si>
  <si>
    <t>Prélèvement 28_2</t>
  </si>
  <si>
    <t>Prélèvement 29_2</t>
  </si>
  <si>
    <t>Prélèvement 31_2</t>
  </si>
  <si>
    <t>Prélèvement 32_2</t>
  </si>
  <si>
    <t>Prélèvement 35+38_2</t>
  </si>
  <si>
    <t>Prélèvement 36+39_2</t>
  </si>
  <si>
    <t>Prélèvement 37+40_2</t>
  </si>
  <si>
    <t>Petits_alus_3</t>
  </si>
  <si>
    <t>Prélèvement 15 _2</t>
  </si>
  <si>
    <t>Prélèvement 16+19_2</t>
  </si>
  <si>
    <t>Prélèvement 20_2</t>
  </si>
  <si>
    <t>Prélèvement 10 + 12 _2</t>
  </si>
  <si>
    <t>Prélèvement 11 + 13 _2</t>
  </si>
  <si>
    <t>Prélèvement 14 _2</t>
  </si>
  <si>
    <t>Prélèvement 17_2</t>
  </si>
  <si>
    <t>Prélèvement 33 _2</t>
  </si>
  <si>
    <t>Prélèvement 34 _2</t>
  </si>
  <si>
    <t>dont verre, sac OM</t>
  </si>
  <si>
    <t>Analyse échantillons - flux sortant - série 3 (janvier)</t>
  </si>
  <si>
    <t>Prélèvement 18+21_2</t>
  </si>
  <si>
    <t>Analyse échantillons - sortie tri optique - série 1</t>
  </si>
  <si>
    <t>EMR_10</t>
  </si>
  <si>
    <t>PET_clair_10</t>
  </si>
  <si>
    <t>FLUX_DEV_10</t>
  </si>
  <si>
    <t>PEHD/PP_10</t>
  </si>
  <si>
    <t>FILM_PE_10</t>
  </si>
  <si>
    <t>ELA_10</t>
  </si>
  <si>
    <t>Aluminium_10</t>
  </si>
  <si>
    <t>JRM_10</t>
  </si>
  <si>
    <t>JRM_11</t>
  </si>
  <si>
    <t>PCM_10</t>
  </si>
  <si>
    <t>PCM_11</t>
  </si>
  <si>
    <t>Refus_10</t>
  </si>
  <si>
    <t>Gros_cartons_10</t>
  </si>
  <si>
    <t>Petits_alus_4</t>
  </si>
  <si>
    <t>EMR_11</t>
  </si>
  <si>
    <t>ELA_11</t>
  </si>
  <si>
    <t>FILM_PE_11</t>
  </si>
  <si>
    <t>PET_clair_11</t>
  </si>
  <si>
    <t>PEHD/PP_11</t>
  </si>
  <si>
    <t>FLUX_DEV_11</t>
  </si>
  <si>
    <t>JRM_12</t>
  </si>
  <si>
    <t>Gros_cartons_11</t>
  </si>
  <si>
    <t>Gros_cartons_12</t>
  </si>
  <si>
    <t>PCM_12</t>
  </si>
  <si>
    <t>Refus_11</t>
  </si>
  <si>
    <t>Refus_12</t>
  </si>
  <si>
    <t>EMR_12</t>
  </si>
  <si>
    <t>FILM_PE_12</t>
  </si>
  <si>
    <t>PEHD/PP_12</t>
  </si>
  <si>
    <t>PET_clair_12</t>
  </si>
  <si>
    <t>Morceaux de PVC noir d'1,35kg + 1 casserole de 0,55kg</t>
  </si>
  <si>
    <t>Aluminium_11</t>
  </si>
  <si>
    <t>Aluminium_12</t>
  </si>
  <si>
    <t>FLUX_DEV_12</t>
  </si>
  <si>
    <t>ELA_12</t>
  </si>
  <si>
    <t>Acier_10</t>
  </si>
  <si>
    <t>Acier_11</t>
  </si>
  <si>
    <t>Acier_12</t>
  </si>
  <si>
    <t>Analyse échantillons - flux sortant - série 4 (février)</t>
  </si>
  <si>
    <t>Prélèvement 29_3</t>
  </si>
  <si>
    <t>Prélèvement 26_3</t>
  </si>
  <si>
    <t>Prélèvement 36+39_3</t>
  </si>
  <si>
    <t>Prélèvement 25+27+30_3</t>
  </si>
  <si>
    <t>Prélèvement 28_3</t>
  </si>
  <si>
    <t>Prélèvement 31_3</t>
  </si>
  <si>
    <t>Prélèvement 32_3</t>
  </si>
  <si>
    <t>Prélèvement 35+38_3</t>
  </si>
  <si>
    <t>Prélèvement 37+40_3</t>
  </si>
  <si>
    <t>Prélèvement 34 _3</t>
  </si>
  <si>
    <t>Prélèvement 22 _3</t>
  </si>
  <si>
    <t>Prélèvement 24 _3</t>
  </si>
  <si>
    <t>Prélèvement 23 _3</t>
  </si>
  <si>
    <t>Prélèvement 33 _3</t>
  </si>
  <si>
    <t>Prélèvement 15 _3</t>
  </si>
  <si>
    <t>Prélèvement 14 _3</t>
  </si>
  <si>
    <t>FLUX_ENTRANT_10</t>
  </si>
  <si>
    <t>FLUX_ENTRANT_11</t>
  </si>
  <si>
    <t>Analyse échantillons - sortie tri optique - série 3</t>
  </si>
  <si>
    <t>Analyse échantillons - sortie tri optique - série 4</t>
  </si>
  <si>
    <t>Non réalisé</t>
  </si>
  <si>
    <t>Analyse échantillons - flux entrant - 4ème série (février 2022)</t>
  </si>
  <si>
    <t>Analyse échantillons - flux entrant - 3ème série (janvier 2022)</t>
  </si>
  <si>
    <t>TABLE_PET_1</t>
  </si>
  <si>
    <t>TABLE_PET</t>
  </si>
  <si>
    <t>TABLE_FILMS_1</t>
  </si>
  <si>
    <t>TABLE_FILMS</t>
  </si>
  <si>
    <t>TABLE_PEPP_1</t>
  </si>
  <si>
    <t>TABLE_PEPP</t>
  </si>
  <si>
    <t>TABLE_ELA_1</t>
  </si>
  <si>
    <t>TABLE_ELA</t>
  </si>
  <si>
    <t>TABLE_FLUXDEV_1</t>
  </si>
  <si>
    <t>TABLE_FLUXDEV</t>
  </si>
  <si>
    <t>TABLE_JRM1_1</t>
  </si>
  <si>
    <t>TABLE_JRM1</t>
  </si>
  <si>
    <t>TABLE_JRM2_1</t>
  </si>
  <si>
    <t>TABLE_JRM2</t>
  </si>
  <si>
    <t>TABLE_EMR_1</t>
  </si>
  <si>
    <t>TABLE_EMR</t>
  </si>
  <si>
    <t>TABLE_PCM_1</t>
  </si>
  <si>
    <t>TABLE_PCM</t>
  </si>
  <si>
    <t>TABLE_REFUS_1</t>
  </si>
  <si>
    <t>TABLE_REFUS</t>
  </si>
  <si>
    <t>,</t>
  </si>
  <si>
    <t>Total TABLE_ELA</t>
  </si>
  <si>
    <t>Total TABLE_EMR</t>
  </si>
  <si>
    <t>Total TABLE_FILMS</t>
  </si>
  <si>
    <t>Total TABLE_FLUXDEV</t>
  </si>
  <si>
    <t>Total TABLE_JRM1</t>
  </si>
  <si>
    <t>Total TABLE_JRM2</t>
  </si>
  <si>
    <t>Total TABLE_PCM</t>
  </si>
  <si>
    <t>Total TABLE_PEPP</t>
  </si>
  <si>
    <t>Total TABLE_PET</t>
  </si>
  <si>
    <t>Total TABLE_REFUS</t>
  </si>
  <si>
    <t>Analyse échantillons - entrée tables de tri (24/02/2022)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</si>
</sst>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7030A0"/>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
      <sz val="11"/>
      <name val="Calibri"/>
      <family val="2"/>
      <scheme val="minor"/>
    </font>
    <font>
      <b/>
      <sz val="12"/>
      <name val="Calibri"/>
      <family val="2"/>
      <scheme val="minor"/>
    </font>
    <font>
      <sz val="11"/>
      <color theme="1"/>
      <name val="Calibri"/>
      <family val="2"/>
      <scheme val="minor"/>
    </font>
    <font>
      <sz val="8"/>
      <name val="Calibri"/>
      <family val="2"/>
      <scheme val="minor"/>
    </font>
    <font>
      <b/>
      <sz val="16"/>
      <color theme="0"/>
      <name val="Calibri"/>
      <family val="2"/>
      <scheme val="minor"/>
    </font>
    <font>
      <i/>
      <sz val="11"/>
      <color theme="1"/>
      <name val="Calibri"/>
      <family val="2"/>
      <scheme val="minor"/>
    </font>
    <font>
      <i/>
      <sz val="9"/>
      <color theme="1"/>
      <name val="Calibri"/>
      <family val="2"/>
      <scheme val="minor"/>
    </font>
    <font>
      <sz val="9"/>
      <color indexed="81"/>
      <name val="Tahoma"/>
      <family val="2"/>
    </font>
    <font>
      <b/>
      <sz val="9"/>
      <color indexed="81"/>
      <name val="Tahoma"/>
      <family val="2"/>
    </font>
    <font>
      <i/>
      <sz val="12"/>
      <color theme="1"/>
      <name val="Calibri"/>
      <family val="2"/>
      <scheme val="minor"/>
    </font>
    <font>
      <b/>
      <sz val="16"/>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2"/>
        <bgColor indexed="64"/>
      </patternFill>
    </fill>
    <fill>
      <patternFill patternType="solid">
        <fgColor rgb="FFFFCCCC"/>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99"/>
        <bgColor indexed="64"/>
      </patternFill>
    </fill>
    <fill>
      <patternFill patternType="solid">
        <fgColor theme="4" tint="0.59999389629810485"/>
        <bgColor indexed="64"/>
      </patternFill>
    </fill>
    <fill>
      <patternFill patternType="solid">
        <fgColor rgb="FF7030A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12" fillId="0" borderId="0" applyFont="0" applyFill="0" applyBorder="0" applyAlignment="0" applyProtection="0"/>
  </cellStyleXfs>
  <cellXfs count="125">
    <xf numFmtId="0" fontId="0" fillId="0" borderId="0" xfId="0"/>
    <xf numFmtId="0" fontId="0" fillId="0" borderId="1" xfId="0" applyBorder="1"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0" fillId="7" borderId="0" xfId="0" applyFill="1"/>
    <xf numFmtId="0" fontId="5" fillId="7" borderId="11" xfId="0" applyFont="1" applyFill="1" applyBorder="1" applyAlignment="1">
      <alignment horizontal="center" vertical="center" wrapText="1"/>
    </xf>
    <xf numFmtId="0" fontId="0" fillId="7" borderId="1" xfId="0" applyFill="1" applyBorder="1"/>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0" fillId="7" borderId="4" xfId="0" applyFill="1" applyBorder="1"/>
    <xf numFmtId="0" fontId="0" fillId="0" borderId="5" xfId="0" applyBorder="1"/>
    <xf numFmtId="0" fontId="0" fillId="0" borderId="7" xfId="0" applyBorder="1"/>
    <xf numFmtId="0" fontId="0" fillId="0" borderId="4" xfId="0" applyBorder="1" applyAlignment="1">
      <alignment horizontal="center"/>
    </xf>
    <xf numFmtId="0" fontId="0" fillId="4" borderId="4"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14" fontId="0" fillId="0" borderId="3" xfId="0" applyNumberFormat="1" applyBorder="1" applyAlignment="1">
      <alignment horizontal="center"/>
    </xf>
    <xf numFmtId="14" fontId="0" fillId="0" borderId="6" xfId="0" applyNumberFormat="1" applyBorder="1" applyAlignment="1">
      <alignment horizontal="center"/>
    </xf>
    <xf numFmtId="2" fontId="0" fillId="0" borderId="4" xfId="0" applyNumberFormat="1" applyBorder="1" applyAlignment="1">
      <alignment horizontal="center"/>
    </xf>
    <xf numFmtId="2" fontId="0" fillId="0" borderId="1" xfId="0" applyNumberFormat="1" applyBorder="1" applyAlignment="1">
      <alignment horizontal="center"/>
    </xf>
    <xf numFmtId="10" fontId="0" fillId="0" borderId="4" xfId="0" applyNumberFormat="1" applyBorder="1" applyAlignment="1">
      <alignment horizontal="center"/>
    </xf>
    <xf numFmtId="10" fontId="0" fillId="0" borderId="1" xfId="0" applyNumberFormat="1" applyBorder="1" applyAlignment="1">
      <alignment horizontal="center"/>
    </xf>
    <xf numFmtId="2" fontId="3" fillId="8" borderId="4" xfId="0" applyNumberFormat="1" applyFont="1" applyFill="1" applyBorder="1" applyAlignment="1">
      <alignment horizontal="center"/>
    </xf>
    <xf numFmtId="2" fontId="6" fillId="8" borderId="1" xfId="0" applyNumberFormat="1" applyFont="1" applyFill="1" applyBorder="1" applyAlignment="1">
      <alignment horizontal="center"/>
    </xf>
    <xf numFmtId="0" fontId="3" fillId="8" borderId="10" xfId="0" applyFont="1" applyFill="1" applyBorder="1" applyAlignment="1">
      <alignment horizontal="center" vertical="center" wrapText="1"/>
    </xf>
    <xf numFmtId="10" fontId="4" fillId="8" borderId="1" xfId="0" applyNumberFormat="1" applyFont="1" applyFill="1" applyBorder="1" applyAlignment="1">
      <alignment horizontal="center"/>
    </xf>
    <xf numFmtId="0" fontId="9" fillId="0" borderId="0" xfId="0" applyFont="1" applyAlignment="1">
      <alignment vertical="center"/>
    </xf>
    <xf numFmtId="0" fontId="10" fillId="4" borderId="13" xfId="0" applyFont="1" applyFill="1" applyBorder="1" applyAlignment="1">
      <alignment vertical="center"/>
    </xf>
    <xf numFmtId="0" fontId="7" fillId="4" borderId="9"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6" xfId="0" applyFont="1" applyFill="1" applyBorder="1" applyAlignment="1">
      <alignment horizontal="center" vertical="center"/>
    </xf>
    <xf numFmtId="0" fontId="7" fillId="3" borderId="8" xfId="0" applyFont="1" applyFill="1" applyBorder="1" applyAlignment="1">
      <alignment horizontal="center" vertical="center"/>
    </xf>
    <xf numFmtId="0" fontId="11" fillId="4" borderId="12" xfId="0" applyFont="1" applyFill="1" applyBorder="1" applyAlignment="1">
      <alignment vertical="center" wrapText="1"/>
    </xf>
    <xf numFmtId="0" fontId="11" fillId="4" borderId="14" xfId="0" applyFont="1" applyFill="1" applyBorder="1" applyAlignment="1">
      <alignment vertical="center" wrapText="1"/>
    </xf>
    <xf numFmtId="0" fontId="11" fillId="4" borderId="17" xfId="0" applyFont="1" applyFill="1" applyBorder="1" applyAlignment="1">
      <alignment vertical="center" wrapText="1"/>
    </xf>
    <xf numFmtId="0" fontId="11" fillId="4" borderId="13" xfId="0" applyFont="1" applyFill="1" applyBorder="1" applyAlignment="1">
      <alignment vertical="center" wrapText="1"/>
    </xf>
    <xf numFmtId="14" fontId="7" fillId="2" borderId="21" xfId="0" applyNumberFormat="1" applyFont="1" applyFill="1" applyBorder="1" applyAlignment="1">
      <alignment horizontal="center" vertical="center"/>
    </xf>
    <xf numFmtId="1" fontId="7" fillId="2" borderId="7" xfId="0" applyNumberFormat="1" applyFont="1" applyFill="1" applyBorder="1" applyAlignment="1">
      <alignment horizontal="center" vertical="center"/>
    </xf>
    <xf numFmtId="0" fontId="7" fillId="2" borderId="7" xfId="0" applyFont="1" applyFill="1" applyBorder="1" applyAlignment="1">
      <alignment horizontal="center" vertical="center"/>
    </xf>
    <xf numFmtId="0" fontId="7" fillId="2" borderId="22" xfId="0" applyFont="1" applyFill="1" applyBorder="1" applyAlignment="1">
      <alignment horizontal="center" vertical="center"/>
    </xf>
    <xf numFmtId="0" fontId="9" fillId="0" borderId="11" xfId="0" applyFont="1" applyBorder="1" applyAlignment="1">
      <alignment vertical="center" wrapText="1"/>
    </xf>
    <xf numFmtId="0" fontId="9" fillId="0" borderId="7" xfId="0" applyFont="1" applyBorder="1" applyAlignment="1">
      <alignment horizontal="center" vertical="center"/>
    </xf>
    <xf numFmtId="0" fontId="10" fillId="3" borderId="13" xfId="0" applyFont="1" applyFill="1" applyBorder="1" applyAlignment="1">
      <alignment vertical="center"/>
    </xf>
    <xf numFmtId="0" fontId="0" fillId="0" borderId="0" xfId="0" pivotButton="1"/>
    <xf numFmtId="0" fontId="0" fillId="0" borderId="0" xfId="0" applyAlignment="1">
      <alignment horizontal="left"/>
    </xf>
    <xf numFmtId="164" fontId="0" fillId="0" borderId="1" xfId="1" applyNumberFormat="1" applyFont="1" applyBorder="1" applyAlignment="1">
      <alignment horizontal="center" vertical="center"/>
    </xf>
    <xf numFmtId="0" fontId="1" fillId="2" borderId="1" xfId="0" applyFont="1" applyFill="1" applyBorder="1" applyAlignment="1">
      <alignment horizontal="center" vertical="center"/>
    </xf>
    <xf numFmtId="164" fontId="1" fillId="0" borderId="1" xfId="0" applyNumberFormat="1" applyFont="1" applyBorder="1" applyAlignment="1">
      <alignment horizontal="center" vertical="center"/>
    </xf>
    <xf numFmtId="0" fontId="1" fillId="2" borderId="1" xfId="0" applyFont="1" applyFill="1" applyBorder="1"/>
    <xf numFmtId="164" fontId="1" fillId="2" borderId="1" xfId="0" applyNumberFormat="1" applyFont="1" applyFill="1" applyBorder="1" applyAlignment="1">
      <alignment horizontal="center" vertical="center"/>
    </xf>
    <xf numFmtId="0" fontId="0" fillId="2" borderId="1" xfId="0" applyFill="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0" fillId="0" borderId="1" xfId="0" applyBorder="1" applyAlignment="1">
      <alignment horizontal="center" vertical="center"/>
    </xf>
    <xf numFmtId="0" fontId="11" fillId="3" borderId="14" xfId="0" applyFont="1" applyFill="1" applyBorder="1" applyAlignment="1">
      <alignment vertical="center" wrapText="1"/>
    </xf>
    <xf numFmtId="0" fontId="10" fillId="4" borderId="12" xfId="0" applyFont="1" applyFill="1" applyBorder="1" applyAlignment="1">
      <alignment vertical="center"/>
    </xf>
    <xf numFmtId="14" fontId="0" fillId="0" borderId="6" xfId="0" applyNumberFormat="1" applyBorder="1" applyAlignment="1">
      <alignment horizontal="center" vertical="center"/>
    </xf>
    <xf numFmtId="2" fontId="6" fillId="8" borderId="1" xfId="0" applyNumberFormat="1" applyFont="1" applyFill="1" applyBorder="1" applyAlignment="1">
      <alignment horizontal="center" vertical="center"/>
    </xf>
    <xf numFmtId="0" fontId="0" fillId="3" borderId="1" xfId="0" applyFill="1" applyBorder="1" applyAlignment="1">
      <alignment horizontal="center" vertical="center"/>
    </xf>
    <xf numFmtId="2" fontId="0" fillId="0" borderId="1" xfId="0" applyNumberFormat="1" applyBorder="1" applyAlignment="1">
      <alignment horizontal="center" vertical="center"/>
    </xf>
    <xf numFmtId="0" fontId="0" fillId="7" borderId="1" xfId="0" applyFill="1" applyBorder="1" applyAlignment="1">
      <alignment vertical="center"/>
    </xf>
    <xf numFmtId="10" fontId="0" fillId="0" borderId="1" xfId="0" applyNumberFormat="1" applyBorder="1" applyAlignment="1">
      <alignment horizontal="center" vertical="center"/>
    </xf>
    <xf numFmtId="0" fontId="0" fillId="0" borderId="7" xfId="0" applyBorder="1" applyAlignment="1">
      <alignment vertical="center" wrapText="1"/>
    </xf>
    <xf numFmtId="10" fontId="0" fillId="0" borderId="0" xfId="0" applyNumberFormat="1" applyAlignment="1">
      <alignment horizontal="center"/>
    </xf>
    <xf numFmtId="0" fontId="1" fillId="10" borderId="1" xfId="0" applyFont="1" applyFill="1" applyBorder="1" applyAlignment="1">
      <alignment horizontal="center"/>
    </xf>
    <xf numFmtId="0" fontId="15" fillId="0" borderId="1" xfId="0" applyFont="1" applyBorder="1" applyAlignment="1">
      <alignment horizontal="center" vertical="center"/>
    </xf>
    <xf numFmtId="0" fontId="16" fillId="0" borderId="1" xfId="0" quotePrefix="1" applyFont="1" applyBorder="1" applyAlignment="1">
      <alignment horizontal="left" vertical="center" wrapText="1"/>
    </xf>
    <xf numFmtId="164" fontId="0" fillId="0" borderId="6" xfId="1" applyNumberFormat="1" applyFont="1" applyBorder="1" applyAlignment="1">
      <alignment horizontal="center" vertical="center"/>
    </xf>
    <xf numFmtId="164" fontId="0" fillId="0" borderId="28" xfId="1" applyNumberFormat="1" applyFont="1" applyBorder="1" applyAlignment="1">
      <alignment horizontal="center" vertical="center"/>
    </xf>
    <xf numFmtId="164" fontId="0" fillId="0" borderId="13" xfId="1" applyNumberFormat="1" applyFont="1" applyBorder="1" applyAlignment="1">
      <alignment horizontal="center" vertical="center"/>
    </xf>
    <xf numFmtId="0" fontId="0" fillId="11" borderId="26" xfId="0" applyFill="1" applyBorder="1" applyAlignment="1">
      <alignment horizontal="center" vertical="center"/>
    </xf>
    <xf numFmtId="0" fontId="0" fillId="11" borderId="27" xfId="0" applyFill="1" applyBorder="1" applyAlignment="1">
      <alignment horizontal="center" vertical="center"/>
    </xf>
    <xf numFmtId="0" fontId="0" fillId="11" borderId="29" xfId="0" applyFill="1" applyBorder="1" applyAlignment="1">
      <alignment horizontal="center" vertical="center" wrapText="1"/>
    </xf>
    <xf numFmtId="9" fontId="0" fillId="0" borderId="30" xfId="0" applyNumberFormat="1" applyBorder="1" applyAlignment="1">
      <alignment horizontal="center"/>
    </xf>
    <xf numFmtId="9" fontId="0" fillId="0" borderId="0" xfId="0" applyNumberFormat="1" applyAlignment="1">
      <alignment horizontal="center"/>
    </xf>
    <xf numFmtId="9" fontId="0" fillId="0" borderId="31" xfId="0" applyNumberFormat="1" applyBorder="1" applyAlignment="1">
      <alignment horizont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2" borderId="28" xfId="0" applyFill="1" applyBorder="1"/>
    <xf numFmtId="0" fontId="1" fillId="2" borderId="32" xfId="0" applyFont="1" applyFill="1" applyBorder="1"/>
    <xf numFmtId="0" fontId="0" fillId="0" borderId="8"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8" xfId="0" quotePrefix="1" applyBorder="1" applyAlignment="1">
      <alignment horizontal="left" vertical="center" wrapText="1"/>
    </xf>
    <xf numFmtId="0" fontId="0" fillId="12" borderId="14" xfId="0" applyFill="1" applyBorder="1" applyAlignment="1">
      <alignment horizontal="left" vertical="center" wrapText="1"/>
    </xf>
    <xf numFmtId="0" fontId="19" fillId="0" borderId="28" xfId="0" applyFont="1" applyBorder="1" applyAlignment="1">
      <alignment horizontal="left" vertical="center" wrapText="1"/>
    </xf>
    <xf numFmtId="10" fontId="0" fillId="0" borderId="0" xfId="0" applyNumberFormat="1"/>
    <xf numFmtId="0" fontId="0" fillId="0" borderId="34" xfId="0" quotePrefix="1" applyBorder="1" applyAlignment="1">
      <alignment horizontal="left" vertical="center" wrapText="1"/>
    </xf>
    <xf numFmtId="10"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center" vertical="center" wrapText="1"/>
    </xf>
    <xf numFmtId="0" fontId="0" fillId="11" borderId="26" xfId="0" applyFill="1" applyBorder="1" applyAlignment="1">
      <alignment horizontal="center" vertical="center" wrapText="1"/>
    </xf>
    <xf numFmtId="0" fontId="19"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10" fontId="0" fillId="0" borderId="0" xfId="0" applyNumberFormat="1" applyAlignment="1">
      <alignment horizontal="center" vertical="center"/>
    </xf>
    <xf numFmtId="0" fontId="0" fillId="0" borderId="33" xfId="0" quotePrefix="1" applyBorder="1" applyAlignment="1">
      <alignment horizontal="left" vertical="center" wrapText="1"/>
    </xf>
    <xf numFmtId="0" fontId="2" fillId="0" borderId="0" xfId="0" applyFont="1"/>
    <xf numFmtId="2" fontId="0" fillId="7" borderId="1" xfId="0" applyNumberFormat="1" applyFill="1" applyBorder="1"/>
    <xf numFmtId="0" fontId="0" fillId="2" borderId="37" xfId="0" applyFill="1" applyBorder="1"/>
    <xf numFmtId="0" fontId="1" fillId="2" borderId="0" xfId="0" applyFont="1" applyFill="1"/>
    <xf numFmtId="164" fontId="1" fillId="11" borderId="1" xfId="0" applyNumberFormat="1" applyFont="1" applyFill="1" applyBorder="1" applyAlignment="1">
      <alignment horizontal="center" vertical="center"/>
    </xf>
    <xf numFmtId="0" fontId="14" fillId="9" borderId="0" xfId="0" applyFont="1" applyFill="1" applyAlignment="1">
      <alignment horizontal="center"/>
    </xf>
    <xf numFmtId="0" fontId="21" fillId="9" borderId="0" xfId="0" applyFont="1" applyFill="1" applyAlignment="1">
      <alignment horizontal="center"/>
    </xf>
    <xf numFmtId="0" fontId="20" fillId="13" borderId="23" xfId="0" applyFont="1" applyFill="1" applyBorder="1" applyAlignment="1">
      <alignment horizontal="center" vertical="center"/>
    </xf>
    <xf numFmtId="0" fontId="20" fillId="13" borderId="35" xfId="0" applyFont="1" applyFill="1" applyBorder="1" applyAlignment="1">
      <alignment horizontal="center" vertical="center"/>
    </xf>
    <xf numFmtId="0" fontId="20" fillId="13" borderId="36" xfId="0" applyFont="1" applyFill="1" applyBorder="1" applyAlignment="1">
      <alignment horizontal="center" vertical="center"/>
    </xf>
    <xf numFmtId="0" fontId="0" fillId="11" borderId="27" xfId="0" applyFill="1" applyBorder="1" applyAlignment="1">
      <alignment horizontal="center" vertical="center" wrapText="1"/>
    </xf>
    <xf numFmtId="0" fontId="0" fillId="11" borderId="0" xfId="0" applyFill="1" applyAlignment="1">
      <alignment horizontal="center" vertical="center" wrapText="1"/>
    </xf>
    <xf numFmtId="0" fontId="0" fillId="11" borderId="38" xfId="0" applyFill="1" applyBorder="1" applyAlignment="1">
      <alignment horizontal="center" vertical="center" wrapText="1"/>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4" borderId="23" xfId="0" applyFont="1" applyFill="1" applyBorder="1" applyAlignment="1">
      <alignment horizontal="center" vertical="center"/>
    </xf>
    <xf numFmtId="0" fontId="7" fillId="4" borderId="24"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5" xfId="0" applyFont="1" applyFill="1" applyBorder="1" applyAlignment="1">
      <alignment horizontal="center" vertical="center"/>
    </xf>
    <xf numFmtId="0" fontId="7" fillId="6" borderId="19"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25" xfId="0" applyFont="1" applyFill="1" applyBorder="1" applyAlignment="1">
      <alignment horizontal="center" vertical="center"/>
    </xf>
  </cellXfs>
  <cellStyles count="2">
    <cellStyle name="Normal" xfId="0" builtinId="0"/>
    <cellStyle name="Pourcentage" xfId="1" builtinId="5"/>
  </cellStyles>
  <dxfs count="151">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alignment horizontal="center"/>
    </dxf>
    <dxf>
      <alignment vertic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19.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20.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21.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22.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23.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24.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25.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themeOverride" Target="../theme/themeOverride26.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27.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28.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themeOverride" Target="../theme/themeOverride29.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themeOverride" Target="../theme/themeOverride30.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3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themeOverride" Target="../theme/themeOverride32.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themeOverride" Target="../theme/themeOverride33.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themeOverride" Target="../theme/themeOverride34.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themeOverride" Target="../theme/themeOverride35.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themeOverride" Target="../theme/themeOverride36.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themeOverride" Target="../theme/themeOverride37.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themeOverride" Target="../theme/themeOverride38.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themeOverride" Target="../theme/themeOverride39.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themeOverride" Target="../theme/themeOverride40.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themeOverride" Target="../theme/themeOverride41.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themeOverride" Target="../theme/themeOverride42.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themeOverride" Target="../theme/themeOverride43.xml"/><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3" Type="http://schemas.openxmlformats.org/officeDocument/2006/relationships/themeOverride" Target="../theme/themeOverride44.xml"/><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3" Type="http://schemas.openxmlformats.org/officeDocument/2006/relationships/themeOverride" Target="../theme/themeOverride45.xml"/><Relationship Id="rId2" Type="http://schemas.microsoft.com/office/2011/relationships/chartColorStyle" Target="colors52.xml"/><Relationship Id="rId1" Type="http://schemas.microsoft.com/office/2011/relationships/chartStyle" Target="style5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entrant'!$I$21:$K$21</c:f>
              <c:strCache>
                <c:ptCount val="3"/>
                <c:pt idx="0">
                  <c:v>FLUX_ENTRANT_1</c:v>
                </c:pt>
                <c:pt idx="1">
                  <c:v>FLUX_ENTRANT_2</c:v>
                </c:pt>
                <c:pt idx="2">
                  <c:v>FLUX_ENTRANT_3</c:v>
                </c:pt>
              </c:strCache>
            </c:strRef>
          </c:cat>
          <c:val>
            <c:numRef>
              <c:f>'Analyse flux entrant'!$I$22:$K$22</c:f>
              <c:numCache>
                <c:formatCode>0.0%</c:formatCode>
                <c:ptCount val="3"/>
                <c:pt idx="0">
                  <c:v>0.23036253776435045</c:v>
                </c:pt>
                <c:pt idx="1">
                  <c:v>0.18426501035196693</c:v>
                </c:pt>
                <c:pt idx="2">
                  <c:v>0.19619500594530323</c:v>
                </c:pt>
              </c:numCache>
            </c:numRef>
          </c:val>
          <c:extLst>
            <c:ext xmlns:c16="http://schemas.microsoft.com/office/drawing/2014/chart" uri="{C3380CC4-5D6E-409C-BE32-E72D297353CC}">
              <c16:uniqueId val="{00000000-B10E-42A3-8213-15C02E07ADB3}"/>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entrant'!$I$21:$K$21</c:f>
              <c:strCache>
                <c:ptCount val="3"/>
                <c:pt idx="0">
                  <c:v>FLUX_ENTRANT_1</c:v>
                </c:pt>
                <c:pt idx="1">
                  <c:v>FLUX_ENTRANT_2</c:v>
                </c:pt>
                <c:pt idx="2">
                  <c:v>FLUX_ENTRANT_3</c:v>
                </c:pt>
              </c:strCache>
            </c:strRef>
          </c:cat>
          <c:val>
            <c:numRef>
              <c:f>'Analyse flux entrant'!$I$23:$K$23</c:f>
              <c:numCache>
                <c:formatCode>0.0%</c:formatCode>
                <c:ptCount val="3"/>
                <c:pt idx="0">
                  <c:v>0.76963746223564955</c:v>
                </c:pt>
                <c:pt idx="1">
                  <c:v>0.81573498964803304</c:v>
                </c:pt>
                <c:pt idx="2">
                  <c:v>0.80380499405469674</c:v>
                </c:pt>
              </c:numCache>
            </c:numRef>
          </c:val>
          <c:extLst>
            <c:ext xmlns:c16="http://schemas.microsoft.com/office/drawing/2014/chart" uri="{C3380CC4-5D6E-409C-BE32-E72D297353CC}">
              <c16:uniqueId val="{00000001-B10E-42A3-8213-15C02E07ADB3}"/>
            </c:ext>
          </c:extLst>
        </c:ser>
        <c:dLbls>
          <c:showLegendKey val="0"/>
          <c:showVal val="1"/>
          <c:showCatName val="0"/>
          <c:showSerName val="0"/>
          <c:showPercent val="0"/>
          <c:showBubbleSize val="0"/>
        </c:dLbls>
        <c:gapWidth val="95"/>
        <c:overlap val="100"/>
        <c:axId val="131035904"/>
        <c:axId val="131037440"/>
      </c:barChart>
      <c:catAx>
        <c:axId val="13103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037440"/>
        <c:crosses val="autoZero"/>
        <c:auto val="1"/>
        <c:lblAlgn val="ctr"/>
        <c:lblOffset val="100"/>
        <c:noMultiLvlLbl val="0"/>
      </c:catAx>
      <c:valAx>
        <c:axId val="131037440"/>
        <c:scaling>
          <c:orientation val="minMax"/>
          <c:max val="1"/>
        </c:scaling>
        <c:delete val="1"/>
        <c:axPos val="l"/>
        <c:numFmt formatCode="0.0%" sourceLinked="1"/>
        <c:majorTickMark val="none"/>
        <c:minorTickMark val="none"/>
        <c:tickLblPos val="none"/>
        <c:crossAx val="131035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entrant'!$U$21:$W$21</c:f>
              <c:strCache>
                <c:ptCount val="3"/>
                <c:pt idx="0">
                  <c:v>FLUX_ENTRANT_4</c:v>
                </c:pt>
                <c:pt idx="1">
                  <c:v>FLUX_ENTRANT_5</c:v>
                </c:pt>
                <c:pt idx="2">
                  <c:v>FLUX_ENTRANT_6</c:v>
                </c:pt>
              </c:strCache>
            </c:strRef>
          </c:cat>
          <c:val>
            <c:numRef>
              <c:f>'Analyse flux entrant'!$U$22:$W$22</c:f>
              <c:numCache>
                <c:formatCode>0.0%</c:formatCode>
                <c:ptCount val="3"/>
                <c:pt idx="0">
                  <c:v>0.12932790224032584</c:v>
                </c:pt>
                <c:pt idx="1">
                  <c:v>0.14650283553875237</c:v>
                </c:pt>
                <c:pt idx="2">
                  <c:v>0.14886459209419681</c:v>
                </c:pt>
              </c:numCache>
            </c:numRef>
          </c:val>
          <c:extLst>
            <c:ext xmlns:c16="http://schemas.microsoft.com/office/drawing/2014/chart" uri="{C3380CC4-5D6E-409C-BE32-E72D297353CC}">
              <c16:uniqueId val="{00000000-4548-4216-ACE4-A1CF00ADBD2F}"/>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entrant'!$U$21:$W$21</c:f>
              <c:strCache>
                <c:ptCount val="3"/>
                <c:pt idx="0">
                  <c:v>FLUX_ENTRANT_4</c:v>
                </c:pt>
                <c:pt idx="1">
                  <c:v>FLUX_ENTRANT_5</c:v>
                </c:pt>
                <c:pt idx="2">
                  <c:v>FLUX_ENTRANT_6</c:v>
                </c:pt>
              </c:strCache>
            </c:strRef>
          </c:cat>
          <c:val>
            <c:numRef>
              <c:f>'Analyse flux entrant'!$U$23:$W$23</c:f>
              <c:numCache>
                <c:formatCode>0.0%</c:formatCode>
                <c:ptCount val="3"/>
                <c:pt idx="0">
                  <c:v>0.87067209775967414</c:v>
                </c:pt>
                <c:pt idx="1">
                  <c:v>0.85349716446124768</c:v>
                </c:pt>
                <c:pt idx="2">
                  <c:v>0.85113540790580322</c:v>
                </c:pt>
              </c:numCache>
            </c:numRef>
          </c:val>
          <c:extLst>
            <c:ext xmlns:c16="http://schemas.microsoft.com/office/drawing/2014/chart" uri="{C3380CC4-5D6E-409C-BE32-E72D297353CC}">
              <c16:uniqueId val="{00000001-4548-4216-ACE4-A1CF00ADBD2F}"/>
            </c:ext>
          </c:extLst>
        </c:ser>
        <c:dLbls>
          <c:showLegendKey val="0"/>
          <c:showVal val="1"/>
          <c:showCatName val="0"/>
          <c:showSerName val="0"/>
          <c:showPercent val="0"/>
          <c:showBubbleSize val="0"/>
        </c:dLbls>
        <c:gapWidth val="95"/>
        <c:overlap val="100"/>
        <c:axId val="130982656"/>
        <c:axId val="130984192"/>
      </c:barChart>
      <c:catAx>
        <c:axId val="1309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0984192"/>
        <c:crosses val="autoZero"/>
        <c:auto val="1"/>
        <c:lblAlgn val="ctr"/>
        <c:lblOffset val="100"/>
        <c:noMultiLvlLbl val="0"/>
      </c:catAx>
      <c:valAx>
        <c:axId val="130984192"/>
        <c:scaling>
          <c:orientation val="minMax"/>
          <c:max val="1"/>
        </c:scaling>
        <c:delete val="1"/>
        <c:axPos val="l"/>
        <c:numFmt formatCode="0.0%" sourceLinked="1"/>
        <c:majorTickMark val="none"/>
        <c:minorTickMark val="none"/>
        <c:tickLblPos val="none"/>
        <c:crossAx val="13098265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entrant'!$AG$21:$AI$21</c:f>
              <c:strCache>
                <c:ptCount val="3"/>
                <c:pt idx="0">
                  <c:v>FLUX_ENTRANT_7</c:v>
                </c:pt>
                <c:pt idx="1">
                  <c:v>FLUX_ENTRANT_8</c:v>
                </c:pt>
                <c:pt idx="2">
                  <c:v>FLUX_ENTRANT_9</c:v>
                </c:pt>
              </c:strCache>
            </c:strRef>
          </c:cat>
          <c:val>
            <c:numRef>
              <c:f>'Analyse flux entrant'!$AG$22:$AI$22</c:f>
              <c:numCache>
                <c:formatCode>0.0%</c:formatCode>
                <c:ptCount val="3"/>
                <c:pt idx="0">
                  <c:v>0.13411341134113411</c:v>
                </c:pt>
                <c:pt idx="1">
                  <c:v>0.29103726082578052</c:v>
                </c:pt>
                <c:pt idx="2">
                  <c:v>0.10656620021528519</c:v>
                </c:pt>
              </c:numCache>
            </c:numRef>
          </c:val>
          <c:extLst>
            <c:ext xmlns:c16="http://schemas.microsoft.com/office/drawing/2014/chart" uri="{C3380CC4-5D6E-409C-BE32-E72D297353CC}">
              <c16:uniqueId val="{00000000-79F5-4DD3-B83E-5E76C51B59C9}"/>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entrant'!$AG$21:$AI$21</c:f>
              <c:strCache>
                <c:ptCount val="3"/>
                <c:pt idx="0">
                  <c:v>FLUX_ENTRANT_7</c:v>
                </c:pt>
                <c:pt idx="1">
                  <c:v>FLUX_ENTRANT_8</c:v>
                </c:pt>
                <c:pt idx="2">
                  <c:v>FLUX_ENTRANT_9</c:v>
                </c:pt>
              </c:strCache>
            </c:strRef>
          </c:cat>
          <c:val>
            <c:numRef>
              <c:f>'Analyse flux entrant'!$AG$23:$AI$23</c:f>
              <c:numCache>
                <c:formatCode>0.0%</c:formatCode>
                <c:ptCount val="3"/>
                <c:pt idx="0">
                  <c:v>0.86588658865886592</c:v>
                </c:pt>
                <c:pt idx="1">
                  <c:v>0.70896273917421948</c:v>
                </c:pt>
                <c:pt idx="2">
                  <c:v>0.89343379978471482</c:v>
                </c:pt>
              </c:numCache>
            </c:numRef>
          </c:val>
          <c:extLst>
            <c:ext xmlns:c16="http://schemas.microsoft.com/office/drawing/2014/chart" uri="{C3380CC4-5D6E-409C-BE32-E72D297353CC}">
              <c16:uniqueId val="{00000001-79F5-4DD3-B83E-5E76C51B59C9}"/>
            </c:ext>
          </c:extLst>
        </c:ser>
        <c:dLbls>
          <c:showLegendKey val="0"/>
          <c:showVal val="1"/>
          <c:showCatName val="0"/>
          <c:showSerName val="0"/>
          <c:showPercent val="0"/>
          <c:showBubbleSize val="0"/>
        </c:dLbls>
        <c:gapWidth val="95"/>
        <c:overlap val="100"/>
        <c:axId val="131404544"/>
        <c:axId val="131406080"/>
      </c:barChart>
      <c:catAx>
        <c:axId val="13140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406080"/>
        <c:crosses val="autoZero"/>
        <c:auto val="1"/>
        <c:lblAlgn val="ctr"/>
        <c:lblOffset val="100"/>
        <c:noMultiLvlLbl val="0"/>
      </c:catAx>
      <c:valAx>
        <c:axId val="131406080"/>
        <c:scaling>
          <c:orientation val="minMax"/>
          <c:max val="1"/>
        </c:scaling>
        <c:delete val="1"/>
        <c:axPos val="l"/>
        <c:numFmt formatCode="0.0%" sourceLinked="1"/>
        <c:majorTickMark val="none"/>
        <c:minorTickMark val="none"/>
        <c:tickLblPos val="none"/>
        <c:crossAx val="1314045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entrant'!$AQ$21:$AR$21</c:f>
              <c:strCache>
                <c:ptCount val="2"/>
                <c:pt idx="0">
                  <c:v>FLUX_ENTRANT_10</c:v>
                </c:pt>
                <c:pt idx="1">
                  <c:v>FLUX_ENTRANT_11</c:v>
                </c:pt>
              </c:strCache>
            </c:strRef>
          </c:cat>
          <c:val>
            <c:numRef>
              <c:f>'Analyse flux entrant'!$AQ$22:$AR$22</c:f>
              <c:numCache>
                <c:formatCode>0.0%</c:formatCode>
                <c:ptCount val="2"/>
                <c:pt idx="0">
                  <c:v>0.22878228782287829</c:v>
                </c:pt>
                <c:pt idx="1">
                  <c:v>0.19300106044538706</c:v>
                </c:pt>
              </c:numCache>
            </c:numRef>
          </c:val>
          <c:extLst>
            <c:ext xmlns:c16="http://schemas.microsoft.com/office/drawing/2014/chart" uri="{C3380CC4-5D6E-409C-BE32-E72D297353CC}">
              <c16:uniqueId val="{00000000-D24C-494F-95AF-7D568EFA8127}"/>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entrant'!$AQ$21:$AR$21</c:f>
              <c:strCache>
                <c:ptCount val="2"/>
                <c:pt idx="0">
                  <c:v>FLUX_ENTRANT_10</c:v>
                </c:pt>
                <c:pt idx="1">
                  <c:v>FLUX_ENTRANT_11</c:v>
                </c:pt>
              </c:strCache>
            </c:strRef>
          </c:cat>
          <c:val>
            <c:numRef>
              <c:f>'Analyse flux entrant'!$AQ$23:$AR$23</c:f>
              <c:numCache>
                <c:formatCode>0.0%</c:formatCode>
                <c:ptCount val="2"/>
                <c:pt idx="0">
                  <c:v>0.77121771217712176</c:v>
                </c:pt>
                <c:pt idx="1">
                  <c:v>0.80699893955461288</c:v>
                </c:pt>
              </c:numCache>
            </c:numRef>
          </c:val>
          <c:extLst>
            <c:ext xmlns:c16="http://schemas.microsoft.com/office/drawing/2014/chart" uri="{C3380CC4-5D6E-409C-BE32-E72D297353CC}">
              <c16:uniqueId val="{00000001-D24C-494F-95AF-7D568EFA8127}"/>
            </c:ext>
          </c:extLst>
        </c:ser>
        <c:dLbls>
          <c:showLegendKey val="0"/>
          <c:showVal val="1"/>
          <c:showCatName val="0"/>
          <c:showSerName val="0"/>
          <c:showPercent val="0"/>
          <c:showBubbleSize val="0"/>
        </c:dLbls>
        <c:gapWidth val="95"/>
        <c:overlap val="100"/>
        <c:axId val="131547904"/>
        <c:axId val="131549440"/>
      </c:barChart>
      <c:catAx>
        <c:axId val="13154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549440"/>
        <c:crosses val="autoZero"/>
        <c:auto val="1"/>
        <c:lblAlgn val="ctr"/>
        <c:lblOffset val="100"/>
        <c:noMultiLvlLbl val="0"/>
      </c:catAx>
      <c:valAx>
        <c:axId val="131549440"/>
        <c:scaling>
          <c:orientation val="minMax"/>
          <c:max val="1"/>
        </c:scaling>
        <c:delete val="1"/>
        <c:axPos val="l"/>
        <c:numFmt formatCode="0.0%" sourceLinked="1"/>
        <c:majorTickMark val="none"/>
        <c:minorTickMark val="none"/>
        <c:tickLblPos val="none"/>
        <c:crossAx val="131547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sortant'!$B$21:$D$21</c:f>
              <c:numCache>
                <c:formatCode>0.0%</c:formatCode>
                <c:ptCount val="3"/>
                <c:pt idx="0">
                  <c:v>0.51483050847457623</c:v>
                </c:pt>
                <c:pt idx="1">
                  <c:v>0.68008474576271194</c:v>
                </c:pt>
                <c:pt idx="2">
                  <c:v>0.6810176125244618</c:v>
                </c:pt>
              </c:numCache>
            </c:numRef>
          </c:val>
          <c:extLst>
            <c:ext xmlns:c16="http://schemas.microsoft.com/office/drawing/2014/chart" uri="{C3380CC4-5D6E-409C-BE32-E72D297353CC}">
              <c16:uniqueId val="{00000000-2292-4EEC-9499-B1E474078F1D}"/>
            </c:ext>
          </c:extLst>
        </c:ser>
        <c:ser>
          <c:idx val="1"/>
          <c:order val="1"/>
          <c:tx>
            <c:strRef>
              <c:f>'Analyse flux sortant'!$A$22</c:f>
              <c:strCache>
                <c:ptCount val="1"/>
                <c:pt idx="0">
                  <c:v>% autres valorisables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sortant'!$B$22:$D$22</c:f>
              <c:numCache>
                <c:formatCode>0.0%</c:formatCode>
                <c:ptCount val="3"/>
                <c:pt idx="0">
                  <c:v>0.48516949152542377</c:v>
                </c:pt>
                <c:pt idx="1">
                  <c:v>0.31991525423728806</c:v>
                </c:pt>
                <c:pt idx="2">
                  <c:v>0.3189823874755382</c:v>
                </c:pt>
              </c:numCache>
            </c:numRef>
          </c:val>
          <c:extLst>
            <c:ext xmlns:c16="http://schemas.microsoft.com/office/drawing/2014/chart" uri="{C3380CC4-5D6E-409C-BE32-E72D297353CC}">
              <c16:uniqueId val="{00000001-2292-4EEC-9499-B1E474078F1D}"/>
            </c:ext>
          </c:extLst>
        </c:ser>
        <c:ser>
          <c:idx val="2"/>
          <c:order val="2"/>
          <c:tx>
            <c:strRef>
              <c:f>'Analyse flux sortant'!$A$23</c:f>
              <c:strCache>
                <c:ptCount val="1"/>
                <c:pt idx="0">
                  <c:v>% tri correct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sortant'!$B$23:$D$23</c:f>
              <c:numCache>
                <c:formatCode>0.0%</c:formatCode>
                <c:ptCount val="3"/>
              </c:numCache>
            </c:numRef>
          </c:val>
          <c:extLst>
            <c:ext xmlns:c16="http://schemas.microsoft.com/office/drawing/2014/chart" uri="{C3380CC4-5D6E-409C-BE32-E72D297353CC}">
              <c16:uniqueId val="{00000003-2292-4EEC-9499-B1E474078F1D}"/>
            </c:ext>
          </c:extLst>
        </c:ser>
        <c:dLbls>
          <c:showLegendKey val="0"/>
          <c:showVal val="1"/>
          <c:showCatName val="0"/>
          <c:showSerName val="0"/>
          <c:showPercent val="0"/>
          <c:showBubbleSize val="0"/>
        </c:dLbls>
        <c:gapWidth val="95"/>
        <c:overlap val="100"/>
        <c:axId val="132156416"/>
        <c:axId val="132166400"/>
      </c:barChart>
      <c:catAx>
        <c:axId val="1321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166400"/>
        <c:crosses val="autoZero"/>
        <c:auto val="1"/>
        <c:lblAlgn val="ctr"/>
        <c:lblOffset val="100"/>
        <c:noMultiLvlLbl val="0"/>
      </c:catAx>
      <c:valAx>
        <c:axId val="132166400"/>
        <c:scaling>
          <c:orientation val="minMax"/>
          <c:max val="1"/>
        </c:scaling>
        <c:delete val="1"/>
        <c:axPos val="l"/>
        <c:numFmt formatCode="0.0%" sourceLinked="1"/>
        <c:majorTickMark val="none"/>
        <c:minorTickMark val="none"/>
        <c:tickLblPos val="none"/>
        <c:crossAx val="132156416"/>
        <c:crosses val="autoZero"/>
        <c:crossBetween val="between"/>
      </c:valAx>
      <c:spPr>
        <a:noFill/>
        <a:ln>
          <a:noFill/>
        </a:ln>
        <a:effectLst/>
      </c:spPr>
    </c:plotArea>
    <c:legend>
      <c:legendPos val="t"/>
      <c:legendEntry>
        <c:idx val="2"/>
        <c:delete val="1"/>
      </c:legendEntry>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a:t>
            </a:r>
            <a:r>
              <a:rPr lang="fr-FR" sz="1400" b="1" i="0" u="none" strike="noStrike" baseline="0">
                <a:effectLst/>
              </a:rPr>
              <a:t>- flux sortant PET clair</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sortant'!$F$21:$H$21</c:f>
              <c:numCache>
                <c:formatCode>0.0%</c:formatCode>
                <c:ptCount val="3"/>
                <c:pt idx="0">
                  <c:v>2.7210884353741475E-2</c:v>
                </c:pt>
                <c:pt idx="1">
                  <c:v>7.7922077922077167E-3</c:v>
                </c:pt>
                <c:pt idx="2">
                  <c:v>4.5146726862302341E-3</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sortant'!$F$22:$H$22</c:f>
              <c:numCache>
                <c:formatCode>0.0%</c:formatCode>
                <c:ptCount val="3"/>
                <c:pt idx="0">
                  <c:v>0.13038548752834433</c:v>
                </c:pt>
                <c:pt idx="1">
                  <c:v>9.8701298701298845E-2</c:v>
                </c:pt>
                <c:pt idx="2">
                  <c:v>0.14446952595936791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sortant'!$F$23:$H$23</c:f>
              <c:numCache>
                <c:formatCode>0.0%</c:formatCode>
                <c:ptCount val="3"/>
                <c:pt idx="0">
                  <c:v>0.84240362811791414</c:v>
                </c:pt>
                <c:pt idx="1">
                  <c:v>0.89350649350649347</c:v>
                </c:pt>
                <c:pt idx="2">
                  <c:v>0.85101580135440191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088960"/>
        <c:axId val="132090496"/>
      </c:barChart>
      <c:catAx>
        <c:axId val="13208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090496"/>
        <c:crosses val="autoZero"/>
        <c:auto val="1"/>
        <c:lblAlgn val="ctr"/>
        <c:lblOffset val="100"/>
        <c:noMultiLvlLbl val="0"/>
      </c:catAx>
      <c:valAx>
        <c:axId val="132090496"/>
        <c:scaling>
          <c:orientation val="minMax"/>
          <c:max val="1"/>
        </c:scaling>
        <c:delete val="1"/>
        <c:axPos val="l"/>
        <c:numFmt formatCode="0.0%" sourceLinked="1"/>
        <c:majorTickMark val="none"/>
        <c:minorTickMark val="none"/>
        <c:tickLblPos val="none"/>
        <c:crossAx val="13208896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1" i="0" baseline="0">
                <a:effectLst/>
              </a:rPr>
              <a:t>Caractérisation - flux sortant EMR</a:t>
            </a:r>
            <a:endParaRPr lang="fr-F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sortant'!$J$21:$L$21</c:f>
              <c:numCache>
                <c:formatCode>0.0%</c:formatCode>
                <c:ptCount val="3"/>
                <c:pt idx="0">
                  <c:v>2.3127753303964771E-2</c:v>
                </c:pt>
                <c:pt idx="1">
                  <c:v>2.9230769230769098E-2</c:v>
                </c:pt>
                <c:pt idx="2">
                  <c:v>2.982107355864811E-2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sortant'!$J$22:$L$22</c:f>
              <c:numCache>
                <c:formatCode>0.0%</c:formatCode>
                <c:ptCount val="3"/>
                <c:pt idx="0">
                  <c:v>0.13215859030836996</c:v>
                </c:pt>
                <c:pt idx="1">
                  <c:v>0.1476923076923079</c:v>
                </c:pt>
                <c:pt idx="2">
                  <c:v>0.12524850894632211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sortant'!$J$23:$L$23</c:f>
              <c:numCache>
                <c:formatCode>0.0%</c:formatCode>
                <c:ptCount val="3"/>
                <c:pt idx="0">
                  <c:v>0.84471365638766527</c:v>
                </c:pt>
                <c:pt idx="1">
                  <c:v>0.82307692307692304</c:v>
                </c:pt>
                <c:pt idx="2">
                  <c:v>0.84493041749502973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282624"/>
        <c:axId val="132300800"/>
      </c:barChart>
      <c:catAx>
        <c:axId val="13228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300800"/>
        <c:crosses val="autoZero"/>
        <c:auto val="1"/>
        <c:lblAlgn val="ctr"/>
        <c:lblOffset val="100"/>
        <c:noMultiLvlLbl val="0"/>
      </c:catAx>
      <c:valAx>
        <c:axId val="132300800"/>
        <c:scaling>
          <c:orientation val="minMax"/>
          <c:max val="1"/>
        </c:scaling>
        <c:delete val="1"/>
        <c:axPos val="l"/>
        <c:numFmt formatCode="0.0%" sourceLinked="1"/>
        <c:majorTickMark val="none"/>
        <c:minorTickMark val="none"/>
        <c:tickLblPos val="none"/>
        <c:crossAx val="1322826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sortant'!$N$21:$P$21</c:f>
              <c:numCache>
                <c:formatCode>0.0%</c:formatCode>
                <c:ptCount val="3"/>
                <c:pt idx="0">
                  <c:v>0.22875816993464052</c:v>
                </c:pt>
                <c:pt idx="1">
                  <c:v>0.20763358778625945</c:v>
                </c:pt>
                <c:pt idx="2">
                  <c:v>0.31549815498154976</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sortant'!$N$22:$P$22</c:f>
              <c:numCache>
                <c:formatCode>0.0%</c:formatCode>
                <c:ptCount val="3"/>
                <c:pt idx="0">
                  <c:v>0.11633986928104567</c:v>
                </c:pt>
                <c:pt idx="1">
                  <c:v>0.235114503816794</c:v>
                </c:pt>
                <c:pt idx="2">
                  <c:v>0.16974169741697409</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sortant'!$N$23:$P$23</c:f>
              <c:numCache>
                <c:formatCode>0.0%</c:formatCode>
                <c:ptCount val="3"/>
                <c:pt idx="0">
                  <c:v>0.65490196078431384</c:v>
                </c:pt>
                <c:pt idx="1">
                  <c:v>0.5572519083969466</c:v>
                </c:pt>
                <c:pt idx="2">
                  <c:v>0.51476014760147615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439040"/>
        <c:axId val="132481792"/>
      </c:barChart>
      <c:catAx>
        <c:axId val="1324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481792"/>
        <c:crosses val="autoZero"/>
        <c:auto val="1"/>
        <c:lblAlgn val="ctr"/>
        <c:lblOffset val="100"/>
        <c:noMultiLvlLbl val="0"/>
      </c:catAx>
      <c:valAx>
        <c:axId val="132481792"/>
        <c:scaling>
          <c:orientation val="minMax"/>
          <c:max val="1"/>
        </c:scaling>
        <c:delete val="1"/>
        <c:axPos val="l"/>
        <c:numFmt formatCode="0.0%" sourceLinked="1"/>
        <c:majorTickMark val="none"/>
        <c:minorTickMark val="none"/>
        <c:tickLblPos val="none"/>
        <c:crossAx val="13243904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sortant'!$R$21:$T$21</c:f>
              <c:numCache>
                <c:formatCode>0.0%</c:formatCode>
                <c:ptCount val="3"/>
                <c:pt idx="0">
                  <c:v>2.7156549520766706E-2</c:v>
                </c:pt>
                <c:pt idx="1">
                  <c:v>3.0871003307607465E-2</c:v>
                </c:pt>
                <c:pt idx="2">
                  <c:v>2.7710843373493936E-2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sortant'!$R$22:$T$22</c:f>
              <c:numCache>
                <c:formatCode>0.0%</c:formatCode>
                <c:ptCount val="3"/>
                <c:pt idx="0">
                  <c:v>6.3897763578274702E-2</c:v>
                </c:pt>
                <c:pt idx="1">
                  <c:v>0.12679162072767358</c:v>
                </c:pt>
                <c:pt idx="2">
                  <c:v>0.22771084337349401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sortant'!$R$23:$T$23</c:f>
              <c:numCache>
                <c:formatCode>0.0%</c:formatCode>
                <c:ptCount val="3"/>
                <c:pt idx="0">
                  <c:v>0.90894568690095856</c:v>
                </c:pt>
                <c:pt idx="1">
                  <c:v>0.84233737596471892</c:v>
                </c:pt>
                <c:pt idx="2">
                  <c:v>0.74457831325301205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493696"/>
        <c:axId val="132495232"/>
      </c:barChart>
      <c:catAx>
        <c:axId val="1324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495232"/>
        <c:crosses val="autoZero"/>
        <c:auto val="1"/>
        <c:lblAlgn val="ctr"/>
        <c:lblOffset val="100"/>
        <c:noMultiLvlLbl val="0"/>
      </c:catAx>
      <c:valAx>
        <c:axId val="132495232"/>
        <c:scaling>
          <c:orientation val="minMax"/>
          <c:max val="1"/>
        </c:scaling>
        <c:delete val="1"/>
        <c:axPos val="l"/>
        <c:numFmt formatCode="0.0%" sourceLinked="1"/>
        <c:majorTickMark val="none"/>
        <c:minorTickMark val="none"/>
        <c:tickLblPos val="none"/>
        <c:crossAx val="1324936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sortant'!$V$21:$X$21</c:f>
              <c:numCache>
                <c:formatCode>0.0%</c:formatCode>
                <c:ptCount val="3"/>
                <c:pt idx="0">
                  <c:v>3.7344398340248892E-2</c:v>
                </c:pt>
                <c:pt idx="1">
                  <c:v>1.7621145374449278E-2</c:v>
                </c:pt>
                <c:pt idx="2">
                  <c:v>2.2298456260720374E-2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sortant'!$V$22:$X$22</c:f>
              <c:numCache>
                <c:formatCode>0.0%</c:formatCode>
                <c:ptCount val="3"/>
                <c:pt idx="0">
                  <c:v>4.1493775933609811E-3</c:v>
                </c:pt>
                <c:pt idx="1">
                  <c:v>1.1013215859030812E-2</c:v>
                </c:pt>
                <c:pt idx="2">
                  <c:v>1.0291595197255643E-2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sortant'!$V$23:$X$23</c:f>
              <c:numCache>
                <c:formatCode>0.0%</c:formatCode>
                <c:ptCount val="3"/>
                <c:pt idx="0">
                  <c:v>0.95850622406639008</c:v>
                </c:pt>
                <c:pt idx="1">
                  <c:v>0.97136563876651993</c:v>
                </c:pt>
                <c:pt idx="2">
                  <c:v>0.967409948542024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666880"/>
        <c:axId val="132668416"/>
      </c:barChart>
      <c:catAx>
        <c:axId val="13266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668416"/>
        <c:crosses val="autoZero"/>
        <c:auto val="1"/>
        <c:lblAlgn val="ctr"/>
        <c:lblOffset val="100"/>
        <c:noMultiLvlLbl val="0"/>
      </c:catAx>
      <c:valAx>
        <c:axId val="132668416"/>
        <c:scaling>
          <c:orientation val="minMax"/>
          <c:max val="1"/>
        </c:scaling>
        <c:delete val="1"/>
        <c:axPos val="l"/>
        <c:numFmt formatCode="0.0%" sourceLinked="1"/>
        <c:majorTickMark val="none"/>
        <c:minorTickMark val="none"/>
        <c:tickLblPos val="none"/>
        <c:crossAx val="1326668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sortant'!$Z$21:$AB$21</c:f>
              <c:numCache>
                <c:formatCode>0.0%</c:formatCode>
                <c:ptCount val="3"/>
                <c:pt idx="0">
                  <c:v>1.9138755980861184E-2</c:v>
                </c:pt>
                <c:pt idx="1">
                  <c:v>5.9113300492610765E-2</c:v>
                </c:pt>
                <c:pt idx="2">
                  <c:v>4.0453074433656984E-2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sortant'!$Z$22:$AB$22</c:f>
              <c:numCache>
                <c:formatCode>0.0%</c:formatCode>
                <c:ptCount val="3"/>
                <c:pt idx="0">
                  <c:v>8.373205741626788E-2</c:v>
                </c:pt>
                <c:pt idx="1">
                  <c:v>0.10344827586206873</c:v>
                </c:pt>
                <c:pt idx="2">
                  <c:v>0.14724919093851141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sortant'!$Z$23:$AB$23</c:f>
              <c:numCache>
                <c:formatCode>0.0%</c:formatCode>
                <c:ptCount val="3"/>
                <c:pt idx="0">
                  <c:v>0.89712918660287089</c:v>
                </c:pt>
                <c:pt idx="1">
                  <c:v>0.83743842364532051</c:v>
                </c:pt>
                <c:pt idx="2">
                  <c:v>0.81229773462783161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688512"/>
        <c:axId val="132739456"/>
      </c:barChart>
      <c:catAx>
        <c:axId val="13268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739456"/>
        <c:crosses val="autoZero"/>
        <c:auto val="1"/>
        <c:lblAlgn val="ctr"/>
        <c:lblOffset val="100"/>
        <c:noMultiLvlLbl val="0"/>
      </c:catAx>
      <c:valAx>
        <c:axId val="132739456"/>
        <c:scaling>
          <c:orientation val="minMax"/>
          <c:max val="1"/>
        </c:scaling>
        <c:delete val="1"/>
        <c:axPos val="l"/>
        <c:numFmt formatCode="0.0%" sourceLinked="1"/>
        <c:majorTickMark val="none"/>
        <c:minorTickMark val="none"/>
        <c:tickLblPos val="none"/>
        <c:crossAx val="1326885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sortant'!$AD$21:$AF$21</c:f>
              <c:numCache>
                <c:formatCode>0.0%</c:formatCode>
                <c:ptCount val="3"/>
                <c:pt idx="0">
                  <c:v>0.15114235500878748</c:v>
                </c:pt>
                <c:pt idx="1">
                  <c:v>9.1068301225919385E-2</c:v>
                </c:pt>
                <c:pt idx="2">
                  <c:v>9.0109890109890012E-2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sortant'!$AD$22:$AF$22</c:f>
              <c:numCache>
                <c:formatCode>0.0%</c:formatCode>
                <c:ptCount val="3"/>
                <c:pt idx="0">
                  <c:v>0.2724077328646749</c:v>
                </c:pt>
                <c:pt idx="1">
                  <c:v>8.4063047285464099E-2</c:v>
                </c:pt>
                <c:pt idx="2">
                  <c:v>7.0329670329670413E-2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sortant'!$AD$23:$AF$23</c:f>
              <c:numCache>
                <c:formatCode>0.0%</c:formatCode>
                <c:ptCount val="3"/>
                <c:pt idx="0">
                  <c:v>0.57644991212653762</c:v>
                </c:pt>
                <c:pt idx="1">
                  <c:v>0.82486865148861654</c:v>
                </c:pt>
                <c:pt idx="2">
                  <c:v>0.83956043956043958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825088"/>
        <c:axId val="132826624"/>
      </c:barChart>
      <c:catAx>
        <c:axId val="1328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826624"/>
        <c:crosses val="autoZero"/>
        <c:auto val="1"/>
        <c:lblAlgn val="ctr"/>
        <c:lblOffset val="100"/>
        <c:noMultiLvlLbl val="0"/>
      </c:catAx>
      <c:valAx>
        <c:axId val="132826624"/>
        <c:scaling>
          <c:orientation val="minMax"/>
          <c:max val="1"/>
        </c:scaling>
        <c:delete val="1"/>
        <c:axPos val="l"/>
        <c:numFmt formatCode="0.0%" sourceLinked="1"/>
        <c:majorTickMark val="none"/>
        <c:minorTickMark val="none"/>
        <c:tickLblPos val="none"/>
        <c:crossAx val="13282508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sortant'!$AH$21:$AJ$21</c:f>
              <c:numCache>
                <c:formatCode>0.0%</c:formatCode>
                <c:ptCount val="3"/>
                <c:pt idx="0">
                  <c:v>7.7092511013215903E-2</c:v>
                </c:pt>
                <c:pt idx="1">
                  <c:v>0.12380952380952374</c:v>
                </c:pt>
                <c:pt idx="2">
                  <c:v>5.2966101694915259E-2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sortant'!$AH$22:$AJ$22</c:f>
              <c:numCache>
                <c:formatCode>0.0%</c:formatCode>
                <c:ptCount val="3"/>
                <c:pt idx="0">
                  <c:v>0.29515418502202639</c:v>
                </c:pt>
                <c:pt idx="1">
                  <c:v>0.30000000000000016</c:v>
                </c:pt>
                <c:pt idx="2">
                  <c:v>0.38347457627118653</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sortant'!$AH$23:$AJ$23</c:f>
              <c:numCache>
                <c:formatCode>0.0%</c:formatCode>
                <c:ptCount val="3"/>
                <c:pt idx="0">
                  <c:v>0.6277533039647577</c:v>
                </c:pt>
                <c:pt idx="1">
                  <c:v>0.57619047619047614</c:v>
                </c:pt>
                <c:pt idx="2">
                  <c:v>0.56355932203389825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793472"/>
        <c:axId val="132795008"/>
      </c:barChart>
      <c:catAx>
        <c:axId val="13279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795008"/>
        <c:crosses val="autoZero"/>
        <c:auto val="1"/>
        <c:lblAlgn val="ctr"/>
        <c:lblOffset val="100"/>
        <c:noMultiLvlLbl val="0"/>
      </c:catAx>
      <c:valAx>
        <c:axId val="132795008"/>
        <c:scaling>
          <c:orientation val="minMax"/>
          <c:max val="1"/>
        </c:scaling>
        <c:delete val="1"/>
        <c:axPos val="l"/>
        <c:numFmt formatCode="0.0%" sourceLinked="1"/>
        <c:majorTickMark val="none"/>
        <c:minorTickMark val="none"/>
        <c:tickLblPos val="none"/>
        <c:crossAx val="13279347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sortant'!$AL$21:$AN$21</c:f>
              <c:numCache>
                <c:formatCode>0.0%</c:formatCode>
                <c:ptCount val="3"/>
                <c:pt idx="0">
                  <c:v>0.14761904761904771</c:v>
                </c:pt>
                <c:pt idx="1">
                  <c:v>0.12264150943396218</c:v>
                </c:pt>
                <c:pt idx="2">
                  <c:v>8.860759493670857E-2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sortant'!$AL$22:$AN$22</c:f>
              <c:numCache>
                <c:formatCode>0.0%</c:formatCode>
                <c:ptCount val="3"/>
                <c:pt idx="0">
                  <c:v>0.1857142857142855</c:v>
                </c:pt>
                <c:pt idx="1">
                  <c:v>5.6603773584905648E-2</c:v>
                </c:pt>
                <c:pt idx="2">
                  <c:v>5.0632911392405E-2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sortant'!$AL$23:$AN$23</c:f>
              <c:numCache>
                <c:formatCode>0.0%</c:formatCode>
                <c:ptCount val="3"/>
                <c:pt idx="0">
                  <c:v>0.66666666666666674</c:v>
                </c:pt>
                <c:pt idx="1">
                  <c:v>0.82075471698113223</c:v>
                </c:pt>
                <c:pt idx="2">
                  <c:v>0.86075949367088644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901504"/>
        <c:axId val="132911488"/>
      </c:barChart>
      <c:catAx>
        <c:axId val="13290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911488"/>
        <c:crosses val="autoZero"/>
        <c:auto val="1"/>
        <c:lblAlgn val="ctr"/>
        <c:lblOffset val="100"/>
        <c:noMultiLvlLbl val="0"/>
      </c:catAx>
      <c:valAx>
        <c:axId val="132911488"/>
        <c:scaling>
          <c:orientation val="minMax"/>
          <c:max val="1"/>
        </c:scaling>
        <c:delete val="1"/>
        <c:axPos val="l"/>
        <c:numFmt formatCode="0.0%" sourceLinked="1"/>
        <c:majorTickMark val="none"/>
        <c:minorTickMark val="none"/>
        <c:tickLblPos val="none"/>
        <c:crossAx val="1329015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sortant'!$AP$21:$AR$21</c:f>
              <c:numCache>
                <c:formatCode>0.0%</c:formatCode>
                <c:ptCount val="3"/>
                <c:pt idx="0">
                  <c:v>7.6843198338525417E-2</c:v>
                </c:pt>
                <c:pt idx="1">
                  <c:v>5.7888762769579979E-2</c:v>
                </c:pt>
                <c:pt idx="2">
                  <c:v>6.7307692307692277E-2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sortant'!$AP$22:$AR$22</c:f>
              <c:numCache>
                <c:formatCode>0.0%</c:formatCode>
                <c:ptCount val="3"/>
                <c:pt idx="0">
                  <c:v>5.711318795430953E-2</c:v>
                </c:pt>
                <c:pt idx="1">
                  <c:v>5.3348467650397136E-2</c:v>
                </c:pt>
                <c:pt idx="2">
                  <c:v>5.3418803418803451E-2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sortant'!$AP$23:$AR$23</c:f>
              <c:numCache>
                <c:formatCode>0.0%</c:formatCode>
                <c:ptCount val="3"/>
                <c:pt idx="0">
                  <c:v>0.86604361370716509</c:v>
                </c:pt>
                <c:pt idx="1">
                  <c:v>0.88876276958002287</c:v>
                </c:pt>
                <c:pt idx="2">
                  <c:v>0.87927350427350426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997120"/>
        <c:axId val="132998656"/>
      </c:barChart>
      <c:catAx>
        <c:axId val="13299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998656"/>
        <c:crosses val="autoZero"/>
        <c:auto val="1"/>
        <c:lblAlgn val="ctr"/>
        <c:lblOffset val="100"/>
        <c:noMultiLvlLbl val="0"/>
      </c:catAx>
      <c:valAx>
        <c:axId val="132998656"/>
        <c:scaling>
          <c:orientation val="minMax"/>
          <c:max val="1"/>
        </c:scaling>
        <c:delete val="1"/>
        <c:axPos val="l"/>
        <c:numFmt formatCode="0.0%" sourceLinked="1"/>
        <c:majorTickMark val="none"/>
        <c:minorTickMark val="none"/>
        <c:tickLblPos val="none"/>
        <c:crossAx val="1329971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sortant'!$AT$21:$AV$21</c:f>
              <c:numCache>
                <c:formatCode>0.0%</c:formatCode>
                <c:ptCount val="3"/>
                <c:pt idx="0">
                  <c:v>6.7017082785808077E-2</c:v>
                </c:pt>
                <c:pt idx="1">
                  <c:v>4.7451669595782009E-2</c:v>
                </c:pt>
                <c:pt idx="2">
                  <c:v>7.6376554174067482E-2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sortant'!$AT$22:$AV$22</c:f>
              <c:numCache>
                <c:formatCode>0.0%</c:formatCode>
                <c:ptCount val="3"/>
                <c:pt idx="0">
                  <c:v>8.1471747700394115E-2</c:v>
                </c:pt>
                <c:pt idx="1">
                  <c:v>6.8541300527240723E-2</c:v>
                </c:pt>
                <c:pt idx="2">
                  <c:v>7.4600355239786809E-2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sortant'!$AT$23:$AV$23</c:f>
              <c:numCache>
                <c:formatCode>0.0%</c:formatCode>
                <c:ptCount val="3"/>
                <c:pt idx="0">
                  <c:v>0.85151116951379779</c:v>
                </c:pt>
                <c:pt idx="1">
                  <c:v>0.88400702987697721</c:v>
                </c:pt>
                <c:pt idx="2">
                  <c:v>0.84902309058614567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051520"/>
        <c:axId val="133053056"/>
      </c:barChart>
      <c:catAx>
        <c:axId val="13305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053056"/>
        <c:crosses val="autoZero"/>
        <c:auto val="1"/>
        <c:lblAlgn val="ctr"/>
        <c:lblOffset val="100"/>
        <c:noMultiLvlLbl val="0"/>
      </c:catAx>
      <c:valAx>
        <c:axId val="133053056"/>
        <c:scaling>
          <c:orientation val="minMax"/>
          <c:max val="1"/>
        </c:scaling>
        <c:delete val="1"/>
        <c:axPos val="l"/>
        <c:numFmt formatCode="0.0%" sourceLinked="1"/>
        <c:majorTickMark val="none"/>
        <c:minorTickMark val="none"/>
        <c:tickLblPos val="none"/>
        <c:crossAx val="1330515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C00000"/>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sortant'!$B$69:$D$69</c:f>
              <c:numCache>
                <c:formatCode>0.0%</c:formatCode>
                <c:ptCount val="3"/>
                <c:pt idx="0">
                  <c:v>0.4247422680412371</c:v>
                </c:pt>
                <c:pt idx="1">
                  <c:v>0.5330490405117273</c:v>
                </c:pt>
                <c:pt idx="2">
                  <c:v>0.51807228915662629</c:v>
                </c:pt>
              </c:numCache>
            </c:numRef>
          </c:val>
          <c:extLst>
            <c:ext xmlns:c16="http://schemas.microsoft.com/office/drawing/2014/chart" uri="{C3380CC4-5D6E-409C-BE32-E72D297353CC}">
              <c16:uniqueId val="{00000000-3B07-4C96-B090-732078B5ED39}"/>
            </c:ext>
          </c:extLst>
        </c:ser>
        <c:ser>
          <c:idx val="1"/>
          <c:order val="1"/>
          <c:tx>
            <c:strRef>
              <c:f>'Analyse flux sortant'!$A$70</c:f>
              <c:strCache>
                <c:ptCount val="1"/>
                <c:pt idx="0">
                  <c:v>% autres valorisables</c:v>
                </c:pt>
              </c:strCache>
            </c:strRef>
          </c:tx>
          <c:spPr>
            <a:solidFill>
              <a:srgbClr val="FFC000"/>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sortant'!$B$70:$D$70</c:f>
              <c:numCache>
                <c:formatCode>0.0%</c:formatCode>
                <c:ptCount val="3"/>
                <c:pt idx="0">
                  <c:v>0.57525773195876284</c:v>
                </c:pt>
                <c:pt idx="1">
                  <c:v>0.4669509594882727</c:v>
                </c:pt>
                <c:pt idx="2">
                  <c:v>0.48192771084337371</c:v>
                </c:pt>
              </c:numCache>
            </c:numRef>
          </c:val>
          <c:extLst>
            <c:ext xmlns:c16="http://schemas.microsoft.com/office/drawing/2014/chart" uri="{C3380CC4-5D6E-409C-BE32-E72D297353CC}">
              <c16:uniqueId val="{00000001-3B07-4C96-B090-732078B5ED39}"/>
            </c:ext>
          </c:extLst>
        </c:ser>
        <c:ser>
          <c:idx val="2"/>
          <c:order val="2"/>
          <c:tx>
            <c:strRef>
              <c:f>'Analyse flux sortant'!$A$71</c:f>
              <c:strCache>
                <c:ptCount val="1"/>
                <c:pt idx="0">
                  <c:v>% tri correct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sortant'!$B$71:$D$71</c:f>
              <c:numCache>
                <c:formatCode>0.0%</c:formatCode>
                <c:ptCount val="3"/>
              </c:numCache>
            </c:numRef>
          </c:val>
          <c:extLst>
            <c:ext xmlns:c16="http://schemas.microsoft.com/office/drawing/2014/chart" uri="{C3380CC4-5D6E-409C-BE32-E72D297353CC}">
              <c16:uniqueId val="{00000002-3B07-4C96-B090-732078B5ED39}"/>
            </c:ext>
          </c:extLst>
        </c:ser>
        <c:dLbls>
          <c:showLegendKey val="0"/>
          <c:showVal val="1"/>
          <c:showCatName val="0"/>
          <c:showSerName val="0"/>
          <c:showPercent val="0"/>
          <c:showBubbleSize val="0"/>
        </c:dLbls>
        <c:gapWidth val="95"/>
        <c:overlap val="100"/>
        <c:axId val="133098112"/>
        <c:axId val="133120384"/>
      </c:barChart>
      <c:catAx>
        <c:axId val="13309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120384"/>
        <c:crosses val="autoZero"/>
        <c:auto val="1"/>
        <c:lblAlgn val="ctr"/>
        <c:lblOffset val="100"/>
        <c:noMultiLvlLbl val="0"/>
      </c:catAx>
      <c:valAx>
        <c:axId val="133120384"/>
        <c:scaling>
          <c:orientation val="minMax"/>
          <c:max val="1"/>
        </c:scaling>
        <c:delete val="1"/>
        <c:axPos val="l"/>
        <c:numFmt formatCode="0.0%" sourceLinked="1"/>
        <c:majorTickMark val="none"/>
        <c:minorTickMark val="none"/>
        <c:tickLblPos val="none"/>
        <c:crossAx val="133098112"/>
        <c:crosses val="autoZero"/>
        <c:crossBetween val="between"/>
      </c:valAx>
      <c:spPr>
        <a:noFill/>
        <a:ln>
          <a:noFill/>
        </a:ln>
        <a:effectLst/>
      </c:spPr>
    </c:plotArea>
    <c:legend>
      <c:legendPos val="t"/>
      <c:legendEntry>
        <c:idx val="2"/>
        <c:delete val="1"/>
      </c:legendEntry>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sortant'!$F$69:$H$69</c:f>
              <c:numCache>
                <c:formatCode>0.0%</c:formatCode>
                <c:ptCount val="3"/>
                <c:pt idx="0">
                  <c:v>1.2578616352201217E-2</c:v>
                </c:pt>
                <c:pt idx="1">
                  <c:v>1.3729977116704829E-2</c:v>
                </c:pt>
                <c:pt idx="2">
                  <c:v>1.834862385321084E-2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sortant'!$F$70:$H$70</c:f>
              <c:numCache>
                <c:formatCode>0.0%</c:formatCode>
                <c:ptCount val="3"/>
                <c:pt idx="0">
                  <c:v>3.1446540880503138E-2</c:v>
                </c:pt>
                <c:pt idx="1">
                  <c:v>3.6613272311212808E-2</c:v>
                </c:pt>
                <c:pt idx="2">
                  <c:v>5.8103975535168439E-2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sortant'!$F$71:$H$71</c:f>
              <c:numCache>
                <c:formatCode>0.0%</c:formatCode>
                <c:ptCount val="3"/>
                <c:pt idx="0">
                  <c:v>0.95597484276729561</c:v>
                </c:pt>
                <c:pt idx="1">
                  <c:v>0.94965675057208232</c:v>
                </c:pt>
                <c:pt idx="2">
                  <c:v>0.92354740061162077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259648"/>
        <c:axId val="133261184"/>
      </c:barChart>
      <c:catAx>
        <c:axId val="13325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261184"/>
        <c:crosses val="autoZero"/>
        <c:auto val="1"/>
        <c:lblAlgn val="ctr"/>
        <c:lblOffset val="100"/>
        <c:noMultiLvlLbl val="0"/>
      </c:catAx>
      <c:valAx>
        <c:axId val="133261184"/>
        <c:scaling>
          <c:orientation val="minMax"/>
          <c:max val="1"/>
        </c:scaling>
        <c:delete val="1"/>
        <c:axPos val="l"/>
        <c:numFmt formatCode="0.0%" sourceLinked="1"/>
        <c:majorTickMark val="none"/>
        <c:minorTickMark val="none"/>
        <c:tickLblPos val="none"/>
        <c:crossAx val="1332596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sortant'!$J$69:$L$69</c:f>
              <c:numCache>
                <c:formatCode>0.0%</c:formatCode>
                <c:ptCount val="3"/>
                <c:pt idx="0">
                  <c:v>1.9966722129783742E-2</c:v>
                </c:pt>
                <c:pt idx="1">
                  <c:v>4.5353982300885047E-2</c:v>
                </c:pt>
                <c:pt idx="2">
                  <c:v>5.7736720554272529E-2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sortant'!$J$70:$L$70</c:f>
              <c:numCache>
                <c:formatCode>0.0%</c:formatCode>
                <c:ptCount val="3"/>
                <c:pt idx="0">
                  <c:v>3.8269550748752046E-2</c:v>
                </c:pt>
                <c:pt idx="1">
                  <c:v>0.13053097345132736</c:v>
                </c:pt>
                <c:pt idx="2">
                  <c:v>0.13625866050808322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sortant'!$J$71:$L$71</c:f>
              <c:numCache>
                <c:formatCode>0.0%</c:formatCode>
                <c:ptCount val="3"/>
                <c:pt idx="0">
                  <c:v>0.94176372712146417</c:v>
                </c:pt>
                <c:pt idx="1">
                  <c:v>0.82411504424778759</c:v>
                </c:pt>
                <c:pt idx="2">
                  <c:v>0.8060046189376443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199744"/>
        <c:axId val="133201280"/>
      </c:barChart>
      <c:catAx>
        <c:axId val="13319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201280"/>
        <c:crosses val="autoZero"/>
        <c:auto val="1"/>
        <c:lblAlgn val="ctr"/>
        <c:lblOffset val="100"/>
        <c:noMultiLvlLbl val="0"/>
      </c:catAx>
      <c:valAx>
        <c:axId val="133201280"/>
        <c:scaling>
          <c:orientation val="minMax"/>
          <c:max val="1"/>
        </c:scaling>
        <c:delete val="1"/>
        <c:axPos val="l"/>
        <c:numFmt formatCode="0.0%" sourceLinked="1"/>
        <c:majorTickMark val="none"/>
        <c:minorTickMark val="none"/>
        <c:tickLblPos val="none"/>
        <c:crossAx val="1331997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sortant'!$N$69:$P$69</c:f>
              <c:numCache>
                <c:formatCode>0.0%</c:formatCode>
                <c:ptCount val="3"/>
                <c:pt idx="0">
                  <c:v>5.4363376251788234E-2</c:v>
                </c:pt>
                <c:pt idx="1">
                  <c:v>0.102402022756005</c:v>
                </c:pt>
                <c:pt idx="2">
                  <c:v>0.12011577424023162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sortant'!$N$70:$P$70</c:f>
              <c:numCache>
                <c:formatCode>0.0%</c:formatCode>
                <c:ptCount val="3"/>
                <c:pt idx="0">
                  <c:v>0.10872675250357644</c:v>
                </c:pt>
                <c:pt idx="1">
                  <c:v>0.18710493046776222</c:v>
                </c:pt>
                <c:pt idx="2">
                  <c:v>0.15195369030390726</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sortant'!$N$71:$P$71</c:f>
              <c:numCache>
                <c:formatCode>0.0%</c:formatCode>
                <c:ptCount val="3"/>
                <c:pt idx="0">
                  <c:v>0.83690987124463534</c:v>
                </c:pt>
                <c:pt idx="1">
                  <c:v>0.71049304677623282</c:v>
                </c:pt>
                <c:pt idx="2">
                  <c:v>0.72793053545586106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458944"/>
        <c:axId val="133481216"/>
      </c:barChart>
      <c:catAx>
        <c:axId val="13345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481216"/>
        <c:crosses val="autoZero"/>
        <c:auto val="1"/>
        <c:lblAlgn val="ctr"/>
        <c:lblOffset val="100"/>
        <c:noMultiLvlLbl val="0"/>
      </c:catAx>
      <c:valAx>
        <c:axId val="133481216"/>
        <c:scaling>
          <c:orientation val="minMax"/>
          <c:max val="1"/>
        </c:scaling>
        <c:delete val="1"/>
        <c:axPos val="l"/>
        <c:numFmt formatCode="0.0%" sourceLinked="1"/>
        <c:majorTickMark val="none"/>
        <c:minorTickMark val="none"/>
        <c:tickLblPos val="none"/>
        <c:crossAx val="1334589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sortant'!$R$69:$T$69</c:f>
              <c:numCache>
                <c:formatCode>0.0%</c:formatCode>
                <c:ptCount val="3"/>
                <c:pt idx="0">
                  <c:v>2.952380952380947E-2</c:v>
                </c:pt>
                <c:pt idx="1">
                  <c:v>2.7442371020856209E-2</c:v>
                </c:pt>
                <c:pt idx="2">
                  <c:v>1.3307984790874508E-2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sortant'!$R$70:$T$70</c:f>
              <c:numCache>
                <c:formatCode>0.0%</c:formatCode>
                <c:ptCount val="3"/>
                <c:pt idx="0">
                  <c:v>0.26761904761904753</c:v>
                </c:pt>
                <c:pt idx="1">
                  <c:v>0.21734357848518115</c:v>
                </c:pt>
                <c:pt idx="2">
                  <c:v>3.2319391634981098E-2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sortant'!$R$71:$T$71</c:f>
              <c:numCache>
                <c:formatCode>0.0%</c:formatCode>
                <c:ptCount val="3"/>
                <c:pt idx="0">
                  <c:v>0.70285714285714296</c:v>
                </c:pt>
                <c:pt idx="1">
                  <c:v>0.75521405049396262</c:v>
                </c:pt>
                <c:pt idx="2">
                  <c:v>0.95437262357414443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419392"/>
        <c:axId val="133420928"/>
      </c:barChart>
      <c:catAx>
        <c:axId val="13341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420928"/>
        <c:crosses val="autoZero"/>
        <c:auto val="1"/>
        <c:lblAlgn val="ctr"/>
        <c:lblOffset val="100"/>
        <c:noMultiLvlLbl val="0"/>
      </c:catAx>
      <c:valAx>
        <c:axId val="133420928"/>
        <c:scaling>
          <c:orientation val="minMax"/>
          <c:max val="1"/>
        </c:scaling>
        <c:delete val="1"/>
        <c:axPos val="l"/>
        <c:numFmt formatCode="0.0%" sourceLinked="1"/>
        <c:majorTickMark val="none"/>
        <c:minorTickMark val="none"/>
        <c:tickLblPos val="none"/>
        <c:crossAx val="13341939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sortant'!$V$69:$X$69</c:f>
              <c:numCache>
                <c:formatCode>0.0%</c:formatCode>
                <c:ptCount val="3"/>
                <c:pt idx="0">
                  <c:v>2.1052631578947358E-2</c:v>
                </c:pt>
                <c:pt idx="1">
                  <c:v>2.0040080160320223E-3</c:v>
                </c:pt>
                <c:pt idx="2">
                  <c:v>5.8479532163742687E-2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sortant'!$V$70:$X$70</c:f>
              <c:numCache>
                <c:formatCode>0.0%</c:formatCode>
                <c:ptCount val="3"/>
                <c:pt idx="0">
                  <c:v>1.4035087719298289E-2</c:v>
                </c:pt>
                <c:pt idx="1">
                  <c:v>3.0060120240480881E-2</c:v>
                </c:pt>
                <c:pt idx="2">
                  <c:v>0.17397660818713456</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sortant'!$V$71:$X$71</c:f>
              <c:numCache>
                <c:formatCode>0.0%</c:formatCode>
                <c:ptCount val="3"/>
                <c:pt idx="0">
                  <c:v>0.96491228070175439</c:v>
                </c:pt>
                <c:pt idx="1">
                  <c:v>0.96793587174348705</c:v>
                </c:pt>
                <c:pt idx="2">
                  <c:v>0.76754385964912275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568000"/>
        <c:axId val="133569536"/>
      </c:barChart>
      <c:catAx>
        <c:axId val="13356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569536"/>
        <c:crosses val="autoZero"/>
        <c:auto val="1"/>
        <c:lblAlgn val="ctr"/>
        <c:lblOffset val="100"/>
        <c:noMultiLvlLbl val="0"/>
      </c:catAx>
      <c:valAx>
        <c:axId val="133569536"/>
        <c:scaling>
          <c:orientation val="minMax"/>
          <c:max val="1"/>
        </c:scaling>
        <c:delete val="1"/>
        <c:axPos val="l"/>
        <c:numFmt formatCode="0.0%" sourceLinked="1"/>
        <c:majorTickMark val="none"/>
        <c:minorTickMark val="none"/>
        <c:tickLblPos val="none"/>
        <c:crossAx val="1335680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sortant'!$Z$69:$AB$69</c:f>
              <c:numCache>
                <c:formatCode>0.0%</c:formatCode>
                <c:ptCount val="3"/>
                <c:pt idx="0">
                  <c:v>7.1599045346062047E-3</c:v>
                </c:pt>
                <c:pt idx="1">
                  <c:v>6.8493150684931503E-3</c:v>
                </c:pt>
                <c:pt idx="2">
                  <c:v>7.4231177094379649E-3</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sortant'!$Z$70:$AB$70</c:f>
              <c:numCache>
                <c:formatCode>0.0%</c:formatCode>
                <c:ptCount val="3"/>
                <c:pt idx="0">
                  <c:v>3.5799522673030992E-2</c:v>
                </c:pt>
                <c:pt idx="1">
                  <c:v>3.6529680365296802E-2</c:v>
                </c:pt>
                <c:pt idx="2">
                  <c:v>2.6511134676564074E-2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sortant'!$Z$71:$AB$71</c:f>
              <c:numCache>
                <c:formatCode>0.0%</c:formatCode>
                <c:ptCount val="3"/>
                <c:pt idx="0">
                  <c:v>0.95704057279236276</c:v>
                </c:pt>
                <c:pt idx="1">
                  <c:v>0.95662100456621002</c:v>
                </c:pt>
                <c:pt idx="2">
                  <c:v>0.96606574761399799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622400"/>
        <c:axId val="133640576"/>
      </c:barChart>
      <c:catAx>
        <c:axId val="1336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640576"/>
        <c:crosses val="autoZero"/>
        <c:auto val="1"/>
        <c:lblAlgn val="ctr"/>
        <c:lblOffset val="100"/>
        <c:noMultiLvlLbl val="0"/>
      </c:catAx>
      <c:valAx>
        <c:axId val="133640576"/>
        <c:scaling>
          <c:orientation val="minMax"/>
          <c:max val="1"/>
        </c:scaling>
        <c:delete val="1"/>
        <c:axPos val="l"/>
        <c:numFmt formatCode="0.0%" sourceLinked="1"/>
        <c:majorTickMark val="none"/>
        <c:minorTickMark val="none"/>
        <c:tickLblPos val="none"/>
        <c:crossAx val="1336224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sortant'!$AD$69:$AF$69</c:f>
              <c:numCache>
                <c:formatCode>0.0%</c:formatCode>
                <c:ptCount val="3"/>
                <c:pt idx="0">
                  <c:v>5.7377049180327808E-2</c:v>
                </c:pt>
                <c:pt idx="1">
                  <c:v>1.1029411764705779E-2</c:v>
                </c:pt>
                <c:pt idx="2">
                  <c:v>8.3670715249662561E-2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sortant'!$AD$70:$AF$70</c:f>
              <c:numCache>
                <c:formatCode>0.0%</c:formatCode>
                <c:ptCount val="3"/>
                <c:pt idx="0">
                  <c:v>9.8360655737705027E-2</c:v>
                </c:pt>
                <c:pt idx="1">
                  <c:v>6.25E-2</c:v>
                </c:pt>
                <c:pt idx="2">
                  <c:v>0.17139001349527683</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sortant'!$AD$71:$AF$71</c:f>
              <c:numCache>
                <c:formatCode>0.0%</c:formatCode>
                <c:ptCount val="3"/>
                <c:pt idx="0">
                  <c:v>0.84426229508196715</c:v>
                </c:pt>
                <c:pt idx="1">
                  <c:v>0.92647058823529427</c:v>
                </c:pt>
                <c:pt idx="2">
                  <c:v>0.74493927125506065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775360"/>
        <c:axId val="133776896"/>
      </c:barChart>
      <c:catAx>
        <c:axId val="13377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776896"/>
        <c:crosses val="autoZero"/>
        <c:auto val="1"/>
        <c:lblAlgn val="ctr"/>
        <c:lblOffset val="100"/>
        <c:noMultiLvlLbl val="0"/>
      </c:catAx>
      <c:valAx>
        <c:axId val="133776896"/>
        <c:scaling>
          <c:orientation val="minMax"/>
          <c:max val="1"/>
        </c:scaling>
        <c:delete val="1"/>
        <c:axPos val="l"/>
        <c:numFmt formatCode="0.0%" sourceLinked="1"/>
        <c:majorTickMark val="none"/>
        <c:minorTickMark val="none"/>
        <c:tickLblPos val="none"/>
        <c:crossAx val="13377536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sortant'!$AH$69:$AJ$69</c:f>
              <c:numCache>
                <c:formatCode>0.0%</c:formatCode>
                <c:ptCount val="3"/>
                <c:pt idx="0">
                  <c:v>6.788511749347248E-2</c:v>
                </c:pt>
                <c:pt idx="1">
                  <c:v>3.3755274261603269E-2</c:v>
                </c:pt>
                <c:pt idx="2">
                  <c:v>4.2042042042041809E-2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sortant'!$AH$70:$AJ$70</c:f>
              <c:numCache>
                <c:formatCode>0.0%</c:formatCode>
                <c:ptCount val="3"/>
                <c:pt idx="0">
                  <c:v>0.11488250652741516</c:v>
                </c:pt>
                <c:pt idx="1">
                  <c:v>0.20253164556962033</c:v>
                </c:pt>
                <c:pt idx="2">
                  <c:v>0.16516516516516533</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sortant'!$AH$71:$AJ$71</c:f>
              <c:numCache>
                <c:formatCode>0.0%</c:formatCode>
                <c:ptCount val="3"/>
                <c:pt idx="0">
                  <c:v>0.81723237597911236</c:v>
                </c:pt>
                <c:pt idx="1">
                  <c:v>0.76371308016877637</c:v>
                </c:pt>
                <c:pt idx="2">
                  <c:v>0.79279279279279291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842432"/>
        <c:axId val="133843968"/>
      </c:barChart>
      <c:catAx>
        <c:axId val="13384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843968"/>
        <c:crosses val="autoZero"/>
        <c:auto val="1"/>
        <c:lblAlgn val="ctr"/>
        <c:lblOffset val="100"/>
        <c:noMultiLvlLbl val="0"/>
      </c:catAx>
      <c:valAx>
        <c:axId val="133843968"/>
        <c:scaling>
          <c:orientation val="minMax"/>
          <c:max val="1"/>
        </c:scaling>
        <c:delete val="1"/>
        <c:axPos val="l"/>
        <c:numFmt formatCode="0.0%" sourceLinked="1"/>
        <c:majorTickMark val="none"/>
        <c:minorTickMark val="none"/>
        <c:tickLblPos val="none"/>
        <c:crossAx val="13384243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sortant'!$AL$69:$AN$69</c:f>
              <c:numCache>
                <c:formatCode>0.0%</c:formatCode>
                <c:ptCount val="3"/>
                <c:pt idx="0">
                  <c:v>0.15202702702702714</c:v>
                </c:pt>
                <c:pt idx="1">
                  <c:v>0.20098039215686289</c:v>
                </c:pt>
                <c:pt idx="2">
                  <c:v>0.22960725075528698</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sortant'!$AL$70:$AN$70</c:f>
              <c:numCache>
                <c:formatCode>0.0%</c:formatCode>
                <c:ptCount val="3"/>
                <c:pt idx="0">
                  <c:v>9.4594594594594517E-2</c:v>
                </c:pt>
                <c:pt idx="1">
                  <c:v>0.12254901960784281</c:v>
                </c:pt>
                <c:pt idx="2">
                  <c:v>9.9697885196374569E-2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sortant'!$AL$71:$AN$71</c:f>
              <c:numCache>
                <c:formatCode>0.0%</c:formatCode>
                <c:ptCount val="3"/>
                <c:pt idx="0">
                  <c:v>0.75337837837837829</c:v>
                </c:pt>
                <c:pt idx="1">
                  <c:v>0.67647058823529427</c:v>
                </c:pt>
                <c:pt idx="2">
                  <c:v>0.67069486404833845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925120"/>
        <c:axId val="133943296"/>
      </c:barChart>
      <c:catAx>
        <c:axId val="1339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943296"/>
        <c:crosses val="autoZero"/>
        <c:auto val="1"/>
        <c:lblAlgn val="ctr"/>
        <c:lblOffset val="100"/>
        <c:noMultiLvlLbl val="0"/>
      </c:catAx>
      <c:valAx>
        <c:axId val="133943296"/>
        <c:scaling>
          <c:orientation val="minMax"/>
          <c:max val="1"/>
        </c:scaling>
        <c:delete val="1"/>
        <c:axPos val="l"/>
        <c:numFmt formatCode="0.0%" sourceLinked="1"/>
        <c:majorTickMark val="none"/>
        <c:minorTickMark val="none"/>
        <c:tickLblPos val="none"/>
        <c:crossAx val="1339251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sortant'!$AP$69:$AR$69</c:f>
              <c:numCache>
                <c:formatCode>0.0%</c:formatCode>
                <c:ptCount val="3"/>
                <c:pt idx="0">
                  <c:v>5.2060737527114938E-2</c:v>
                </c:pt>
                <c:pt idx="1">
                  <c:v>3.6257309941520453E-2</c:v>
                </c:pt>
                <c:pt idx="2">
                  <c:v>1.0000000000000066E-2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sortant'!$AP$70:$AR$70</c:f>
              <c:numCache>
                <c:formatCode>0.0%</c:formatCode>
                <c:ptCount val="3"/>
                <c:pt idx="0">
                  <c:v>1.6268980477223471E-2</c:v>
                </c:pt>
                <c:pt idx="1">
                  <c:v>4.3274853801169577E-2</c:v>
                </c:pt>
                <c:pt idx="2">
                  <c:v>1.3333333333333197E-2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sortant'!$AP$71:$AR$71</c:f>
              <c:numCache>
                <c:formatCode>0.0%</c:formatCode>
                <c:ptCount val="3"/>
                <c:pt idx="0">
                  <c:v>0.9316702819956616</c:v>
                </c:pt>
                <c:pt idx="1">
                  <c:v>0.92046783625730999</c:v>
                </c:pt>
                <c:pt idx="2">
                  <c:v>0.97666666666666668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004096"/>
        <c:axId val="134009984"/>
      </c:barChart>
      <c:catAx>
        <c:axId val="13400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009984"/>
        <c:crosses val="autoZero"/>
        <c:auto val="1"/>
        <c:lblAlgn val="ctr"/>
        <c:lblOffset val="100"/>
        <c:noMultiLvlLbl val="0"/>
      </c:catAx>
      <c:valAx>
        <c:axId val="134009984"/>
        <c:scaling>
          <c:orientation val="minMax"/>
          <c:max val="1"/>
        </c:scaling>
        <c:delete val="1"/>
        <c:axPos val="l"/>
        <c:numFmt formatCode="0.0%" sourceLinked="1"/>
        <c:majorTickMark val="none"/>
        <c:minorTickMark val="none"/>
        <c:tickLblPos val="none"/>
        <c:crossAx val="1340040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sortant'!$AT$69:$AV$69</c:f>
              <c:numCache>
                <c:formatCode>0.0%</c:formatCode>
                <c:ptCount val="3"/>
                <c:pt idx="0">
                  <c:v>0.10459433040078196</c:v>
                </c:pt>
                <c:pt idx="1">
                  <c:v>3.9761431411530816E-2</c:v>
                </c:pt>
                <c:pt idx="2">
                  <c:v>5.4151624548736448E-2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sortant'!$AT$70:$AV$70</c:f>
              <c:numCache>
                <c:formatCode>0.0%</c:formatCode>
                <c:ptCount val="3"/>
                <c:pt idx="0">
                  <c:v>0.11827956989247301</c:v>
                </c:pt>
                <c:pt idx="1">
                  <c:v>7.5546719681908514E-2</c:v>
                </c:pt>
                <c:pt idx="2">
                  <c:v>9.5066185318892882E-2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sortant'!$AT$71:$AV$71</c:f>
              <c:numCache>
                <c:formatCode>0.0%</c:formatCode>
                <c:ptCount val="3"/>
                <c:pt idx="0">
                  <c:v>0.77712609970674507</c:v>
                </c:pt>
                <c:pt idx="1">
                  <c:v>0.88469184890656072</c:v>
                </c:pt>
                <c:pt idx="2">
                  <c:v>0.85078219013237066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202112"/>
        <c:axId val="134203648"/>
      </c:barChart>
      <c:catAx>
        <c:axId val="1342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203648"/>
        <c:crosses val="autoZero"/>
        <c:auto val="1"/>
        <c:lblAlgn val="ctr"/>
        <c:lblOffset val="100"/>
        <c:noMultiLvlLbl val="0"/>
      </c:catAx>
      <c:valAx>
        <c:axId val="134203648"/>
        <c:scaling>
          <c:orientation val="minMax"/>
          <c:max val="1"/>
        </c:scaling>
        <c:delete val="1"/>
        <c:axPos val="l"/>
        <c:numFmt formatCode="0.0%" sourceLinked="1"/>
        <c:majorTickMark val="none"/>
        <c:minorTickMark val="none"/>
        <c:tickLblPos val="none"/>
        <c:crossAx val="1342021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sortant'!$B$118:$D$118</c:f>
              <c:numCache>
                <c:formatCode>0.0%</c:formatCode>
                <c:ptCount val="3"/>
                <c:pt idx="0">
                  <c:v>0.59033613445378141</c:v>
                </c:pt>
                <c:pt idx="1">
                  <c:v>0.55438596491228076</c:v>
                </c:pt>
                <c:pt idx="2">
                  <c:v>0.6513249651324966</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sortant'!$B$119:$D$119</c:f>
              <c:numCache>
                <c:formatCode>0.0%</c:formatCode>
                <c:ptCount val="3"/>
                <c:pt idx="0">
                  <c:v>0.40966386554621859</c:v>
                </c:pt>
                <c:pt idx="1">
                  <c:v>0.44561403508771924</c:v>
                </c:pt>
                <c:pt idx="2">
                  <c:v>0.3486750348675034</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sortant'!$B$120:$D$120</c:f>
              <c:numCache>
                <c:formatCode>0.0%</c:formatCode>
                <c:ptCount val="3"/>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071808"/>
        <c:axId val="134073344"/>
      </c:barChart>
      <c:catAx>
        <c:axId val="13407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073344"/>
        <c:crosses val="autoZero"/>
        <c:auto val="1"/>
        <c:lblAlgn val="ctr"/>
        <c:lblOffset val="100"/>
        <c:noMultiLvlLbl val="0"/>
      </c:catAx>
      <c:valAx>
        <c:axId val="134073344"/>
        <c:scaling>
          <c:orientation val="minMax"/>
          <c:max val="1"/>
        </c:scaling>
        <c:delete val="1"/>
        <c:axPos val="l"/>
        <c:numFmt formatCode="0.0%" sourceLinked="1"/>
        <c:majorTickMark val="none"/>
        <c:minorTickMark val="none"/>
        <c:tickLblPos val="none"/>
        <c:crossAx val="1340718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sortant'!$F$118:$H$118</c:f>
              <c:numCache>
                <c:formatCode>0.0%</c:formatCode>
                <c:ptCount val="3"/>
                <c:pt idx="0">
                  <c:v>8.3892617449664378E-3</c:v>
                </c:pt>
                <c:pt idx="1">
                  <c:v>2.7522935779816533E-2</c:v>
                </c:pt>
                <c:pt idx="2">
                  <c:v>1.3671874999999995E-2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sortant'!$F$119:$H$119</c:f>
              <c:numCache>
                <c:formatCode>0.0%</c:formatCode>
                <c:ptCount val="3"/>
                <c:pt idx="0">
                  <c:v>4.0827740492169973E-2</c:v>
                </c:pt>
                <c:pt idx="1">
                  <c:v>4.2813455657492283E-2</c:v>
                </c:pt>
                <c:pt idx="2">
                  <c:v>0.22070312499999989</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sortant'!$F$120:$H$120</c:f>
              <c:numCache>
                <c:formatCode>0.0%</c:formatCode>
                <c:ptCount val="3"/>
                <c:pt idx="0">
                  <c:v>0.95078299776286357</c:v>
                </c:pt>
                <c:pt idx="1">
                  <c:v>0.92966360856269115</c:v>
                </c:pt>
                <c:pt idx="2">
                  <c:v>0.76562500000000011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290048"/>
        <c:axId val="134295936"/>
      </c:barChart>
      <c:catAx>
        <c:axId val="13429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295936"/>
        <c:crosses val="autoZero"/>
        <c:auto val="1"/>
        <c:lblAlgn val="ctr"/>
        <c:lblOffset val="100"/>
        <c:noMultiLvlLbl val="0"/>
      </c:catAx>
      <c:valAx>
        <c:axId val="134295936"/>
        <c:scaling>
          <c:orientation val="minMax"/>
          <c:max val="1"/>
        </c:scaling>
        <c:delete val="1"/>
        <c:axPos val="l"/>
        <c:numFmt formatCode="0.0%" sourceLinked="1"/>
        <c:majorTickMark val="none"/>
        <c:minorTickMark val="none"/>
        <c:tickLblPos val="none"/>
        <c:crossAx val="1342900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sortant'!$J$118:$L$118</c:f>
              <c:numCache>
                <c:formatCode>0.0%</c:formatCode>
                <c:ptCount val="3"/>
                <c:pt idx="0">
                  <c:v>1.953125E-2</c:v>
                </c:pt>
                <c:pt idx="1">
                  <c:v>3.1884057971014484E-2</c:v>
                </c:pt>
                <c:pt idx="2">
                  <c:v>4.7846889952153089E-2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sortant'!$J$119:$L$119</c:f>
              <c:numCache>
                <c:formatCode>0.0%</c:formatCode>
                <c:ptCount val="3"/>
                <c:pt idx="0">
                  <c:v>4.1015625E-2</c:v>
                </c:pt>
                <c:pt idx="1">
                  <c:v>5.3623188405797273E-2</c:v>
                </c:pt>
                <c:pt idx="2">
                  <c:v>4.7222800083212002E-2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sortant'!$J$120:$L$120</c:f>
              <c:numCache>
                <c:formatCode>0.0%</c:formatCode>
                <c:ptCount val="3"/>
                <c:pt idx="0">
                  <c:v>0.939453125</c:v>
                </c:pt>
                <c:pt idx="1">
                  <c:v>0.91449275362318827</c:v>
                </c:pt>
                <c:pt idx="2">
                  <c:v>0.90493030996463486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373376"/>
        <c:axId val="134374912"/>
      </c:barChart>
      <c:catAx>
        <c:axId val="13437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374912"/>
        <c:crosses val="autoZero"/>
        <c:auto val="1"/>
        <c:lblAlgn val="ctr"/>
        <c:lblOffset val="100"/>
        <c:noMultiLvlLbl val="0"/>
      </c:catAx>
      <c:valAx>
        <c:axId val="134374912"/>
        <c:scaling>
          <c:orientation val="minMax"/>
          <c:max val="1"/>
        </c:scaling>
        <c:delete val="1"/>
        <c:axPos val="l"/>
        <c:numFmt formatCode="0.0%" sourceLinked="1"/>
        <c:majorTickMark val="none"/>
        <c:minorTickMark val="none"/>
        <c:tickLblPos val="none"/>
        <c:crossAx val="13437337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sortant'!$N$118:$P$118</c:f>
              <c:numCache>
                <c:formatCode>0.0%</c:formatCode>
                <c:ptCount val="3"/>
                <c:pt idx="0">
                  <c:v>0.28728453659755182</c:v>
                </c:pt>
                <c:pt idx="1">
                  <c:v>0.18857142857142856</c:v>
                </c:pt>
                <c:pt idx="2">
                  <c:v>0.15131578947368415</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sortant'!$N$119:$P$119</c:f>
              <c:numCache>
                <c:formatCode>0.0%</c:formatCode>
                <c:ptCount val="3"/>
                <c:pt idx="0">
                  <c:v>0.11566325256057963</c:v>
                </c:pt>
                <c:pt idx="1">
                  <c:v>0.14714285714285702</c:v>
                </c:pt>
                <c:pt idx="2">
                  <c:v>0.1875</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sortant'!$N$120:$P$120</c:f>
              <c:numCache>
                <c:formatCode>0.0%</c:formatCode>
                <c:ptCount val="3"/>
                <c:pt idx="0">
                  <c:v>0.59705221084186855</c:v>
                </c:pt>
                <c:pt idx="1">
                  <c:v>0.66428571428571437</c:v>
                </c:pt>
                <c:pt idx="2">
                  <c:v>0.66118421052631582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423680"/>
        <c:axId val="134425216"/>
      </c:barChart>
      <c:catAx>
        <c:axId val="13442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425216"/>
        <c:crosses val="autoZero"/>
        <c:auto val="1"/>
        <c:lblAlgn val="ctr"/>
        <c:lblOffset val="100"/>
        <c:noMultiLvlLbl val="0"/>
      </c:catAx>
      <c:valAx>
        <c:axId val="134425216"/>
        <c:scaling>
          <c:orientation val="minMax"/>
          <c:max val="1"/>
        </c:scaling>
        <c:delete val="1"/>
        <c:axPos val="l"/>
        <c:numFmt formatCode="0.0%" sourceLinked="1"/>
        <c:majorTickMark val="none"/>
        <c:minorTickMark val="none"/>
        <c:tickLblPos val="none"/>
        <c:crossAx val="1344236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sortant'!$R$118:$T$118</c:f>
              <c:numCache>
                <c:formatCode>0.0%</c:formatCode>
                <c:ptCount val="3"/>
                <c:pt idx="0">
                  <c:v>1.8571116451824337E-2</c:v>
                </c:pt>
                <c:pt idx="1">
                  <c:v>2.4590163934426208E-2</c:v>
                </c:pt>
                <c:pt idx="2">
                  <c:v>1.4705882352941159E-2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sortant'!$R$119:$T$119</c:f>
              <c:numCache>
                <c:formatCode>0.0%</c:formatCode>
                <c:ptCount val="3"/>
                <c:pt idx="0">
                  <c:v>5.9427572645837978E-2</c:v>
                </c:pt>
                <c:pt idx="1">
                  <c:v>7.3770491803278548E-2</c:v>
                </c:pt>
                <c:pt idx="2">
                  <c:v>6.4338235294117641E-2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sortant'!$R$120:$T$120</c:f>
              <c:numCache>
                <c:formatCode>0.0%</c:formatCode>
                <c:ptCount val="3"/>
                <c:pt idx="0">
                  <c:v>0.92200131090233772</c:v>
                </c:pt>
                <c:pt idx="1">
                  <c:v>0.90163934426229519</c:v>
                </c:pt>
                <c:pt idx="2">
                  <c:v>0.92095588235294124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637824"/>
        <c:axId val="134647808"/>
      </c:barChart>
      <c:catAx>
        <c:axId val="1346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647808"/>
        <c:crosses val="autoZero"/>
        <c:auto val="1"/>
        <c:lblAlgn val="ctr"/>
        <c:lblOffset val="100"/>
        <c:noMultiLvlLbl val="0"/>
      </c:catAx>
      <c:valAx>
        <c:axId val="134647808"/>
        <c:scaling>
          <c:orientation val="minMax"/>
          <c:max val="1"/>
        </c:scaling>
        <c:delete val="1"/>
        <c:axPos val="l"/>
        <c:numFmt formatCode="0.0%" sourceLinked="1"/>
        <c:majorTickMark val="none"/>
        <c:minorTickMark val="none"/>
        <c:tickLblPos val="none"/>
        <c:crossAx val="1346378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sortant'!$V$118:$X$118</c:f>
              <c:numCache>
                <c:formatCode>0.0%</c:formatCode>
                <c:ptCount val="3"/>
                <c:pt idx="0">
                  <c:v>3.2894736842105244E-3</c:v>
                </c:pt>
                <c:pt idx="1">
                  <c:v>1.185185185185185E-2</c:v>
                </c:pt>
                <c:pt idx="2">
                  <c:v>1.0050251256281407E-2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sortant'!$V$119:$X$119</c:f>
              <c:numCache>
                <c:formatCode>0.0%</c:formatCode>
                <c:ptCount val="3"/>
                <c:pt idx="0">
                  <c:v>2.4671052631578982E-2</c:v>
                </c:pt>
                <c:pt idx="1">
                  <c:v>1.185185185185178E-2</c:v>
                </c:pt>
                <c:pt idx="2">
                  <c:v>3.1407035175879283E-2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sortant'!$V$120:$X$120</c:f>
              <c:numCache>
                <c:formatCode>0.0%</c:formatCode>
                <c:ptCount val="3"/>
                <c:pt idx="0">
                  <c:v>0.97203947368421051</c:v>
                </c:pt>
                <c:pt idx="1">
                  <c:v>0.97629629629629633</c:v>
                </c:pt>
                <c:pt idx="2">
                  <c:v>0.95854271356783927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507904"/>
        <c:axId val="134521984"/>
      </c:barChart>
      <c:catAx>
        <c:axId val="13450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521984"/>
        <c:crosses val="autoZero"/>
        <c:auto val="1"/>
        <c:lblAlgn val="ctr"/>
        <c:lblOffset val="100"/>
        <c:noMultiLvlLbl val="0"/>
      </c:catAx>
      <c:valAx>
        <c:axId val="134521984"/>
        <c:scaling>
          <c:orientation val="minMax"/>
          <c:max val="1"/>
        </c:scaling>
        <c:delete val="1"/>
        <c:axPos val="l"/>
        <c:numFmt formatCode="0.0%" sourceLinked="1"/>
        <c:majorTickMark val="none"/>
        <c:minorTickMark val="none"/>
        <c:tickLblPos val="none"/>
        <c:crossAx val="134507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sortant'!$Z$118:$AB$118</c:f>
              <c:numCache>
                <c:formatCode>0.0%</c:formatCode>
                <c:ptCount val="3"/>
                <c:pt idx="0">
                  <c:v>5.2297939778129909E-2</c:v>
                </c:pt>
                <c:pt idx="1">
                  <c:v>3.142329020332716E-2</c:v>
                </c:pt>
                <c:pt idx="2">
                  <c:v>3.7184594953519216E-2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sortant'!$Z$119:$AB$119</c:f>
              <c:numCache>
                <c:formatCode>0.0%</c:formatCode>
                <c:ptCount val="3"/>
                <c:pt idx="0">
                  <c:v>4.4374009508716394E-2</c:v>
                </c:pt>
                <c:pt idx="1">
                  <c:v>6.0998151571164616E-2</c:v>
                </c:pt>
                <c:pt idx="2">
                  <c:v>5.5776892430278946E-2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sortant'!$Z$120:$AB$120</c:f>
              <c:numCache>
                <c:formatCode>0.0%</c:formatCode>
                <c:ptCount val="3"/>
                <c:pt idx="0">
                  <c:v>0.9033280507131537</c:v>
                </c:pt>
                <c:pt idx="1">
                  <c:v>0.90757855822550826</c:v>
                </c:pt>
                <c:pt idx="2">
                  <c:v>0.90703851261620183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775552"/>
        <c:axId val="134777088"/>
      </c:barChart>
      <c:catAx>
        <c:axId val="13477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777088"/>
        <c:crosses val="autoZero"/>
        <c:auto val="1"/>
        <c:lblAlgn val="ctr"/>
        <c:lblOffset val="100"/>
        <c:noMultiLvlLbl val="0"/>
      </c:catAx>
      <c:valAx>
        <c:axId val="134777088"/>
        <c:scaling>
          <c:orientation val="minMax"/>
          <c:max val="1"/>
        </c:scaling>
        <c:delete val="1"/>
        <c:axPos val="l"/>
        <c:numFmt formatCode="0.0%" sourceLinked="1"/>
        <c:majorTickMark val="none"/>
        <c:minorTickMark val="none"/>
        <c:tickLblPos val="none"/>
        <c:crossAx val="13477555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sortant'!$AD$118:$AF$118</c:f>
              <c:numCache>
                <c:formatCode>0.0%</c:formatCode>
                <c:ptCount val="3"/>
                <c:pt idx="0">
                  <c:v>3.9215686274509803E-2</c:v>
                </c:pt>
                <c:pt idx="1">
                  <c:v>5.9679767103347769E-2</c:v>
                </c:pt>
                <c:pt idx="2">
                  <c:v>8.0157687253613635E-2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sortant'!$AD$119:$AF$119</c:f>
              <c:numCache>
                <c:formatCode>0.0%</c:formatCode>
                <c:ptCount val="3"/>
                <c:pt idx="0">
                  <c:v>4.0723981900452455E-2</c:v>
                </c:pt>
                <c:pt idx="1">
                  <c:v>6.1135371179039111E-2</c:v>
                </c:pt>
                <c:pt idx="2">
                  <c:v>6.9645203679369216E-2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sortant'!$AD$120:$AF$120</c:f>
              <c:numCache>
                <c:formatCode>0.0%</c:formatCode>
                <c:ptCount val="3"/>
                <c:pt idx="0">
                  <c:v>0.92006033182503777</c:v>
                </c:pt>
                <c:pt idx="1">
                  <c:v>0.87918486171761312</c:v>
                </c:pt>
                <c:pt idx="2">
                  <c:v>0.85019710906701718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588288"/>
        <c:axId val="134589824"/>
      </c:barChart>
      <c:catAx>
        <c:axId val="13458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589824"/>
        <c:crosses val="autoZero"/>
        <c:auto val="1"/>
        <c:lblAlgn val="ctr"/>
        <c:lblOffset val="100"/>
        <c:noMultiLvlLbl val="0"/>
      </c:catAx>
      <c:valAx>
        <c:axId val="134589824"/>
        <c:scaling>
          <c:orientation val="minMax"/>
          <c:max val="1"/>
        </c:scaling>
        <c:delete val="1"/>
        <c:axPos val="l"/>
        <c:numFmt formatCode="0.0%" sourceLinked="1"/>
        <c:majorTickMark val="none"/>
        <c:minorTickMark val="none"/>
        <c:tickLblPos val="none"/>
        <c:crossAx val="13458828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sortant'!$AH$118:$AJ$118</c:f>
              <c:numCache>
                <c:formatCode>0.0%</c:formatCode>
                <c:ptCount val="3"/>
                <c:pt idx="0">
                  <c:v>7.158836689038027E-2</c:v>
                </c:pt>
                <c:pt idx="1">
                  <c:v>7.7568134171907721E-2</c:v>
                </c:pt>
                <c:pt idx="2">
                  <c:v>7.3226544622425629E-2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sortant'!$AH$119:$AJ$119</c:f>
              <c:numCache>
                <c:formatCode>0.0%</c:formatCode>
                <c:ptCount val="3"/>
                <c:pt idx="0">
                  <c:v>6.0402684563758524E-2</c:v>
                </c:pt>
                <c:pt idx="1">
                  <c:v>0.16142557651991629</c:v>
                </c:pt>
                <c:pt idx="2">
                  <c:v>0.19450800915331823</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sortant'!$AH$120:$AJ$120</c:f>
              <c:numCache>
                <c:formatCode>0.0%</c:formatCode>
                <c:ptCount val="3"/>
                <c:pt idx="0">
                  <c:v>0.86800894854586119</c:v>
                </c:pt>
                <c:pt idx="1">
                  <c:v>0.76100628930817604</c:v>
                </c:pt>
                <c:pt idx="2">
                  <c:v>0.73226544622425616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724608"/>
        <c:axId val="134873856"/>
      </c:barChart>
      <c:catAx>
        <c:axId val="13472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873856"/>
        <c:crosses val="autoZero"/>
        <c:auto val="1"/>
        <c:lblAlgn val="ctr"/>
        <c:lblOffset val="100"/>
        <c:noMultiLvlLbl val="0"/>
      </c:catAx>
      <c:valAx>
        <c:axId val="134873856"/>
        <c:scaling>
          <c:orientation val="minMax"/>
          <c:max val="1"/>
        </c:scaling>
        <c:delete val="1"/>
        <c:axPos val="l"/>
        <c:numFmt formatCode="0.0%" sourceLinked="1"/>
        <c:majorTickMark val="none"/>
        <c:minorTickMark val="none"/>
        <c:tickLblPos val="none"/>
        <c:crossAx val="1347246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sortant'!$AL$118:$AN$118</c:f>
              <c:numCache>
                <c:formatCode>0.0%</c:formatCode>
                <c:ptCount val="3"/>
                <c:pt idx="0">
                  <c:v>0.20333333333333325</c:v>
                </c:pt>
                <c:pt idx="1">
                  <c:v>0.17647058823529421</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sortant'!$AL$119:$AN$119</c:f>
              <c:numCache>
                <c:formatCode>0.0%</c:formatCode>
                <c:ptCount val="3"/>
                <c:pt idx="0">
                  <c:v>9.000000000000008E-2</c:v>
                </c:pt>
                <c:pt idx="1">
                  <c:v>0.14901960784313728</c:v>
                </c:pt>
                <c:pt idx="2">
                  <c:v>1.6460905349794164E-2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sortant'!$AL$120:$AN$120</c:f>
              <c:numCache>
                <c:formatCode>0.0%</c:formatCode>
                <c:ptCount val="3"/>
                <c:pt idx="0">
                  <c:v>0.70666666666666667</c:v>
                </c:pt>
                <c:pt idx="1">
                  <c:v>0.67450980392156856</c:v>
                </c:pt>
                <c:pt idx="2">
                  <c:v>0.98353909465020584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939008"/>
        <c:axId val="134940544"/>
      </c:barChart>
      <c:catAx>
        <c:axId val="13493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940544"/>
        <c:crosses val="autoZero"/>
        <c:auto val="1"/>
        <c:lblAlgn val="ctr"/>
        <c:lblOffset val="100"/>
        <c:noMultiLvlLbl val="0"/>
      </c:catAx>
      <c:valAx>
        <c:axId val="134940544"/>
        <c:scaling>
          <c:orientation val="minMax"/>
          <c:max val="1"/>
        </c:scaling>
        <c:delete val="1"/>
        <c:axPos val="l"/>
        <c:numFmt formatCode="0.0%" sourceLinked="1"/>
        <c:majorTickMark val="none"/>
        <c:minorTickMark val="none"/>
        <c:tickLblPos val="none"/>
        <c:crossAx val="1349390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sortant'!$AP$118:$AR$118</c:f>
              <c:numCache>
                <c:formatCode>0.0%</c:formatCode>
                <c:ptCount val="3"/>
                <c:pt idx="0">
                  <c:v>4.098360655737706E-2</c:v>
                </c:pt>
                <c:pt idx="1">
                  <c:v>6.9380203515263625E-2</c:v>
                </c:pt>
                <c:pt idx="2">
                  <c:v>7.662835249042145E-2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sortant'!$AP$119:$AR$119</c:f>
              <c:numCache>
                <c:formatCode>0.0%</c:formatCode>
                <c:ptCount val="3"/>
                <c:pt idx="0">
                  <c:v>3.770491803278686E-2</c:v>
                </c:pt>
                <c:pt idx="1">
                  <c:v>3.3302497687326738E-2</c:v>
                </c:pt>
                <c:pt idx="2">
                  <c:v>2.4904214559387072E-2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sortant'!$AP$120:$AR$120</c:f>
              <c:numCache>
                <c:formatCode>0.0%</c:formatCode>
                <c:ptCount val="3"/>
                <c:pt idx="0">
                  <c:v>0.92131147540983604</c:v>
                </c:pt>
                <c:pt idx="1">
                  <c:v>0.89731729879740962</c:v>
                </c:pt>
                <c:pt idx="2">
                  <c:v>0.89846743295019149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5091712"/>
        <c:axId val="135093248"/>
      </c:barChart>
      <c:catAx>
        <c:axId val="13509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5093248"/>
        <c:crosses val="autoZero"/>
        <c:auto val="1"/>
        <c:lblAlgn val="ctr"/>
        <c:lblOffset val="100"/>
        <c:noMultiLvlLbl val="0"/>
      </c:catAx>
      <c:valAx>
        <c:axId val="135093248"/>
        <c:scaling>
          <c:orientation val="minMax"/>
          <c:max val="1"/>
        </c:scaling>
        <c:delete val="1"/>
        <c:axPos val="l"/>
        <c:numFmt formatCode="0.0%" sourceLinked="1"/>
        <c:majorTickMark val="none"/>
        <c:minorTickMark val="none"/>
        <c:tickLblPos val="none"/>
        <c:crossAx val="1350917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sortant'!$AT$118:$AV$118</c:f>
              <c:numCache>
                <c:formatCode>0.0%</c:formatCode>
                <c:ptCount val="3"/>
                <c:pt idx="0">
                  <c:v>9.4256259204712797E-2</c:v>
                </c:pt>
                <c:pt idx="1">
                  <c:v>9.7593582887700578E-2</c:v>
                </c:pt>
                <c:pt idx="2">
                  <c:v>0.146788990825688</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sortant'!$AT$119:$AV$119</c:f>
              <c:numCache>
                <c:formatCode>0.0%</c:formatCode>
                <c:ptCount val="3"/>
                <c:pt idx="0">
                  <c:v>0.12960235640648021</c:v>
                </c:pt>
                <c:pt idx="1">
                  <c:v>0.40106951871657759</c:v>
                </c:pt>
                <c:pt idx="2">
                  <c:v>0.18807339449541283</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sortant'!$AT$120:$AV$120</c:f>
              <c:numCache>
                <c:formatCode>0.0%</c:formatCode>
                <c:ptCount val="3"/>
                <c:pt idx="0">
                  <c:v>0.77614138438880698</c:v>
                </c:pt>
                <c:pt idx="1">
                  <c:v>0.50133689839572182</c:v>
                </c:pt>
                <c:pt idx="2">
                  <c:v>0.6651376146788992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5006848"/>
        <c:axId val="135049600"/>
      </c:barChart>
      <c:catAx>
        <c:axId val="13500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5049600"/>
        <c:crosses val="autoZero"/>
        <c:auto val="1"/>
        <c:lblAlgn val="ctr"/>
        <c:lblOffset val="100"/>
        <c:noMultiLvlLbl val="0"/>
      </c:catAx>
      <c:valAx>
        <c:axId val="135049600"/>
        <c:scaling>
          <c:orientation val="minMax"/>
          <c:max val="1"/>
        </c:scaling>
        <c:delete val="1"/>
        <c:axPos val="l"/>
        <c:numFmt formatCode="0.0%" sourceLinked="1"/>
        <c:majorTickMark val="none"/>
        <c:minorTickMark val="none"/>
        <c:tickLblPos val="none"/>
        <c:crossAx val="1350068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sortant'!$B$167:$D$167</c:f>
              <c:numCache>
                <c:formatCode>0.0%</c:formatCode>
                <c:ptCount val="3"/>
                <c:pt idx="0">
                  <c:v>0.62977099236641232</c:v>
                </c:pt>
                <c:pt idx="1">
                  <c:v>0.40487804878048778</c:v>
                </c:pt>
                <c:pt idx="2">
                  <c:v>0.3437990580847724</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sortant'!$B$168:$D$168</c:f>
              <c:numCache>
                <c:formatCode>0.0%</c:formatCode>
                <c:ptCount val="3"/>
                <c:pt idx="0">
                  <c:v>0.37022900763358768</c:v>
                </c:pt>
                <c:pt idx="1">
                  <c:v>0.59512195121951228</c:v>
                </c:pt>
                <c:pt idx="2">
                  <c:v>0.6562009419152276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sortant'!$B$169:$D$169</c:f>
              <c:numCache>
                <c:formatCode>0.0%</c:formatCode>
                <c:ptCount val="3"/>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035200"/>
        <c:axId val="96036736"/>
      </c:barChart>
      <c:catAx>
        <c:axId val="9603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036736"/>
        <c:crosses val="autoZero"/>
        <c:auto val="1"/>
        <c:lblAlgn val="ctr"/>
        <c:lblOffset val="100"/>
        <c:noMultiLvlLbl val="0"/>
      </c:catAx>
      <c:valAx>
        <c:axId val="96036736"/>
        <c:scaling>
          <c:orientation val="minMax"/>
          <c:max val="1"/>
        </c:scaling>
        <c:delete val="1"/>
        <c:axPos val="l"/>
        <c:numFmt formatCode="0.0%" sourceLinked="1"/>
        <c:majorTickMark val="none"/>
        <c:minorTickMark val="none"/>
        <c:tickLblPos val="none"/>
        <c:crossAx val="960352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sortant'!$F$167:$H$167</c:f>
              <c:numCache>
                <c:formatCode>0.0%</c:formatCode>
                <c:ptCount val="3"/>
                <c:pt idx="0">
                  <c:v>2.0703933747411979E-3</c:v>
                </c:pt>
                <c:pt idx="1">
                  <c:v>7.1301247771835986E-3</c:v>
                </c:pt>
                <c:pt idx="2">
                  <c:v>1.7921146953405014E-2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sortant'!$F$168:$H$168</c:f>
              <c:numCache>
                <c:formatCode>0.0%</c:formatCode>
                <c:ptCount val="3"/>
                <c:pt idx="0">
                  <c:v>5.3830227743271397E-2</c:v>
                </c:pt>
                <c:pt idx="1">
                  <c:v>2.1390374331550888E-2</c:v>
                </c:pt>
                <c:pt idx="2">
                  <c:v>4.6594982078853153E-2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sortant'!$F$169:$H$169</c:f>
              <c:numCache>
                <c:formatCode>0.0%</c:formatCode>
                <c:ptCount val="3"/>
                <c:pt idx="0">
                  <c:v>0.94409937888198736</c:v>
                </c:pt>
                <c:pt idx="1">
                  <c:v>0.97147950089126556</c:v>
                </c:pt>
                <c:pt idx="2">
                  <c:v>0.93548387096774188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114176"/>
        <c:axId val="96115712"/>
      </c:barChart>
      <c:catAx>
        <c:axId val="9611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115712"/>
        <c:crosses val="autoZero"/>
        <c:auto val="1"/>
        <c:lblAlgn val="ctr"/>
        <c:lblOffset val="100"/>
        <c:noMultiLvlLbl val="0"/>
      </c:catAx>
      <c:valAx>
        <c:axId val="96115712"/>
        <c:scaling>
          <c:orientation val="minMax"/>
          <c:max val="1"/>
        </c:scaling>
        <c:delete val="1"/>
        <c:axPos val="l"/>
        <c:numFmt formatCode="0.0%" sourceLinked="1"/>
        <c:majorTickMark val="none"/>
        <c:minorTickMark val="none"/>
        <c:tickLblPos val="none"/>
        <c:crossAx val="9611417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sortant'!$J$167:$L$167</c:f>
              <c:numCache>
                <c:formatCode>0.0%</c:formatCode>
                <c:ptCount val="3"/>
                <c:pt idx="0">
                  <c:v>4.4499381953028418E-2</c:v>
                </c:pt>
                <c:pt idx="1">
                  <c:v>2.7247956403269751E-2</c:v>
                </c:pt>
                <c:pt idx="2">
                  <c:v>5.4054054054054057E-2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sortant'!$J$168:$L$168</c:f>
              <c:numCache>
                <c:formatCode>0.0%</c:formatCode>
                <c:ptCount val="3"/>
                <c:pt idx="0">
                  <c:v>6.9221260815821917E-2</c:v>
                </c:pt>
                <c:pt idx="1">
                  <c:v>0.15258855585831055</c:v>
                </c:pt>
                <c:pt idx="2">
                  <c:v>0.11605723370429255</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sortant'!$J$169:$L$169</c:f>
              <c:numCache>
                <c:formatCode>0.0%</c:formatCode>
                <c:ptCount val="3"/>
                <c:pt idx="0">
                  <c:v>0.8862793572311497</c:v>
                </c:pt>
                <c:pt idx="1">
                  <c:v>0.82016348773841974</c:v>
                </c:pt>
                <c:pt idx="2">
                  <c:v>0.82988871224165339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176768"/>
        <c:axId val="96186752"/>
      </c:barChart>
      <c:catAx>
        <c:axId val="9617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186752"/>
        <c:crosses val="autoZero"/>
        <c:auto val="1"/>
        <c:lblAlgn val="ctr"/>
        <c:lblOffset val="100"/>
        <c:noMultiLvlLbl val="0"/>
      </c:catAx>
      <c:valAx>
        <c:axId val="96186752"/>
        <c:scaling>
          <c:orientation val="minMax"/>
          <c:max val="1"/>
        </c:scaling>
        <c:delete val="1"/>
        <c:axPos val="l"/>
        <c:numFmt formatCode="0.0%" sourceLinked="1"/>
        <c:majorTickMark val="none"/>
        <c:minorTickMark val="none"/>
        <c:tickLblPos val="none"/>
        <c:crossAx val="961767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sortant'!$N$167:$P$167</c:f>
              <c:numCache>
                <c:formatCode>0.0%</c:formatCode>
                <c:ptCount val="3"/>
                <c:pt idx="0">
                  <c:v>0.28179190751445093</c:v>
                </c:pt>
                <c:pt idx="1">
                  <c:v>0.26079999999999992</c:v>
                </c:pt>
                <c:pt idx="2">
                  <c:v>0.23395721925133692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sortant'!$N$168:$P$168</c:f>
              <c:numCache>
                <c:formatCode>0.0%</c:formatCode>
                <c:ptCount val="3"/>
                <c:pt idx="0">
                  <c:v>0.20375722543352592</c:v>
                </c:pt>
                <c:pt idx="1">
                  <c:v>0.10880000000000001</c:v>
                </c:pt>
                <c:pt idx="2">
                  <c:v>0.17647058823529416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sortant'!$N$169:$P$169</c:f>
              <c:numCache>
                <c:formatCode>0.0%</c:formatCode>
                <c:ptCount val="3"/>
                <c:pt idx="0">
                  <c:v>0.51445086705202314</c:v>
                </c:pt>
                <c:pt idx="1">
                  <c:v>0.63040000000000007</c:v>
                </c:pt>
                <c:pt idx="2">
                  <c:v>0.5895721925133689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260096"/>
        <c:axId val="96261632"/>
      </c:barChart>
      <c:catAx>
        <c:axId val="9626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261632"/>
        <c:crosses val="autoZero"/>
        <c:auto val="1"/>
        <c:lblAlgn val="ctr"/>
        <c:lblOffset val="100"/>
        <c:noMultiLvlLbl val="0"/>
      </c:catAx>
      <c:valAx>
        <c:axId val="96261632"/>
        <c:scaling>
          <c:orientation val="minMax"/>
          <c:max val="1"/>
        </c:scaling>
        <c:delete val="1"/>
        <c:axPos val="l"/>
        <c:numFmt formatCode="0.0%" sourceLinked="1"/>
        <c:majorTickMark val="none"/>
        <c:minorTickMark val="none"/>
        <c:tickLblPos val="none"/>
        <c:crossAx val="962600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sortant'!$R$167:$T$167</c:f>
              <c:numCache>
                <c:formatCode>0.0%</c:formatCode>
                <c:ptCount val="3"/>
                <c:pt idx="0">
                  <c:v>4.0897097625329823E-2</c:v>
                </c:pt>
                <c:pt idx="1">
                  <c:v>3.2851511169513799E-2</c:v>
                </c:pt>
                <c:pt idx="2">
                  <c:v>3.1591737545565018E-2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sortant'!$R$168:$T$168</c:f>
              <c:numCache>
                <c:formatCode>0.0%</c:formatCode>
                <c:ptCount val="3"/>
                <c:pt idx="0">
                  <c:v>0.12532981530343013</c:v>
                </c:pt>
                <c:pt idx="1">
                  <c:v>0.13272010512483567</c:v>
                </c:pt>
                <c:pt idx="2">
                  <c:v>0.15674362089914939</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sortant'!$R$169:$T$169</c:f>
              <c:numCache>
                <c:formatCode>0.0%</c:formatCode>
                <c:ptCount val="3"/>
                <c:pt idx="0">
                  <c:v>0.83377308707124009</c:v>
                </c:pt>
                <c:pt idx="1">
                  <c:v>0.83442838370565053</c:v>
                </c:pt>
                <c:pt idx="2">
                  <c:v>0.81166464155528562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285824"/>
        <c:axId val="96287360"/>
      </c:barChart>
      <c:catAx>
        <c:axId val="962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287360"/>
        <c:crosses val="autoZero"/>
        <c:auto val="1"/>
        <c:lblAlgn val="ctr"/>
        <c:lblOffset val="100"/>
        <c:noMultiLvlLbl val="0"/>
      </c:catAx>
      <c:valAx>
        <c:axId val="96287360"/>
        <c:scaling>
          <c:orientation val="minMax"/>
          <c:max val="1"/>
        </c:scaling>
        <c:delete val="1"/>
        <c:axPos val="l"/>
        <c:numFmt formatCode="0.0%" sourceLinked="1"/>
        <c:majorTickMark val="none"/>
        <c:minorTickMark val="none"/>
        <c:tickLblPos val="none"/>
        <c:crossAx val="962858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sortant'!$V$167:$X$167</c:f>
              <c:numCache>
                <c:formatCode>0.0%</c:formatCode>
                <c:ptCount val="3"/>
                <c:pt idx="0">
                  <c:v>1.3353115727002958E-2</c:v>
                </c:pt>
                <c:pt idx="1">
                  <c:v>1.3888888888888888E-2</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sortant'!$V$168:$X$168</c:f>
              <c:numCache>
                <c:formatCode>0.0%</c:formatCode>
                <c:ptCount val="3"/>
                <c:pt idx="0">
                  <c:v>2.522255192878331E-2</c:v>
                </c:pt>
                <c:pt idx="1">
                  <c:v>1.3888888888888951E-2</c:v>
                </c:pt>
                <c:pt idx="2">
                  <c:v>0</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sortant'!$V$169:$X$169</c:f>
              <c:numCache>
                <c:formatCode>0.0%</c:formatCode>
                <c:ptCount val="3"/>
                <c:pt idx="0">
                  <c:v>0.96142433234421376</c:v>
                </c:pt>
                <c:pt idx="1">
                  <c:v>0.97222222222222221</c:v>
                </c:pt>
                <c:pt idx="2">
                  <c:v>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04249600"/>
        <c:axId val="131571712"/>
      </c:barChart>
      <c:catAx>
        <c:axId val="10424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571712"/>
        <c:crosses val="autoZero"/>
        <c:auto val="1"/>
        <c:lblAlgn val="ctr"/>
        <c:lblOffset val="100"/>
        <c:noMultiLvlLbl val="0"/>
      </c:catAx>
      <c:valAx>
        <c:axId val="131571712"/>
        <c:scaling>
          <c:orientation val="minMax"/>
          <c:max val="1"/>
        </c:scaling>
        <c:delete val="1"/>
        <c:axPos val="l"/>
        <c:numFmt formatCode="0.0%" sourceLinked="1"/>
        <c:majorTickMark val="none"/>
        <c:minorTickMark val="none"/>
        <c:tickLblPos val="none"/>
        <c:crossAx val="1042496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sortant'!$Z$167:$AB$167</c:f>
              <c:numCache>
                <c:formatCode>0.0%</c:formatCode>
                <c:ptCount val="3"/>
                <c:pt idx="0">
                  <c:v>1.6042780748663093E-2</c:v>
                </c:pt>
                <c:pt idx="1">
                  <c:v>3.2378580323785794E-2</c:v>
                </c:pt>
                <c:pt idx="2">
                  <c:v>2.5032938076416322E-2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sortant'!$Z$168:$AB$168</c:f>
              <c:numCache>
                <c:formatCode>0.0%</c:formatCode>
                <c:ptCount val="3"/>
                <c:pt idx="0">
                  <c:v>3.3422459893048262E-2</c:v>
                </c:pt>
                <c:pt idx="1">
                  <c:v>7.0983810709837947E-2</c:v>
                </c:pt>
                <c:pt idx="2">
                  <c:v>4.7430830039525973E-2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sortant'!$Z$169:$AB$169</c:f>
              <c:numCache>
                <c:formatCode>0.0%</c:formatCode>
                <c:ptCount val="3"/>
                <c:pt idx="0">
                  <c:v>0.95053475935828868</c:v>
                </c:pt>
                <c:pt idx="1">
                  <c:v>0.89663760896637623</c:v>
                </c:pt>
                <c:pt idx="2">
                  <c:v>0.92753623188405776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451968"/>
        <c:axId val="96466048"/>
      </c:barChart>
      <c:catAx>
        <c:axId val="964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466048"/>
        <c:crosses val="autoZero"/>
        <c:auto val="1"/>
        <c:lblAlgn val="ctr"/>
        <c:lblOffset val="100"/>
        <c:noMultiLvlLbl val="0"/>
      </c:catAx>
      <c:valAx>
        <c:axId val="96466048"/>
        <c:scaling>
          <c:orientation val="minMax"/>
          <c:max val="1"/>
        </c:scaling>
        <c:delete val="1"/>
        <c:axPos val="l"/>
        <c:numFmt formatCode="0.0%" sourceLinked="1"/>
        <c:majorTickMark val="none"/>
        <c:minorTickMark val="none"/>
        <c:tickLblPos val="none"/>
        <c:crossAx val="964519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sortant'!$AD$167:$AF$167</c:f>
              <c:numCache>
                <c:formatCode>0.0%</c:formatCode>
                <c:ptCount val="3"/>
                <c:pt idx="0">
                  <c:v>4.3290043290043302E-2</c:v>
                </c:pt>
                <c:pt idx="1">
                  <c:v>4.597701149425288E-2</c:v>
                </c:pt>
                <c:pt idx="2">
                  <c:v>0.10073710073710072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sortant'!$AD$168:$AF$168</c:f>
              <c:numCache>
                <c:formatCode>0.0%</c:formatCode>
                <c:ptCount val="3"/>
                <c:pt idx="0">
                  <c:v>4.040404040404022E-2</c:v>
                </c:pt>
                <c:pt idx="1">
                  <c:v>3.9408866995073843E-2</c:v>
                </c:pt>
                <c:pt idx="2">
                  <c:v>9.4594594594594628E-2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sortant'!$AD$169:$AF$169</c:f>
              <c:numCache>
                <c:formatCode>0.0%</c:formatCode>
                <c:ptCount val="3"/>
                <c:pt idx="0">
                  <c:v>0.91630591630591651</c:v>
                </c:pt>
                <c:pt idx="1">
                  <c:v>0.91461412151067323</c:v>
                </c:pt>
                <c:pt idx="2">
                  <c:v>0.80466830466830463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383744"/>
        <c:axId val="96385280"/>
      </c:barChart>
      <c:catAx>
        <c:axId val="9638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385280"/>
        <c:crosses val="autoZero"/>
        <c:auto val="1"/>
        <c:lblAlgn val="ctr"/>
        <c:lblOffset val="100"/>
        <c:noMultiLvlLbl val="0"/>
      </c:catAx>
      <c:valAx>
        <c:axId val="96385280"/>
        <c:scaling>
          <c:orientation val="minMax"/>
          <c:max val="1"/>
        </c:scaling>
        <c:delete val="1"/>
        <c:axPos val="l"/>
        <c:numFmt formatCode="0.0%" sourceLinked="1"/>
        <c:majorTickMark val="none"/>
        <c:minorTickMark val="none"/>
        <c:tickLblPos val="none"/>
        <c:crossAx val="963837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sortant'!$AH$167:$AJ$167</c:f>
              <c:numCache>
                <c:formatCode>0.0%</c:formatCode>
                <c:ptCount val="3"/>
                <c:pt idx="0">
                  <c:v>6.157112526539274E-2</c:v>
                </c:pt>
                <c:pt idx="1">
                  <c:v>5.7046979865771806E-2</c:v>
                </c:pt>
                <c:pt idx="2">
                  <c:v>6.0913705583756313E-2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sortant'!$AH$168:$AJ$168</c:f>
              <c:numCache>
                <c:formatCode>0.0%</c:formatCode>
                <c:ptCount val="3"/>
                <c:pt idx="0">
                  <c:v>0.32908704883227158</c:v>
                </c:pt>
                <c:pt idx="1">
                  <c:v>0.19966442953020136</c:v>
                </c:pt>
                <c:pt idx="2">
                  <c:v>0.41624365482233516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sortant'!$AH$169:$AJ$169</c:f>
              <c:numCache>
                <c:formatCode>0.0%</c:formatCode>
                <c:ptCount val="3"/>
                <c:pt idx="0">
                  <c:v>0.60934182590233565</c:v>
                </c:pt>
                <c:pt idx="1">
                  <c:v>0.74328859060402686</c:v>
                </c:pt>
                <c:pt idx="2">
                  <c:v>0.52284263959390853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651136"/>
        <c:axId val="96652672"/>
      </c:barChart>
      <c:catAx>
        <c:axId val="9665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652672"/>
        <c:crosses val="autoZero"/>
        <c:auto val="1"/>
        <c:lblAlgn val="ctr"/>
        <c:lblOffset val="100"/>
        <c:noMultiLvlLbl val="0"/>
      </c:catAx>
      <c:valAx>
        <c:axId val="96652672"/>
        <c:scaling>
          <c:orientation val="minMax"/>
          <c:max val="1"/>
        </c:scaling>
        <c:delete val="1"/>
        <c:axPos val="l"/>
        <c:numFmt formatCode="0.0%" sourceLinked="1"/>
        <c:majorTickMark val="none"/>
        <c:minorTickMark val="none"/>
        <c:tickLblPos val="none"/>
        <c:crossAx val="9665113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sortant'!$AL$167:$AN$167</c:f>
              <c:numCache>
                <c:formatCode>0.0%</c:formatCode>
                <c:ptCount val="3"/>
                <c:pt idx="0">
                  <c:v>0.11326860841423951</c:v>
                </c:pt>
                <c:pt idx="1">
                  <c:v>4.9479166666666421E-2</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sortant'!$AL$168:$AN$168</c:f>
              <c:numCache>
                <c:formatCode>0.0%</c:formatCode>
                <c:ptCount val="3"/>
                <c:pt idx="0">
                  <c:v>6.4724919093851141E-2</c:v>
                </c:pt>
                <c:pt idx="1">
                  <c:v>5.208333333333337E-2</c:v>
                </c:pt>
                <c:pt idx="2">
                  <c:v>1.5424164524421635E-2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sortant'!$AL$169:$AN$169</c:f>
              <c:numCache>
                <c:formatCode>0.0%</c:formatCode>
                <c:ptCount val="3"/>
                <c:pt idx="0">
                  <c:v>0.82200647249190939</c:v>
                </c:pt>
                <c:pt idx="1">
                  <c:v>0.89843750000000022</c:v>
                </c:pt>
                <c:pt idx="2">
                  <c:v>0.98457583547557836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721920"/>
        <c:axId val="131994368"/>
      </c:barChart>
      <c:catAx>
        <c:axId val="9672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994368"/>
        <c:crosses val="autoZero"/>
        <c:auto val="1"/>
        <c:lblAlgn val="ctr"/>
        <c:lblOffset val="100"/>
        <c:noMultiLvlLbl val="0"/>
      </c:catAx>
      <c:valAx>
        <c:axId val="131994368"/>
        <c:scaling>
          <c:orientation val="minMax"/>
          <c:max val="1"/>
        </c:scaling>
        <c:delete val="1"/>
        <c:axPos val="l"/>
        <c:numFmt formatCode="0.0%" sourceLinked="1"/>
        <c:majorTickMark val="none"/>
        <c:minorTickMark val="none"/>
        <c:tickLblPos val="none"/>
        <c:crossAx val="967219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sortant'!$AP$167:$AR$167</c:f>
              <c:numCache>
                <c:formatCode>0.0%</c:formatCode>
                <c:ptCount val="3"/>
                <c:pt idx="0">
                  <c:v>6.0901339829476243E-2</c:v>
                </c:pt>
                <c:pt idx="1">
                  <c:v>0.10513739545997608</c:v>
                </c:pt>
                <c:pt idx="2">
                  <c:v>8.0267558528428096E-2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sortant'!$AP$168:$AR$168</c:f>
              <c:numCache>
                <c:formatCode>0.0%</c:formatCode>
                <c:ptCount val="3"/>
                <c:pt idx="0">
                  <c:v>7.551766138855065E-2</c:v>
                </c:pt>
                <c:pt idx="1">
                  <c:v>4.5400238948625993E-2</c:v>
                </c:pt>
                <c:pt idx="2">
                  <c:v>4.2363433667781614E-2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sortant'!$AP$169:$AR$169</c:f>
              <c:numCache>
                <c:formatCode>0.0%</c:formatCode>
                <c:ptCount val="3"/>
                <c:pt idx="0">
                  <c:v>0.86358099878197314</c:v>
                </c:pt>
                <c:pt idx="1">
                  <c:v>0.84946236559139787</c:v>
                </c:pt>
                <c:pt idx="2">
                  <c:v>0.87736900780379035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800768"/>
        <c:axId val="96802304"/>
      </c:barChart>
      <c:catAx>
        <c:axId val="9680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802304"/>
        <c:crosses val="autoZero"/>
        <c:auto val="1"/>
        <c:lblAlgn val="ctr"/>
        <c:lblOffset val="100"/>
        <c:noMultiLvlLbl val="0"/>
      </c:catAx>
      <c:valAx>
        <c:axId val="96802304"/>
        <c:scaling>
          <c:orientation val="minMax"/>
          <c:max val="1"/>
        </c:scaling>
        <c:delete val="1"/>
        <c:axPos val="l"/>
        <c:numFmt formatCode="0.0%" sourceLinked="1"/>
        <c:majorTickMark val="none"/>
        <c:minorTickMark val="none"/>
        <c:tickLblPos val="none"/>
        <c:crossAx val="968007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sortant'!$AT$167:$AV$167</c:f>
              <c:numCache>
                <c:formatCode>0.0%</c:formatCode>
                <c:ptCount val="3"/>
                <c:pt idx="0">
                  <c:v>4.7619047619047589E-2</c:v>
                </c:pt>
                <c:pt idx="1">
                  <c:v>0.11446540880503139</c:v>
                </c:pt>
                <c:pt idx="2">
                  <c:v>7.999999999999996E-2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sortant'!$AT$168:$AV$168</c:f>
              <c:numCache>
                <c:formatCode>0.0%</c:formatCode>
                <c:ptCount val="3"/>
                <c:pt idx="0">
                  <c:v>9.5238095238095344E-2</c:v>
                </c:pt>
                <c:pt idx="1">
                  <c:v>7.7987421383647781E-2</c:v>
                </c:pt>
                <c:pt idx="2">
                  <c:v>7.3333333333333472E-2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sortant'!$AT$169:$AV$169</c:f>
              <c:numCache>
                <c:formatCode>0.0%</c:formatCode>
                <c:ptCount val="3"/>
                <c:pt idx="0">
                  <c:v>0.8571428571428571</c:v>
                </c:pt>
                <c:pt idx="1">
                  <c:v>0.8075471698113208</c:v>
                </c:pt>
                <c:pt idx="2">
                  <c:v>0.84666666666666657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945280"/>
        <c:axId val="96946816"/>
      </c:barChart>
      <c:catAx>
        <c:axId val="9694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946816"/>
        <c:crosses val="autoZero"/>
        <c:auto val="1"/>
        <c:lblAlgn val="ctr"/>
        <c:lblOffset val="100"/>
        <c:noMultiLvlLbl val="0"/>
      </c:catAx>
      <c:valAx>
        <c:axId val="96946816"/>
        <c:scaling>
          <c:orientation val="minMax"/>
          <c:max val="1"/>
        </c:scaling>
        <c:delete val="1"/>
        <c:axPos val="l"/>
        <c:numFmt formatCode="0.0%" sourceLinked="1"/>
        <c:majorTickMark val="none"/>
        <c:minorTickMark val="none"/>
        <c:tickLblPos val="none"/>
        <c:crossAx val="969452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3" Type="http://schemas.openxmlformats.org/officeDocument/2006/relationships/chart" Target="../charts/chart17.xml"/><Relationship Id="rId18" Type="http://schemas.openxmlformats.org/officeDocument/2006/relationships/chart" Target="../charts/chart22.xml"/><Relationship Id="rId26" Type="http://schemas.openxmlformats.org/officeDocument/2006/relationships/chart" Target="../charts/chart30.xml"/><Relationship Id="rId39" Type="http://schemas.openxmlformats.org/officeDocument/2006/relationships/chart" Target="../charts/chart43.xml"/><Relationship Id="rId21" Type="http://schemas.openxmlformats.org/officeDocument/2006/relationships/chart" Target="../charts/chart25.xml"/><Relationship Id="rId34" Type="http://schemas.openxmlformats.org/officeDocument/2006/relationships/chart" Target="../charts/chart38.xml"/><Relationship Id="rId42" Type="http://schemas.openxmlformats.org/officeDocument/2006/relationships/chart" Target="../charts/chart46.xml"/><Relationship Id="rId47" Type="http://schemas.openxmlformats.org/officeDocument/2006/relationships/chart" Target="../charts/chart51.xml"/><Relationship Id="rId7" Type="http://schemas.openxmlformats.org/officeDocument/2006/relationships/chart" Target="../charts/chart11.xml"/><Relationship Id="rId2" Type="http://schemas.openxmlformats.org/officeDocument/2006/relationships/chart" Target="../charts/chart6.xml"/><Relationship Id="rId16" Type="http://schemas.openxmlformats.org/officeDocument/2006/relationships/chart" Target="../charts/chart20.xml"/><Relationship Id="rId29" Type="http://schemas.openxmlformats.org/officeDocument/2006/relationships/chart" Target="../charts/chart33.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24" Type="http://schemas.openxmlformats.org/officeDocument/2006/relationships/chart" Target="../charts/chart28.xml"/><Relationship Id="rId32" Type="http://schemas.openxmlformats.org/officeDocument/2006/relationships/chart" Target="../charts/chart36.xml"/><Relationship Id="rId37" Type="http://schemas.openxmlformats.org/officeDocument/2006/relationships/chart" Target="../charts/chart41.xml"/><Relationship Id="rId40" Type="http://schemas.openxmlformats.org/officeDocument/2006/relationships/chart" Target="../charts/chart44.xml"/><Relationship Id="rId45" Type="http://schemas.openxmlformats.org/officeDocument/2006/relationships/chart" Target="../charts/chart49.xml"/><Relationship Id="rId5" Type="http://schemas.openxmlformats.org/officeDocument/2006/relationships/chart" Target="../charts/chart9.xml"/><Relationship Id="rId15" Type="http://schemas.openxmlformats.org/officeDocument/2006/relationships/chart" Target="../charts/chart19.xml"/><Relationship Id="rId23" Type="http://schemas.openxmlformats.org/officeDocument/2006/relationships/chart" Target="../charts/chart27.xml"/><Relationship Id="rId28" Type="http://schemas.openxmlformats.org/officeDocument/2006/relationships/chart" Target="../charts/chart32.xml"/><Relationship Id="rId36" Type="http://schemas.openxmlformats.org/officeDocument/2006/relationships/chart" Target="../charts/chart40.xml"/><Relationship Id="rId10" Type="http://schemas.openxmlformats.org/officeDocument/2006/relationships/chart" Target="../charts/chart14.xml"/><Relationship Id="rId19" Type="http://schemas.openxmlformats.org/officeDocument/2006/relationships/chart" Target="../charts/chart23.xml"/><Relationship Id="rId31" Type="http://schemas.openxmlformats.org/officeDocument/2006/relationships/chart" Target="../charts/chart35.xml"/><Relationship Id="rId44" Type="http://schemas.openxmlformats.org/officeDocument/2006/relationships/chart" Target="../charts/chart48.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 Id="rId22" Type="http://schemas.openxmlformats.org/officeDocument/2006/relationships/chart" Target="../charts/chart26.xml"/><Relationship Id="rId27" Type="http://schemas.openxmlformats.org/officeDocument/2006/relationships/chart" Target="../charts/chart31.xml"/><Relationship Id="rId30" Type="http://schemas.openxmlformats.org/officeDocument/2006/relationships/chart" Target="../charts/chart34.xml"/><Relationship Id="rId35" Type="http://schemas.openxmlformats.org/officeDocument/2006/relationships/chart" Target="../charts/chart39.xml"/><Relationship Id="rId43" Type="http://schemas.openxmlformats.org/officeDocument/2006/relationships/chart" Target="../charts/chart47.xml"/><Relationship Id="rId48" Type="http://schemas.openxmlformats.org/officeDocument/2006/relationships/chart" Target="../charts/chart52.xml"/><Relationship Id="rId8" Type="http://schemas.openxmlformats.org/officeDocument/2006/relationships/chart" Target="../charts/chart12.xml"/><Relationship Id="rId3" Type="http://schemas.openxmlformats.org/officeDocument/2006/relationships/chart" Target="../charts/chart7.xml"/><Relationship Id="rId12" Type="http://schemas.openxmlformats.org/officeDocument/2006/relationships/chart" Target="../charts/chart16.xml"/><Relationship Id="rId17" Type="http://schemas.openxmlformats.org/officeDocument/2006/relationships/chart" Target="../charts/chart21.xml"/><Relationship Id="rId25" Type="http://schemas.openxmlformats.org/officeDocument/2006/relationships/chart" Target="../charts/chart29.xml"/><Relationship Id="rId33" Type="http://schemas.openxmlformats.org/officeDocument/2006/relationships/chart" Target="../charts/chart37.xml"/><Relationship Id="rId38" Type="http://schemas.openxmlformats.org/officeDocument/2006/relationships/chart" Target="../charts/chart42.xml"/><Relationship Id="rId46" Type="http://schemas.openxmlformats.org/officeDocument/2006/relationships/chart" Target="../charts/chart50.xml"/><Relationship Id="rId20" Type="http://schemas.openxmlformats.org/officeDocument/2006/relationships/chart" Target="../charts/chart24.xml"/><Relationship Id="rId41"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7</xdr:col>
      <xdr:colOff>1352550</xdr:colOff>
      <xdr:row>25</xdr:row>
      <xdr:rowOff>123825</xdr:rowOff>
    </xdr:from>
    <xdr:to>
      <xdr:col>10</xdr:col>
      <xdr:colOff>845820</xdr:colOff>
      <xdr:row>44</xdr:row>
      <xdr:rowOff>42864</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114300</xdr:colOff>
      <xdr:row>25</xdr:row>
      <xdr:rowOff>47625</xdr:rowOff>
    </xdr:from>
    <xdr:to>
      <xdr:col>23</xdr:col>
      <xdr:colOff>0</xdr:colOff>
      <xdr:row>43</xdr:row>
      <xdr:rowOff>143829</xdr:rowOff>
    </xdr:to>
    <xdr:graphicFrame macro="">
      <xdr:nvGraphicFramePr>
        <xdr:cNvPr id="3" name="Graphique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114300</xdr:colOff>
      <xdr:row>25</xdr:row>
      <xdr:rowOff>49530</xdr:rowOff>
    </xdr:from>
    <xdr:to>
      <xdr:col>35</xdr:col>
      <xdr:colOff>0</xdr:colOff>
      <xdr:row>43</xdr:row>
      <xdr:rowOff>141924</xdr:rowOff>
    </xdr:to>
    <xdr:graphicFrame macro="">
      <xdr:nvGraphicFramePr>
        <xdr:cNvPr id="4" name="Graphique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409576</xdr:colOff>
      <xdr:row>25</xdr:row>
      <xdr:rowOff>30480</xdr:rowOff>
    </xdr:from>
    <xdr:to>
      <xdr:col>43</xdr:col>
      <xdr:colOff>1076326</xdr:colOff>
      <xdr:row>43</xdr:row>
      <xdr:rowOff>122874</xdr:rowOff>
    </xdr:to>
    <xdr:graphicFrame macro="">
      <xdr:nvGraphicFramePr>
        <xdr:cNvPr id="5" name="Graphique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24</xdr:row>
      <xdr:rowOff>38100</xdr:rowOff>
    </xdr:from>
    <xdr:to>
      <xdr:col>4</xdr:col>
      <xdr:colOff>129540</xdr:colOff>
      <xdr:row>44</xdr:row>
      <xdr:rowOff>114300</xdr:rowOff>
    </xdr:to>
    <xdr:graphicFrame macro="">
      <xdr:nvGraphicFramePr>
        <xdr:cNvPr id="2" name="Graphique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998220</xdr:colOff>
      <xdr:row>24</xdr:row>
      <xdr:rowOff>15240</xdr:rowOff>
    </xdr:from>
    <xdr:to>
      <xdr:col>8</xdr:col>
      <xdr:colOff>220980</xdr:colOff>
      <xdr:row>45</xdr:row>
      <xdr:rowOff>0</xdr:rowOff>
    </xdr:to>
    <xdr:graphicFrame macro="">
      <xdr:nvGraphicFramePr>
        <xdr:cNvPr id="3" name="Graphique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1036320</xdr:colOff>
      <xdr:row>24</xdr:row>
      <xdr:rowOff>22860</xdr:rowOff>
    </xdr:from>
    <xdr:to>
      <xdr:col>12</xdr:col>
      <xdr:colOff>259080</xdr:colOff>
      <xdr:row>45</xdr:row>
      <xdr:rowOff>7620</xdr:rowOff>
    </xdr:to>
    <xdr:graphicFrame macro="">
      <xdr:nvGraphicFramePr>
        <xdr:cNvPr id="4" name="Graphique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1074420</xdr:colOff>
      <xdr:row>24</xdr:row>
      <xdr:rowOff>0</xdr:rowOff>
    </xdr:from>
    <xdr:to>
      <xdr:col>16</xdr:col>
      <xdr:colOff>297180</xdr:colOff>
      <xdr:row>44</xdr:row>
      <xdr:rowOff>167640</xdr:rowOff>
    </xdr:to>
    <xdr:graphicFrame macro="">
      <xdr:nvGraphicFramePr>
        <xdr:cNvPr id="5" name="Graphique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1028700</xdr:colOff>
      <xdr:row>23</xdr:row>
      <xdr:rowOff>175260</xdr:rowOff>
    </xdr:from>
    <xdr:to>
      <xdr:col>20</xdr:col>
      <xdr:colOff>251460</xdr:colOff>
      <xdr:row>44</xdr:row>
      <xdr:rowOff>160020</xdr:rowOff>
    </xdr:to>
    <xdr:graphicFrame macro="">
      <xdr:nvGraphicFramePr>
        <xdr:cNvPr id="6" name="Graphique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1089660</xdr:colOff>
      <xdr:row>23</xdr:row>
      <xdr:rowOff>160020</xdr:rowOff>
    </xdr:from>
    <xdr:to>
      <xdr:col>24</xdr:col>
      <xdr:colOff>312420</xdr:colOff>
      <xdr:row>44</xdr:row>
      <xdr:rowOff>144780</xdr:rowOff>
    </xdr:to>
    <xdr:graphicFrame macro="">
      <xdr:nvGraphicFramePr>
        <xdr:cNvPr id="7" name="Graphique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967740</xdr:colOff>
      <xdr:row>23</xdr:row>
      <xdr:rowOff>175260</xdr:rowOff>
    </xdr:from>
    <xdr:to>
      <xdr:col>28</xdr:col>
      <xdr:colOff>190500</xdr:colOff>
      <xdr:row>44</xdr:row>
      <xdr:rowOff>160020</xdr:rowOff>
    </xdr:to>
    <xdr:graphicFrame macro="">
      <xdr:nvGraphicFramePr>
        <xdr:cNvPr id="8" name="Graphique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975360</xdr:colOff>
      <xdr:row>24</xdr:row>
      <xdr:rowOff>0</xdr:rowOff>
    </xdr:from>
    <xdr:to>
      <xdr:col>32</xdr:col>
      <xdr:colOff>198120</xdr:colOff>
      <xdr:row>44</xdr:row>
      <xdr:rowOff>167640</xdr:rowOff>
    </xdr:to>
    <xdr:graphicFrame macro="">
      <xdr:nvGraphicFramePr>
        <xdr:cNvPr id="9" name="Graphique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32</xdr:col>
      <xdr:colOff>1150620</xdr:colOff>
      <xdr:row>24</xdr:row>
      <xdr:rowOff>15240</xdr:rowOff>
    </xdr:from>
    <xdr:to>
      <xdr:col>36</xdr:col>
      <xdr:colOff>373380</xdr:colOff>
      <xdr:row>45</xdr:row>
      <xdr:rowOff>0</xdr:rowOff>
    </xdr:to>
    <xdr:graphicFrame macro="">
      <xdr:nvGraphicFramePr>
        <xdr:cNvPr id="10" name="Graphique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36</xdr:col>
      <xdr:colOff>1135380</xdr:colOff>
      <xdr:row>23</xdr:row>
      <xdr:rowOff>160020</xdr:rowOff>
    </xdr:from>
    <xdr:to>
      <xdr:col>40</xdr:col>
      <xdr:colOff>358140</xdr:colOff>
      <xdr:row>44</xdr:row>
      <xdr:rowOff>144780</xdr:rowOff>
    </xdr:to>
    <xdr:graphicFrame macro="">
      <xdr:nvGraphicFramePr>
        <xdr:cNvPr id="11" name="Graphique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40</xdr:col>
      <xdr:colOff>944880</xdr:colOff>
      <xdr:row>23</xdr:row>
      <xdr:rowOff>160020</xdr:rowOff>
    </xdr:from>
    <xdr:to>
      <xdr:col>44</xdr:col>
      <xdr:colOff>167640</xdr:colOff>
      <xdr:row>44</xdr:row>
      <xdr:rowOff>144780</xdr:rowOff>
    </xdr:to>
    <xdr:graphicFrame macro="">
      <xdr:nvGraphicFramePr>
        <xdr:cNvPr id="12" name="Graphique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44</xdr:col>
      <xdr:colOff>967740</xdr:colOff>
      <xdr:row>24</xdr:row>
      <xdr:rowOff>7620</xdr:rowOff>
    </xdr:from>
    <xdr:to>
      <xdr:col>48</xdr:col>
      <xdr:colOff>190500</xdr:colOff>
      <xdr:row>44</xdr:row>
      <xdr:rowOff>175260</xdr:rowOff>
    </xdr:to>
    <xdr:graphicFrame macro="">
      <xdr:nvGraphicFramePr>
        <xdr:cNvPr id="13" name="Graphique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38100</xdr:colOff>
      <xdr:row>72</xdr:row>
      <xdr:rowOff>38100</xdr:rowOff>
    </xdr:from>
    <xdr:to>
      <xdr:col>4</xdr:col>
      <xdr:colOff>133350</xdr:colOff>
      <xdr:row>92</xdr:row>
      <xdr:rowOff>114300</xdr:rowOff>
    </xdr:to>
    <xdr:graphicFrame macro="">
      <xdr:nvGraphicFramePr>
        <xdr:cNvPr id="14" name="Graphique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1000125</xdr:colOff>
      <xdr:row>72</xdr:row>
      <xdr:rowOff>19050</xdr:rowOff>
    </xdr:from>
    <xdr:to>
      <xdr:col>8</xdr:col>
      <xdr:colOff>219075</xdr:colOff>
      <xdr:row>93</xdr:row>
      <xdr:rowOff>0</xdr:rowOff>
    </xdr:to>
    <xdr:graphicFrame macro="">
      <xdr:nvGraphicFramePr>
        <xdr:cNvPr id="15" name="Graphique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1038225</xdr:colOff>
      <xdr:row>72</xdr:row>
      <xdr:rowOff>19050</xdr:rowOff>
    </xdr:from>
    <xdr:to>
      <xdr:col>12</xdr:col>
      <xdr:colOff>257175</xdr:colOff>
      <xdr:row>93</xdr:row>
      <xdr:rowOff>9525</xdr:rowOff>
    </xdr:to>
    <xdr:graphicFrame macro="">
      <xdr:nvGraphicFramePr>
        <xdr:cNvPr id="16" name="Graphique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1076325</xdr:colOff>
      <xdr:row>72</xdr:row>
      <xdr:rowOff>0</xdr:rowOff>
    </xdr:from>
    <xdr:to>
      <xdr:col>16</xdr:col>
      <xdr:colOff>295275</xdr:colOff>
      <xdr:row>92</xdr:row>
      <xdr:rowOff>171450</xdr:rowOff>
    </xdr:to>
    <xdr:graphicFrame macro="">
      <xdr:nvGraphicFramePr>
        <xdr:cNvPr id="17" name="Graphique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1028700</xdr:colOff>
      <xdr:row>71</xdr:row>
      <xdr:rowOff>171450</xdr:rowOff>
    </xdr:from>
    <xdr:to>
      <xdr:col>20</xdr:col>
      <xdr:colOff>247650</xdr:colOff>
      <xdr:row>92</xdr:row>
      <xdr:rowOff>161925</xdr:rowOff>
    </xdr:to>
    <xdr:graphicFrame macro="">
      <xdr:nvGraphicFramePr>
        <xdr:cNvPr id="18" name="Graphique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1085850</xdr:colOff>
      <xdr:row>71</xdr:row>
      <xdr:rowOff>161925</xdr:rowOff>
    </xdr:from>
    <xdr:to>
      <xdr:col>24</xdr:col>
      <xdr:colOff>314325</xdr:colOff>
      <xdr:row>92</xdr:row>
      <xdr:rowOff>142875</xdr:rowOff>
    </xdr:to>
    <xdr:graphicFrame macro="">
      <xdr:nvGraphicFramePr>
        <xdr:cNvPr id="19" name="Graphique 18">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24</xdr:col>
      <xdr:colOff>971550</xdr:colOff>
      <xdr:row>71</xdr:row>
      <xdr:rowOff>171450</xdr:rowOff>
    </xdr:from>
    <xdr:to>
      <xdr:col>28</xdr:col>
      <xdr:colOff>190500</xdr:colOff>
      <xdr:row>92</xdr:row>
      <xdr:rowOff>161925</xdr:rowOff>
    </xdr:to>
    <xdr:graphicFrame macro="">
      <xdr:nvGraphicFramePr>
        <xdr:cNvPr id="20" name="Graphique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28</xdr:col>
      <xdr:colOff>971550</xdr:colOff>
      <xdr:row>72</xdr:row>
      <xdr:rowOff>0</xdr:rowOff>
    </xdr:from>
    <xdr:to>
      <xdr:col>32</xdr:col>
      <xdr:colOff>200025</xdr:colOff>
      <xdr:row>92</xdr:row>
      <xdr:rowOff>171450</xdr:rowOff>
    </xdr:to>
    <xdr:graphicFrame macro="">
      <xdr:nvGraphicFramePr>
        <xdr:cNvPr id="21" name="Graphique 20">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32</xdr:col>
      <xdr:colOff>1152525</xdr:colOff>
      <xdr:row>72</xdr:row>
      <xdr:rowOff>19050</xdr:rowOff>
    </xdr:from>
    <xdr:to>
      <xdr:col>36</xdr:col>
      <xdr:colOff>371475</xdr:colOff>
      <xdr:row>93</xdr:row>
      <xdr:rowOff>0</xdr:rowOff>
    </xdr:to>
    <xdr:graphicFrame macro="">
      <xdr:nvGraphicFramePr>
        <xdr:cNvPr id="22" name="Graphique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36</xdr:col>
      <xdr:colOff>1133475</xdr:colOff>
      <xdr:row>71</xdr:row>
      <xdr:rowOff>161925</xdr:rowOff>
    </xdr:from>
    <xdr:to>
      <xdr:col>40</xdr:col>
      <xdr:colOff>361950</xdr:colOff>
      <xdr:row>92</xdr:row>
      <xdr:rowOff>142875</xdr:rowOff>
    </xdr:to>
    <xdr:graphicFrame macro="">
      <xdr:nvGraphicFramePr>
        <xdr:cNvPr id="23" name="Graphique 22">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40</xdr:col>
      <xdr:colOff>942975</xdr:colOff>
      <xdr:row>71</xdr:row>
      <xdr:rowOff>161925</xdr:rowOff>
    </xdr:from>
    <xdr:to>
      <xdr:col>44</xdr:col>
      <xdr:colOff>171450</xdr:colOff>
      <xdr:row>92</xdr:row>
      <xdr:rowOff>142875</xdr:rowOff>
    </xdr:to>
    <xdr:graphicFrame macro="">
      <xdr:nvGraphicFramePr>
        <xdr:cNvPr id="24" name="Graphique 23">
          <a:extLst>
            <a:ext uri="{FF2B5EF4-FFF2-40B4-BE49-F238E27FC236}">
              <a16:creationId xmlns:a16="http://schemas.microsoft.com/office/drawing/2014/main" id="{00000000-0008-0000-02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44</xdr:col>
      <xdr:colOff>971550</xdr:colOff>
      <xdr:row>72</xdr:row>
      <xdr:rowOff>9525</xdr:rowOff>
    </xdr:from>
    <xdr:to>
      <xdr:col>48</xdr:col>
      <xdr:colOff>190500</xdr:colOff>
      <xdr:row>92</xdr:row>
      <xdr:rowOff>171450</xdr:rowOff>
    </xdr:to>
    <xdr:graphicFrame macro="">
      <xdr:nvGraphicFramePr>
        <xdr:cNvPr id="25" name="Graphique 24">
          <a:extLst>
            <a:ext uri="{FF2B5EF4-FFF2-40B4-BE49-F238E27FC236}">
              <a16:creationId xmlns:a16="http://schemas.microsoft.com/office/drawing/2014/main" id="{00000000-0008-0000-02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xdr:col>
      <xdr:colOff>38100</xdr:colOff>
      <xdr:row>121</xdr:row>
      <xdr:rowOff>38100</xdr:rowOff>
    </xdr:from>
    <xdr:to>
      <xdr:col>4</xdr:col>
      <xdr:colOff>133350</xdr:colOff>
      <xdr:row>141</xdr:row>
      <xdr:rowOff>114300</xdr:rowOff>
    </xdr:to>
    <xdr:graphicFrame macro="">
      <xdr:nvGraphicFramePr>
        <xdr:cNvPr id="26" name="Graphique 25">
          <a:extLst>
            <a:ext uri="{FF2B5EF4-FFF2-40B4-BE49-F238E27FC236}">
              <a16:creationId xmlns:a16="http://schemas.microsoft.com/office/drawing/2014/main" id="{00000000-0008-0000-02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1000125</xdr:colOff>
      <xdr:row>121</xdr:row>
      <xdr:rowOff>19050</xdr:rowOff>
    </xdr:from>
    <xdr:to>
      <xdr:col>8</xdr:col>
      <xdr:colOff>219075</xdr:colOff>
      <xdr:row>142</xdr:row>
      <xdr:rowOff>0</xdr:rowOff>
    </xdr:to>
    <xdr:graphicFrame macro="">
      <xdr:nvGraphicFramePr>
        <xdr:cNvPr id="27" name="Graphique 26">
          <a:extLst>
            <a:ext uri="{FF2B5EF4-FFF2-40B4-BE49-F238E27FC236}">
              <a16:creationId xmlns:a16="http://schemas.microsoft.com/office/drawing/2014/main" id="{00000000-0008-0000-02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8</xdr:col>
      <xdr:colOff>1038225</xdr:colOff>
      <xdr:row>121</xdr:row>
      <xdr:rowOff>19050</xdr:rowOff>
    </xdr:from>
    <xdr:to>
      <xdr:col>12</xdr:col>
      <xdr:colOff>257175</xdr:colOff>
      <xdr:row>142</xdr:row>
      <xdr:rowOff>9525</xdr:rowOff>
    </xdr:to>
    <xdr:graphicFrame macro="">
      <xdr:nvGraphicFramePr>
        <xdr:cNvPr id="28" name="Graphique 27">
          <a:extLst>
            <a:ext uri="{FF2B5EF4-FFF2-40B4-BE49-F238E27FC236}">
              <a16:creationId xmlns:a16="http://schemas.microsoft.com/office/drawing/2014/main" id="{00000000-0008-0000-02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1076325</xdr:colOff>
      <xdr:row>121</xdr:row>
      <xdr:rowOff>0</xdr:rowOff>
    </xdr:from>
    <xdr:to>
      <xdr:col>16</xdr:col>
      <xdr:colOff>295275</xdr:colOff>
      <xdr:row>141</xdr:row>
      <xdr:rowOff>171450</xdr:rowOff>
    </xdr:to>
    <xdr:graphicFrame macro="">
      <xdr:nvGraphicFramePr>
        <xdr:cNvPr id="29" name="Graphique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16</xdr:col>
      <xdr:colOff>1028700</xdr:colOff>
      <xdr:row>120</xdr:row>
      <xdr:rowOff>171450</xdr:rowOff>
    </xdr:from>
    <xdr:to>
      <xdr:col>20</xdr:col>
      <xdr:colOff>247650</xdr:colOff>
      <xdr:row>141</xdr:row>
      <xdr:rowOff>161925</xdr:rowOff>
    </xdr:to>
    <xdr:graphicFrame macro="">
      <xdr:nvGraphicFramePr>
        <xdr:cNvPr id="30" name="Graphique 29">
          <a:extLst>
            <a:ext uri="{FF2B5EF4-FFF2-40B4-BE49-F238E27FC236}">
              <a16:creationId xmlns:a16="http://schemas.microsoft.com/office/drawing/2014/main" id="{00000000-0008-0000-02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20</xdr:col>
      <xdr:colOff>1085850</xdr:colOff>
      <xdr:row>120</xdr:row>
      <xdr:rowOff>161925</xdr:rowOff>
    </xdr:from>
    <xdr:to>
      <xdr:col>24</xdr:col>
      <xdr:colOff>314325</xdr:colOff>
      <xdr:row>141</xdr:row>
      <xdr:rowOff>142875</xdr:rowOff>
    </xdr:to>
    <xdr:graphicFrame macro="">
      <xdr:nvGraphicFramePr>
        <xdr:cNvPr id="31" name="Graphique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24</xdr:col>
      <xdr:colOff>971550</xdr:colOff>
      <xdr:row>120</xdr:row>
      <xdr:rowOff>171450</xdr:rowOff>
    </xdr:from>
    <xdr:to>
      <xdr:col>28</xdr:col>
      <xdr:colOff>190500</xdr:colOff>
      <xdr:row>141</xdr:row>
      <xdr:rowOff>161925</xdr:rowOff>
    </xdr:to>
    <xdr:graphicFrame macro="">
      <xdr:nvGraphicFramePr>
        <xdr:cNvPr id="32" name="Graphique 31">
          <a:extLst>
            <a:ext uri="{FF2B5EF4-FFF2-40B4-BE49-F238E27FC236}">
              <a16:creationId xmlns:a16="http://schemas.microsoft.com/office/drawing/2014/main" id="{00000000-0008-0000-02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28</xdr:col>
      <xdr:colOff>971550</xdr:colOff>
      <xdr:row>121</xdr:row>
      <xdr:rowOff>0</xdr:rowOff>
    </xdr:from>
    <xdr:to>
      <xdr:col>32</xdr:col>
      <xdr:colOff>200025</xdr:colOff>
      <xdr:row>141</xdr:row>
      <xdr:rowOff>171450</xdr:rowOff>
    </xdr:to>
    <xdr:graphicFrame macro="">
      <xdr:nvGraphicFramePr>
        <xdr:cNvPr id="33" name="Graphique 32">
          <a:extLst>
            <a:ext uri="{FF2B5EF4-FFF2-40B4-BE49-F238E27FC236}">
              <a16:creationId xmlns:a16="http://schemas.microsoft.com/office/drawing/2014/main" id="{00000000-0008-0000-02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32</xdr:col>
      <xdr:colOff>1152525</xdr:colOff>
      <xdr:row>121</xdr:row>
      <xdr:rowOff>19050</xdr:rowOff>
    </xdr:from>
    <xdr:to>
      <xdr:col>36</xdr:col>
      <xdr:colOff>371475</xdr:colOff>
      <xdr:row>142</xdr:row>
      <xdr:rowOff>0</xdr:rowOff>
    </xdr:to>
    <xdr:graphicFrame macro="">
      <xdr:nvGraphicFramePr>
        <xdr:cNvPr id="34" name="Graphique 33">
          <a:extLst>
            <a:ext uri="{FF2B5EF4-FFF2-40B4-BE49-F238E27FC236}">
              <a16:creationId xmlns:a16="http://schemas.microsoft.com/office/drawing/2014/main" id="{00000000-0008-0000-02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36</xdr:col>
      <xdr:colOff>1133475</xdr:colOff>
      <xdr:row>120</xdr:row>
      <xdr:rowOff>161925</xdr:rowOff>
    </xdr:from>
    <xdr:to>
      <xdr:col>40</xdr:col>
      <xdr:colOff>361950</xdr:colOff>
      <xdr:row>141</xdr:row>
      <xdr:rowOff>142875</xdr:rowOff>
    </xdr:to>
    <xdr:graphicFrame macro="">
      <xdr:nvGraphicFramePr>
        <xdr:cNvPr id="35" name="Graphique 34">
          <a:extLst>
            <a:ext uri="{FF2B5EF4-FFF2-40B4-BE49-F238E27FC236}">
              <a16:creationId xmlns:a16="http://schemas.microsoft.com/office/drawing/2014/main" id="{00000000-0008-0000-02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40</xdr:col>
      <xdr:colOff>942975</xdr:colOff>
      <xdr:row>120</xdr:row>
      <xdr:rowOff>161925</xdr:rowOff>
    </xdr:from>
    <xdr:to>
      <xdr:col>44</xdr:col>
      <xdr:colOff>171450</xdr:colOff>
      <xdr:row>141</xdr:row>
      <xdr:rowOff>142875</xdr:rowOff>
    </xdr:to>
    <xdr:graphicFrame macro="">
      <xdr:nvGraphicFramePr>
        <xdr:cNvPr id="36" name="Graphique 35">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44</xdr:col>
      <xdr:colOff>971550</xdr:colOff>
      <xdr:row>121</xdr:row>
      <xdr:rowOff>9525</xdr:rowOff>
    </xdr:from>
    <xdr:to>
      <xdr:col>48</xdr:col>
      <xdr:colOff>190500</xdr:colOff>
      <xdr:row>141</xdr:row>
      <xdr:rowOff>171450</xdr:rowOff>
    </xdr:to>
    <xdr:graphicFrame macro="">
      <xdr:nvGraphicFramePr>
        <xdr:cNvPr id="37" name="Graphique 36">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xdr:col>
      <xdr:colOff>38100</xdr:colOff>
      <xdr:row>170</xdr:row>
      <xdr:rowOff>38100</xdr:rowOff>
    </xdr:from>
    <xdr:to>
      <xdr:col>4</xdr:col>
      <xdr:colOff>133350</xdr:colOff>
      <xdr:row>190</xdr:row>
      <xdr:rowOff>114300</xdr:rowOff>
    </xdr:to>
    <xdr:graphicFrame macro="">
      <xdr:nvGraphicFramePr>
        <xdr:cNvPr id="38" name="Graphique 37">
          <a:extLst>
            <a:ext uri="{FF2B5EF4-FFF2-40B4-BE49-F238E27FC236}">
              <a16:creationId xmlns:a16="http://schemas.microsoft.com/office/drawing/2014/main" id="{00000000-0008-0000-02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4</xdr:col>
      <xdr:colOff>1000125</xdr:colOff>
      <xdr:row>170</xdr:row>
      <xdr:rowOff>19050</xdr:rowOff>
    </xdr:from>
    <xdr:to>
      <xdr:col>8</xdr:col>
      <xdr:colOff>219075</xdr:colOff>
      <xdr:row>191</xdr:row>
      <xdr:rowOff>0</xdr:rowOff>
    </xdr:to>
    <xdr:graphicFrame macro="">
      <xdr:nvGraphicFramePr>
        <xdr:cNvPr id="39" name="Graphique 38">
          <a:extLst>
            <a:ext uri="{FF2B5EF4-FFF2-40B4-BE49-F238E27FC236}">
              <a16:creationId xmlns:a16="http://schemas.microsoft.com/office/drawing/2014/main" id="{00000000-0008-0000-02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8</xdr:col>
      <xdr:colOff>1038225</xdr:colOff>
      <xdr:row>170</xdr:row>
      <xdr:rowOff>19050</xdr:rowOff>
    </xdr:from>
    <xdr:to>
      <xdr:col>12</xdr:col>
      <xdr:colOff>257175</xdr:colOff>
      <xdr:row>191</xdr:row>
      <xdr:rowOff>9525</xdr:rowOff>
    </xdr:to>
    <xdr:graphicFrame macro="">
      <xdr:nvGraphicFramePr>
        <xdr:cNvPr id="40" name="Graphique 39">
          <a:extLst>
            <a:ext uri="{FF2B5EF4-FFF2-40B4-BE49-F238E27FC236}">
              <a16:creationId xmlns:a16="http://schemas.microsoft.com/office/drawing/2014/main" id="{00000000-0008-0000-02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12</xdr:col>
      <xdr:colOff>1076325</xdr:colOff>
      <xdr:row>170</xdr:row>
      <xdr:rowOff>0</xdr:rowOff>
    </xdr:from>
    <xdr:to>
      <xdr:col>16</xdr:col>
      <xdr:colOff>295275</xdr:colOff>
      <xdr:row>190</xdr:row>
      <xdr:rowOff>171450</xdr:rowOff>
    </xdr:to>
    <xdr:graphicFrame macro="">
      <xdr:nvGraphicFramePr>
        <xdr:cNvPr id="41" name="Graphique 40">
          <a:extLst>
            <a:ext uri="{FF2B5EF4-FFF2-40B4-BE49-F238E27FC236}">
              <a16:creationId xmlns:a16="http://schemas.microsoft.com/office/drawing/2014/main" id="{00000000-0008-0000-02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16</xdr:col>
      <xdr:colOff>1028700</xdr:colOff>
      <xdr:row>169</xdr:row>
      <xdr:rowOff>171450</xdr:rowOff>
    </xdr:from>
    <xdr:to>
      <xdr:col>20</xdr:col>
      <xdr:colOff>247650</xdr:colOff>
      <xdr:row>190</xdr:row>
      <xdr:rowOff>161925</xdr:rowOff>
    </xdr:to>
    <xdr:graphicFrame macro="">
      <xdr:nvGraphicFramePr>
        <xdr:cNvPr id="42" name="Graphique 41">
          <a:extLst>
            <a:ext uri="{FF2B5EF4-FFF2-40B4-BE49-F238E27FC236}">
              <a16:creationId xmlns:a16="http://schemas.microsoft.com/office/drawing/2014/main" id="{00000000-0008-0000-02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1085850</xdr:colOff>
      <xdr:row>169</xdr:row>
      <xdr:rowOff>161925</xdr:rowOff>
    </xdr:from>
    <xdr:to>
      <xdr:col>24</xdr:col>
      <xdr:colOff>314325</xdr:colOff>
      <xdr:row>190</xdr:row>
      <xdr:rowOff>142875</xdr:rowOff>
    </xdr:to>
    <xdr:graphicFrame macro="">
      <xdr:nvGraphicFramePr>
        <xdr:cNvPr id="43" name="Graphique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24</xdr:col>
      <xdr:colOff>971550</xdr:colOff>
      <xdr:row>169</xdr:row>
      <xdr:rowOff>171450</xdr:rowOff>
    </xdr:from>
    <xdr:to>
      <xdr:col>28</xdr:col>
      <xdr:colOff>190500</xdr:colOff>
      <xdr:row>190</xdr:row>
      <xdr:rowOff>161925</xdr:rowOff>
    </xdr:to>
    <xdr:graphicFrame macro="">
      <xdr:nvGraphicFramePr>
        <xdr:cNvPr id="44" name="Graphique 43">
          <a:extLst>
            <a:ext uri="{FF2B5EF4-FFF2-40B4-BE49-F238E27FC236}">
              <a16:creationId xmlns:a16="http://schemas.microsoft.com/office/drawing/2014/main" id="{00000000-0008-0000-02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28</xdr:col>
      <xdr:colOff>971550</xdr:colOff>
      <xdr:row>170</xdr:row>
      <xdr:rowOff>0</xdr:rowOff>
    </xdr:from>
    <xdr:to>
      <xdr:col>32</xdr:col>
      <xdr:colOff>200025</xdr:colOff>
      <xdr:row>190</xdr:row>
      <xdr:rowOff>171450</xdr:rowOff>
    </xdr:to>
    <xdr:graphicFrame macro="">
      <xdr:nvGraphicFramePr>
        <xdr:cNvPr id="45" name="Graphique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32</xdr:col>
      <xdr:colOff>1152525</xdr:colOff>
      <xdr:row>170</xdr:row>
      <xdr:rowOff>19050</xdr:rowOff>
    </xdr:from>
    <xdr:to>
      <xdr:col>36</xdr:col>
      <xdr:colOff>371475</xdr:colOff>
      <xdr:row>191</xdr:row>
      <xdr:rowOff>0</xdr:rowOff>
    </xdr:to>
    <xdr:graphicFrame macro="">
      <xdr:nvGraphicFramePr>
        <xdr:cNvPr id="46" name="Graphique 45">
          <a:extLst>
            <a:ext uri="{FF2B5EF4-FFF2-40B4-BE49-F238E27FC236}">
              <a16:creationId xmlns:a16="http://schemas.microsoft.com/office/drawing/2014/main" id="{00000000-0008-0000-02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36</xdr:col>
      <xdr:colOff>1133475</xdr:colOff>
      <xdr:row>169</xdr:row>
      <xdr:rowOff>161925</xdr:rowOff>
    </xdr:from>
    <xdr:to>
      <xdr:col>40</xdr:col>
      <xdr:colOff>361950</xdr:colOff>
      <xdr:row>190</xdr:row>
      <xdr:rowOff>142875</xdr:rowOff>
    </xdr:to>
    <xdr:graphicFrame macro="">
      <xdr:nvGraphicFramePr>
        <xdr:cNvPr id="47" name="Graphique 46">
          <a:extLst>
            <a:ext uri="{FF2B5EF4-FFF2-40B4-BE49-F238E27FC236}">
              <a16:creationId xmlns:a16="http://schemas.microsoft.com/office/drawing/2014/main" id="{00000000-0008-0000-02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40</xdr:col>
      <xdr:colOff>942975</xdr:colOff>
      <xdr:row>169</xdr:row>
      <xdr:rowOff>161925</xdr:rowOff>
    </xdr:from>
    <xdr:to>
      <xdr:col>44</xdr:col>
      <xdr:colOff>171450</xdr:colOff>
      <xdr:row>190</xdr:row>
      <xdr:rowOff>142875</xdr:rowOff>
    </xdr:to>
    <xdr:graphicFrame macro="">
      <xdr:nvGraphicFramePr>
        <xdr:cNvPr id="48" name="Graphique 47">
          <a:extLst>
            <a:ext uri="{FF2B5EF4-FFF2-40B4-BE49-F238E27FC236}">
              <a16:creationId xmlns:a16="http://schemas.microsoft.com/office/drawing/2014/main" id="{00000000-0008-0000-02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44</xdr:col>
      <xdr:colOff>971550</xdr:colOff>
      <xdr:row>170</xdr:row>
      <xdr:rowOff>9525</xdr:rowOff>
    </xdr:from>
    <xdr:to>
      <xdr:col>48</xdr:col>
      <xdr:colOff>190500</xdr:colOff>
      <xdr:row>190</xdr:row>
      <xdr:rowOff>171450</xdr:rowOff>
    </xdr:to>
    <xdr:graphicFrame macro="">
      <xdr:nvGraphicFramePr>
        <xdr:cNvPr id="49" name="Graphique 48">
          <a:extLst>
            <a:ext uri="{FF2B5EF4-FFF2-40B4-BE49-F238E27FC236}">
              <a16:creationId xmlns:a16="http://schemas.microsoft.com/office/drawing/2014/main" id="{00000000-0008-0000-02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ur\donn&#233;es\003-Verkauf\UnterlagenTeilnahmewettbewerbe\Franz&#246;sisch\Donn&#233;es%20LKCA\99-539%20DUNKERQUE\Versuch%20Boues\Organisation%20des%20essais%2002%2006%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2002\public\02%20Projets\France\Villerupt\Dossiers%20techniques\BM-77300%20variante3%20Villerupt%20v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ARBEIT\Catherine\PROCEDES\SATURAT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ur\donn&#233;es\Marne%2000173\Bilans\Etude%20MARNE%20presse-fbande%20contro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ur\VALORGA\Marne%2000173\Bilans\Etude%20MARNE%20hyp2%2011000%20sans%20papie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2002\public\02%20Projets\France\Martinique\Dossiers%20techniques\BM%20Martiniqu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épertoire"/>
      <sheetName val="Planning"/>
      <sheetName val="Consultations"/>
      <sheetName val="Déchets"/>
      <sheetName val="Equipement"/>
      <sheetName val="Essai"/>
      <sheetName val="Rapport"/>
      <sheetName val="Mix Plan"/>
      <sheetName val="Mix Detail"/>
      <sheetName val="Kompost Plan"/>
      <sheetName val="Kompost Detail"/>
      <sheetName val="Material Mischvers"/>
      <sheetName val="Tabelle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Quintrec"/>
      <sheetName val="Compo dechets"/>
      <sheetName val="Tri ref"/>
      <sheetName val="BM std"/>
      <sheetName val="BM Simpl"/>
      <sheetName val="BE"/>
      <sheetName val="Dimension."/>
      <sheetName val="Debits"/>
      <sheetName val="Tunnel"/>
    </sheetNames>
    <sheetDataSet>
      <sheetData sheetId="0"/>
      <sheetData sheetId="1"/>
      <sheetData sheetId="2"/>
      <sheetData sheetId="3"/>
      <sheetData sheetId="4"/>
      <sheetData sheetId="5"/>
      <sheetData sheetId="6" refreshError="1">
        <row r="31">
          <cell r="H31">
            <v>5.7891240419833423</v>
          </cell>
        </row>
        <row r="44">
          <cell r="N44">
            <v>273.52078660234457</v>
          </cell>
        </row>
      </sheetData>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AU"/>
      <sheetName val="AIR"/>
      <sheetName val="BIOGAZ"/>
      <sheetName val="CONCEPTION"/>
      <sheetName val="PERFORMANCE"/>
      <sheetName val="LANGHANS"/>
      <sheetName val="VENTILATION"/>
      <sheetName val="Tabelle14"/>
      <sheetName val="Tabelle15"/>
      <sheetName val="Tabelle16"/>
      <sheetName val="TUNNELS"/>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sition"/>
      <sheetName val="BM FFOM FB"/>
      <sheetName val="BM Simpl"/>
      <sheetName val="BM Simpl struct"/>
      <sheetName val="B Energie"/>
      <sheetName val="Dimensions"/>
      <sheetName val="DG"/>
      <sheetName val="Tuyau"/>
      <sheetName val="GC_VRD"/>
      <sheetName val="Elec"/>
      <sheetName val="Equip_Prix"/>
      <sheetName val="B Exploit"/>
      <sheetName val="Retourneuse"/>
      <sheetName val="Investis"/>
      <sheetName val="Structurant"/>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sheetData sheetId="12" refreshError="1"/>
      <sheetData sheetId="13" refreshError="1"/>
      <sheetData sheetId="1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sition"/>
      <sheetName val="BM FFOM FB"/>
      <sheetName val="BM Simpl"/>
      <sheetName val="B Energie"/>
      <sheetName val="Dimensions"/>
      <sheetName val="DG"/>
      <sheetName val="Tuyau"/>
      <sheetName val="GC_VRD"/>
      <sheetName val="Elec"/>
      <sheetName val="Equip_Prix"/>
      <sheetName val="B Exploit"/>
      <sheetName val="Retourneuse"/>
      <sheetName val="Invest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 dechets"/>
      <sheetName val="Tri ref"/>
      <sheetName val="BM TC1"/>
      <sheetName val="BM Simpl TC1"/>
      <sheetName val="Dimension. TC1"/>
      <sheetName val="BE TC1"/>
      <sheetName val="BM TC2"/>
      <sheetName val="BM Simpl TC2"/>
      <sheetName val="Dimension. TC2"/>
      <sheetName val="BE TC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CARACS" refreshedDate="44616.66645960648" createdVersion="7" refreshedVersion="3" minRefreshableVersion="3" recordCount="2785" xr:uid="{00000000-000A-0000-FFFF-FFFF05000000}">
  <cacheSource type="worksheet">
    <worksheetSource ref="A1:N1048576" sheet="BDD_saisies"/>
  </cacheSource>
  <cacheFields count="14">
    <cacheField name="Date" numFmtId="0">
      <sharedItems containsNonDate="0" containsDate="1" containsString="0" containsBlank="1" minDate="2021-11-15T00:00:00" maxDate="2022-02-25T00:00:00"/>
    </cacheField>
    <cacheField name="ID_carac_1" numFmtId="0">
      <sharedItems containsString="0" containsBlank="1" containsNumber="1" containsInteger="1" minValue="1" maxValue="232"/>
    </cacheField>
    <cacheField name="ID_carac_2" numFmtId="0">
      <sharedItems containsBlank="1" count="240">
        <s v="FLUX_ENTRANT_1"/>
        <s v="FLUX_ENTRANT_2"/>
        <s v="FLUX_ENTRANT_3"/>
        <s v="Refus_1"/>
        <s v="PET_clair_1"/>
        <s v="EMR_1"/>
        <s v="PCM_1"/>
        <s v="JRM_1"/>
        <s v="JRM_2"/>
        <s v="JRM_3"/>
        <s v="PCM_2"/>
        <s v="PCM_3"/>
        <s v="EMR_2"/>
        <s v="EMR_3"/>
        <s v="Gros_cartons_1"/>
        <s v="Gros_cartons_2"/>
        <s v="ELA_1"/>
        <s v="ELA_2"/>
        <s v="ELA_3"/>
        <s v="PEHD/PP_1"/>
        <s v="PEHD/PP_2"/>
        <s v="PEHD/PP_3"/>
        <s v="FLUX_DEV_1"/>
        <s v="FLUX_DEV_2"/>
        <s v="FLUX_DEV_3"/>
        <s v="FILM_PE_1"/>
        <s v="FILM_PE_2"/>
        <s v="FILM_PE_3"/>
        <s v="PET_clair_2"/>
        <s v="PET_clair_3"/>
        <s v="Gros_cartons_3"/>
        <s v="Refus_2"/>
        <s v="Refus_3"/>
        <s v="Acier_1"/>
        <s v="Aluminium_1"/>
        <s v="Aluminium_2"/>
        <s v="Aluminium_3"/>
        <s v="Petits_alus_1"/>
        <s v="Acier_2"/>
        <s v="Acier_3"/>
        <s v="Prélèvement 11 + 13 _1"/>
        <s v="Prélèvement 10 + 12 _1"/>
        <s v="Prélèvement 14 _1"/>
        <s v="Prélèvement 15 _1"/>
        <s v="Prélèvement 33 _1"/>
        <s v="Prélèvement 34 _1"/>
        <s v="Prélèvement 24 _1"/>
        <s v="Prélèvement 22 _1"/>
        <s v="Prélèvement 23 _1"/>
        <s v="Prélèvement 35+38_1"/>
        <s v="Prélèvement 37+40_1"/>
        <s v="Prélèvement 36+39_1"/>
        <s v="Prélèvement 32_1"/>
        <s v="Prélèvement 25+27+30_1"/>
        <s v="Prélèvement 29_1"/>
        <s v="Prélèvement 31_1"/>
        <s v="Prélèvement 28_1"/>
        <s v="Prélèvement 26_1"/>
        <s v="Prélèvement 20_1"/>
        <s v="Prélèvement 18+21_1"/>
        <s v="Prélèvement 16+19_1"/>
        <s v="Prélèvement 17_1"/>
        <s v="FLUX_ENTRANT_4"/>
        <s v="FLUX_ENTRANT_5"/>
        <s v="FLUX_ENTRANT_6"/>
        <s v="JRM_4"/>
        <s v="JRM_5"/>
        <s v="JRM_6"/>
        <s v="EMR_4"/>
        <s v="EMR_5"/>
        <s v="PCM_4"/>
        <s v="PEHD/PP_4"/>
        <s v="PEHD/PP_5"/>
        <s v="PEHD/PP_6"/>
        <s v="PET_clair_4"/>
        <s v="PET_clair_5"/>
        <s v="PET_clair_6"/>
        <s v="EMR_6"/>
        <s v="Gros_cartons_4"/>
        <s v="Gros_cartons_5"/>
        <s v="Gros_cartons_6"/>
        <s v="PCM_5"/>
        <s v="ELA_4"/>
        <s v="ELA_5"/>
        <s v="ELA_6"/>
        <s v="FILM_PE_4"/>
        <s v="FILM_PE_5"/>
        <s v="FILM_PE_6"/>
        <s v="Acier_4"/>
        <s v="Acier_5"/>
        <s v="Acier_6"/>
        <s v="PCM_6"/>
        <s v="FLUX_DEV_4"/>
        <s v="FLUX_DEV_5"/>
        <s v="FLUX_DEV_6"/>
        <s v="Refus_4"/>
        <s v="Refus_5"/>
        <s v="Refus_6"/>
        <s v="Aluminium_4"/>
        <s v="Aluminium_5"/>
        <s v="Aluminium_6"/>
        <s v="Petits_alus_2"/>
        <s v="FLUX_ENTRANT_7"/>
        <s v="FLUX_ENTRANT_8"/>
        <s v="FLUX_ENTRANT_9"/>
        <s v="JRM_7"/>
        <s v="JRM_8"/>
        <s v="JRM_9"/>
        <s v="EMR_7"/>
        <s v="EMR_8"/>
        <s v="EMR_9"/>
        <s v="PET_clair_7"/>
        <s v="PET_clair_8"/>
        <s v="FILM_PE_7"/>
        <s v="FILM_PE_8"/>
        <s v="ELA_7"/>
        <s v="Aluminium_7"/>
        <s v="PEHD/PP_7"/>
        <s v="FLUX_DEV_7"/>
        <s v="PCM_7"/>
        <s v="Acier_7"/>
        <s v="Acier_8"/>
        <s v="Acier_9"/>
        <s v="ELA_8"/>
        <s v="ELA_9"/>
        <s v="FLUX_DEV_8"/>
        <s v="FLUX_DEV_9"/>
        <s v="Refus_7"/>
        <s v="Refus_8"/>
        <s v="PCM_8"/>
        <s v="PCM_9"/>
        <s v="Refus_9"/>
        <s v="FILM_PE_9"/>
        <s v="PET_clair_9"/>
        <s v="PEHD/PP_8"/>
        <s v="PEHD/PP_9"/>
        <s v="Aluminium_8"/>
        <s v="Aluminium_9"/>
        <s v="Gros_cartons_7"/>
        <s v="Gros_cartons_8"/>
        <s v="Gros_cartons_9"/>
        <s v="Prélèvement 22 _2"/>
        <s v="Prélèvement 23 _2"/>
        <s v="Prélèvement 24 _2"/>
        <s v="Prélèvement 25+27+30_2"/>
        <s v="Prélèvement 26_2"/>
        <s v="Prélèvement 28_2"/>
        <s v="Prélèvement 29_2"/>
        <s v="Prélèvement 31_2"/>
        <s v="Prélèvement 32_2"/>
        <s v="Prélèvement 35+38_2"/>
        <s v="Prélèvement 36+39_2"/>
        <s v="Prélèvement 37+40_2"/>
        <s v="Petits_alus_3"/>
        <s v="Prélèvement 18+21_2"/>
        <s v="Prélèvement 16+19_2"/>
        <s v="Prélèvement 15 _2"/>
        <s v="Prélèvement 17_2"/>
        <s v="Prélèvement 20_2"/>
        <s v="Prélèvement 10 + 12 _2"/>
        <s v="Prélèvement 11 + 13 _2"/>
        <s v="Prélèvement 14 _2"/>
        <s v="Prélèvement 33 _2"/>
        <s v="Prélèvement 34 _2"/>
        <s v="EMR_10"/>
        <s v="PET_clair_10"/>
        <s v="FLUX_DEV_10"/>
        <s v="PEHD/PP_10"/>
        <s v="FILM_PE_10"/>
        <s v="ELA_10"/>
        <s v="Aluminium_10"/>
        <s v="JRM_10"/>
        <s v="JRM_11"/>
        <s v="PCM_10"/>
        <s v="PCM_11"/>
        <s v="Refus_10"/>
        <s v="Gros_cartons_10"/>
        <s v="Petits_alus_4"/>
        <s v="EMR_11"/>
        <s v="ELA_11"/>
        <s v="FILM_PE_11"/>
        <s v="PET_clair_11"/>
        <s v="PEHD/PP_11"/>
        <s v="FLUX_DEV_11"/>
        <s v="JRM_12"/>
        <s v="Gros_cartons_11"/>
        <s v="Gros_cartons_12"/>
        <s v="PCM_12"/>
        <s v="Refus_11"/>
        <s v="Refus_12"/>
        <s v="EMR_12"/>
        <s v="FILM_PE_12"/>
        <s v="PEHD/PP_12"/>
        <s v="PET_clair_12"/>
        <s v="Aluminium_11"/>
        <s v="Aluminium_12"/>
        <s v="FLUX_DEV_12"/>
        <s v="ELA_12"/>
        <s v="Acier_10"/>
        <s v="Acier_11"/>
        <s v="Acier_12"/>
        <s v="Prélèvement 29_3"/>
        <s v="Prélèvement 26_3"/>
        <s v="Prélèvement 36+39_3"/>
        <s v="Prélèvement 25+27+30_3"/>
        <s v="Prélèvement 28_3"/>
        <s v="Prélèvement 31_3"/>
        <s v="Prélèvement 32_3"/>
        <s v="Prélèvement 35+38_3"/>
        <s v="Prélèvement 37+40_3"/>
        <s v="Prélèvement 34 _3"/>
        <s v="Prélèvement 22 _3"/>
        <s v="Prélèvement 24 _3"/>
        <s v="Prélèvement 23 _3"/>
        <s v="Prélèvement 33 _3"/>
        <s v="Prélèvement 15 _3"/>
        <s v="Prélèvement 14 _3"/>
        <s v="FLUX_ENTRANT_10"/>
        <s v="FLUX_ENTRANT_11"/>
        <s v="TABLE_PET_1"/>
        <s v="TABLE_FILMS_1"/>
        <s v="TABLE_PEPP_1"/>
        <s v="TABLE_ELA_1"/>
        <s v="TABLE_FLUXDEV_1"/>
        <s v="TABLE_JRM2_1"/>
        <s v="TABLE_JRM1_1"/>
        <s v="TABLE_EMR_1"/>
        <s v="TABLE_PCM_1"/>
        <s v="TABLE_REFUS_1"/>
        <m/>
        <s v="SLS_2" u="1"/>
        <s v="ALM_1_PAP_S9" u="1"/>
        <s v="FLUX_SORTANT_10" u="1"/>
        <s v="BAUGEOIS_1" u="1"/>
        <s v="FLUX_SORTANT_12" u="1"/>
        <s v="SLS_1" u="1"/>
        <s v="FLUX_SORTANT_7" u="1"/>
        <s v="FLUX_SORTANT_1" u="1"/>
        <s v="BAUGEOIS_2" u="1"/>
        <s v="ALM_2_PAP_S8" u="1"/>
      </sharedItems>
    </cacheField>
    <cacheField name="ID_carac_3" numFmtId="0">
      <sharedItems containsBlank="1" count="68">
        <s v="FLUX_ENTRANT_1"/>
        <s v="FLUX_ENTRANT_2"/>
        <s v="FLUX_ENTRANT_3"/>
        <s v="REFUS"/>
        <s v="PET_clair"/>
        <s v="EMR"/>
        <s v="PCM"/>
        <s v="JRM"/>
        <s v="Gros cartons"/>
        <s v="ELA"/>
        <s v="PEHD/PP"/>
        <s v="FLUX_DEV"/>
        <s v="FILM_PE"/>
        <s v="Acier"/>
        <s v="Aluminium"/>
        <s v="Petits_alus"/>
        <s v="Prélèvement 11 + 13"/>
        <s v="Prélèvement 10 + 12"/>
        <s v="Prélèvement 14"/>
        <s v="Prélèvement 15"/>
        <s v="Prélèvement 33"/>
        <s v="Prélèvement 34"/>
        <s v="Prélèvement 24"/>
        <s v="Prélèvement 22"/>
        <s v="Prélèvement 23"/>
        <s v="Prélèvement 35+38"/>
        <s v="Prélèvement 37+40"/>
        <s v="Prélèvement 36+39"/>
        <s v="Prélèvement 32"/>
        <s v="Prélèvement 25+27+30"/>
        <s v="Prélèvement 29"/>
        <s v="Prélèvement 31"/>
        <s v="Prélèvement 28"/>
        <s v="Prélèvement 26"/>
        <s v="Prélèvement 20"/>
        <s v="Prélèvement 18+21"/>
        <s v="Prélèvement 16+19"/>
        <s v="Prélèvement 17"/>
        <s v="FLUX_ENTRANT"/>
        <s v="TABLE_PET"/>
        <s v="TABLE_FILMS"/>
        <s v="TABLE_PEPP"/>
        <s v="TABLE_ELA"/>
        <s v="TABLE_FLUXDEV"/>
        <s v="TABLE_JRM2"/>
        <s v="TABLE_JRM1"/>
        <s v="TABLE_EMR"/>
        <s v="TABLE_PCM"/>
        <s v="TABLE_REFUS"/>
        <m/>
        <s v="Refus_1" u="1"/>
        <s v="FLUX_SORTANT_9" u="1"/>
        <s v="FLUX_SORTANT_4" u="1"/>
        <s v="FLUX_SORTANT_8" u="1"/>
        <s v="FLUX_SORTANT_3" u="1"/>
        <s v="FLUX_SORTANT_10" u="1"/>
        <s v="FLUX_SORTANT_11" u="1"/>
        <s v="FLUX_SORTANT_12" u="1"/>
        <s v="Prélèvement 16" u="1"/>
        <s v="FLUX_SORTANT_7" u="1"/>
        <s v="FLUX_SORTANT_2" u="1"/>
        <s v="FLUX_SORTANT_13" u="1"/>
        <s v="PET_clair_1" u="1"/>
        <s v="PCM_1" u="1"/>
        <s v="FLUX_SORTANT_6" u="1"/>
        <s v="FLUX_SORTANT_1" u="1"/>
        <s v="FLUX_SORTANT_5" u="1"/>
        <s v="EMR_1" u="1"/>
      </sharedItems>
    </cacheField>
    <cacheField name="Pesée de départ" numFmtId="0">
      <sharedItems containsBlank="1" containsMixedTypes="1" containsNumber="1" minValue="0" maxValue="66.599999999999994"/>
    </cacheField>
    <cacheField name="Pesée reconstituée" numFmtId="0">
      <sharedItems containsBlank="1" containsMixedTypes="1" containsNumber="1" minValue="-0.16666666666666696" maxValue="66.199999999999989"/>
    </cacheField>
    <cacheField name="ID_flux" numFmtId="0">
      <sharedItems containsString="0" containsBlank="1" containsNumber="1" containsInteger="1" minValue="1" maxValue="12"/>
    </cacheField>
    <cacheField name="Classif. Valo/refus" numFmtId="0">
      <sharedItems containsBlank="1"/>
    </cacheField>
    <cacheField name="Sous-catégorie" numFmtId="0">
      <sharedItems containsBlank="1" count="34">
        <s v="PET Clair Bouteilles / flacons"/>
        <s v="Flux Développement"/>
        <s v="PEHD/PP"/>
        <s v="ELA"/>
        <s v="Aluminiums"/>
        <s v="Aluminiums souples"/>
        <s v="Papiers Cartons Mélés (= gros de magasin) : fibreux &gt; 120x50"/>
        <s v="Papiers (1.11)"/>
        <s v="Acier"/>
        <s v="EMR"/>
        <s v="Film PEBD"/>
        <s v="Refus"/>
        <m/>
        <s v="PEHD Bouteilles et Flacons (Code 2)" u="1"/>
        <s v="Films PE (Code 4)" u="1"/>
        <s v="Barquettes monocouche PET clair et foncé (Flux développement) (Code 1)" u="1"/>
        <s v="Autres refus (incluant fines &lt; 50mm)" u="1"/>
        <s v="Flux Développement : (Codes 1-6)" u="1"/>
        <s v="PET Clair Bouteilles / flacons (Code 1)" u="1"/>
        <s v="PEHD/PP (Codes 2 - 5)" u="1"/>
        <s v="Film PEBD (Code 4)" u="1"/>
        <s v="ALU" u="1"/>
        <s v="ACIER IMBRIQUES" u="1"/>
        <s v="PSE barquettes noires" u="1"/>
        <s v="PSE (Flux développement)  (Code 6) = hors noirs" u="1"/>
        <s v="Pots Barquettes refusés (Barquettes multicouche, PVC)" u="1"/>
        <s v="JRM (1.11)" u="1"/>
        <s v="PS (Flux développement) (Code 6)" u="1"/>
        <s v="PET Couleur Bouteilles / flacons (Flux développement)  (Code 1)" u="1"/>
        <s v="Pots et Barquettes PE/PP (Codes 2 - 5)" u="1"/>
        <s v="Verre" u="1"/>
        <s v="Films refusés (PP, composites…) (Code 5...)" u="1"/>
        <s v="Papiers (1,11)" u="1"/>
        <s v="Gros de magasin (= fibreux &lt; 120 mm)" u="1"/>
      </sharedItems>
    </cacheField>
    <cacheField name="Masse brute (kg)" numFmtId="0">
      <sharedItems containsString="0" containsBlank="1" containsNumber="1" minValue="0" maxValue="122.35000000000001"/>
    </cacheField>
    <cacheField name="Tare (kg)" numFmtId="0">
      <sharedItems containsString="0" containsBlank="1" containsNumber="1" minValue="0" maxValue="85.199999999999989"/>
    </cacheField>
    <cacheField name="Masse nette (kg)" numFmtId="0">
      <sharedItems containsString="0" containsBlank="1" containsNumber="1" minValue="0" maxValue="50.099999999999994"/>
    </cacheField>
    <cacheField name="% éch." numFmtId="0">
      <sharedItems containsBlank="1" containsMixedTypes="1" containsNumber="1" minValue="0" maxValue="1"/>
    </cacheField>
    <cacheField name="Commentaires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85">
  <r>
    <d v="2021-11-15T00:00:00"/>
    <n v="1"/>
    <x v="0"/>
    <x v="0"/>
    <n v="66.599999999999994"/>
    <n v="66.199999999999989"/>
    <n v="1"/>
    <s v="Valorisables"/>
    <x v="0"/>
    <n v="10.95"/>
    <n v="8.5"/>
    <n v="2.4499999999999993"/>
    <n v="3.7009063444108758E-2"/>
    <m/>
  </r>
  <r>
    <d v="2021-11-15T00:00:00"/>
    <n v="1"/>
    <x v="0"/>
    <x v="0"/>
    <n v="66.599999999999994"/>
    <n v="-6.0060060060060918E-3"/>
    <n v="2"/>
    <s v="Valorisables"/>
    <x v="1"/>
    <n v="19.25"/>
    <n v="16.850000000000001"/>
    <n v="2.3999999999999986"/>
    <n v="3.62537764350453E-2"/>
    <m/>
  </r>
  <r>
    <d v="2021-11-15T00:00:00"/>
    <n v="1"/>
    <x v="0"/>
    <x v="0"/>
    <e v="#REF!"/>
    <e v="#REF!"/>
    <n v="3"/>
    <s v="Valorisables"/>
    <x v="2"/>
    <n v="10.65"/>
    <n v="8.25"/>
    <n v="2.4000000000000004"/>
    <n v="3.6253776435045328E-2"/>
    <m/>
  </r>
  <r>
    <d v="2021-11-15T00:00:00"/>
    <n v="1"/>
    <x v="0"/>
    <x v="0"/>
    <e v="#REF!"/>
    <e v="#REF!"/>
    <n v="4"/>
    <s v="Valorisables"/>
    <x v="3"/>
    <n v="2.25"/>
    <n v="1.1000000000000001"/>
    <n v="1.1499999999999999"/>
    <n v="1.7371601208459216E-2"/>
    <m/>
  </r>
  <r>
    <d v="2021-11-15T00:00:00"/>
    <n v="1"/>
    <x v="0"/>
    <x v="0"/>
    <e v="#REF!"/>
    <e v="#REF!"/>
    <n v="5"/>
    <s v="Valorisables"/>
    <x v="4"/>
    <n v="1.35"/>
    <n v="1.1000000000000001"/>
    <n v="0.25"/>
    <n v="3.7764350453172212E-3"/>
    <m/>
  </r>
  <r>
    <d v="2021-11-15T00:00:00"/>
    <n v="1"/>
    <x v="0"/>
    <x v="0"/>
    <e v="#REF!"/>
    <e v="#REF!"/>
    <n v="6"/>
    <s v="Valorisables"/>
    <x v="5"/>
    <n v="0.6"/>
    <n v="0.55000000000000004"/>
    <n v="4.9999999999999933E-2"/>
    <n v="7.5528700906344324E-4"/>
    <m/>
  </r>
  <r>
    <d v="2021-11-15T00:00:00"/>
    <n v="1"/>
    <x v="0"/>
    <x v="0"/>
    <e v="#REF!"/>
    <e v="#REF!"/>
    <n v="7"/>
    <s v="Valorisables"/>
    <x v="6"/>
    <n v="6.75"/>
    <n v="6.05"/>
    <n v="0.70000000000000018"/>
    <n v="1.0574018126888221E-2"/>
    <m/>
  </r>
  <r>
    <d v="2021-11-15T00:00:00"/>
    <n v="1"/>
    <x v="0"/>
    <x v="0"/>
    <e v="#REF!"/>
    <e v="#REF!"/>
    <n v="8"/>
    <s v="Valorisables"/>
    <x v="7"/>
    <n v="36.549999999999997"/>
    <n v="17.100000000000001"/>
    <n v="19.449999999999996"/>
    <n v="0.29380664652567973"/>
    <m/>
  </r>
  <r>
    <d v="2021-11-15T00:00:00"/>
    <n v="1"/>
    <x v="0"/>
    <x v="0"/>
    <e v="#REF!"/>
    <e v="#REF!"/>
    <n v="9"/>
    <s v="Valorisables"/>
    <x v="8"/>
    <n v="3.75"/>
    <n v="1.05"/>
    <n v="2.7"/>
    <n v="4.0785498489425989E-2"/>
    <m/>
  </r>
  <r>
    <d v="2021-11-15T00:00:00"/>
    <n v="1"/>
    <x v="0"/>
    <x v="0"/>
    <e v="#REF!"/>
    <e v="#REF!"/>
    <n v="10"/>
    <s v="Valorisables"/>
    <x v="9"/>
    <n v="34.15"/>
    <n v="16.600000000000001"/>
    <n v="17.549999999999997"/>
    <n v="0.26510574018126887"/>
    <m/>
  </r>
  <r>
    <d v="2021-11-15T00:00:00"/>
    <n v="1"/>
    <x v="0"/>
    <x v="0"/>
    <e v="#REF!"/>
    <e v="#REF!"/>
    <n v="11"/>
    <s v="Valorisables"/>
    <x v="10"/>
    <n v="18.899999999999999"/>
    <n v="17.05"/>
    <n v="1.8499999999999979"/>
    <n v="2.7945619335347404E-2"/>
    <m/>
  </r>
  <r>
    <d v="2021-11-15T00:00:00"/>
    <n v="1"/>
    <x v="0"/>
    <x v="0"/>
    <e v="#REF!"/>
    <e v="#REF!"/>
    <n v="12"/>
    <s v="Refus"/>
    <x v="11"/>
    <n v="32.049999999999997"/>
    <n v="16.8"/>
    <n v="15.249999999999996"/>
    <n v="0.23036253776435045"/>
    <m/>
  </r>
  <r>
    <d v="2021-11-15T00:00:00"/>
    <n v="2"/>
    <x v="1"/>
    <x v="1"/>
    <n v="48.399999999999991"/>
    <n v="48.3"/>
    <n v="1"/>
    <s v="Valorisables"/>
    <x v="0"/>
    <n v="10.7"/>
    <n v="8.5"/>
    <n v="2.1999999999999993"/>
    <n v="4.5548654244306409E-2"/>
    <m/>
  </r>
  <r>
    <d v="2021-11-15T00:00:00"/>
    <n v="2"/>
    <x v="1"/>
    <x v="1"/>
    <n v="48.399999999999991"/>
    <n v="-2.0661157024792218E-3"/>
    <n v="2"/>
    <s v="Valorisables"/>
    <x v="1"/>
    <n v="19.600000000000001"/>
    <n v="16.850000000000001"/>
    <n v="2.75"/>
    <n v="5.6935817805383024E-2"/>
    <m/>
  </r>
  <r>
    <d v="2021-11-15T00:00:00"/>
    <n v="2"/>
    <x v="1"/>
    <x v="1"/>
    <e v="#REF!"/>
    <e v="#REF!"/>
    <n v="3"/>
    <s v="Valorisables"/>
    <x v="2"/>
    <n v="9.6"/>
    <n v="8.25"/>
    <n v="1.3499999999999996"/>
    <n v="2.7950310559006205E-2"/>
    <m/>
  </r>
  <r>
    <d v="2021-11-15T00:00:00"/>
    <n v="2"/>
    <x v="1"/>
    <x v="1"/>
    <e v="#REF!"/>
    <e v="#REF!"/>
    <n v="4"/>
    <s v="Valorisables"/>
    <x v="3"/>
    <n v="1.85"/>
    <n v="1.1000000000000001"/>
    <n v="0.75"/>
    <n v="1.5527950310559008E-2"/>
    <m/>
  </r>
  <r>
    <d v="2021-11-15T00:00:00"/>
    <n v="2"/>
    <x v="1"/>
    <x v="1"/>
    <e v="#REF!"/>
    <e v="#REF!"/>
    <n v="5"/>
    <s v="Valorisables"/>
    <x v="4"/>
    <n v="1.35"/>
    <n v="1.1000000000000001"/>
    <n v="0.25"/>
    <n v="5.175983436853002E-3"/>
    <m/>
  </r>
  <r>
    <d v="2021-11-15T00:00:00"/>
    <n v="2"/>
    <x v="1"/>
    <x v="1"/>
    <e v="#REF!"/>
    <e v="#REF!"/>
    <n v="6"/>
    <s v="Valorisables"/>
    <x v="5"/>
    <n v="0.6"/>
    <n v="0.55000000000000004"/>
    <n v="4.9999999999999933E-2"/>
    <n v="1.0351966873705992E-3"/>
    <m/>
  </r>
  <r>
    <d v="2021-11-15T00:00:00"/>
    <n v="2"/>
    <x v="1"/>
    <x v="1"/>
    <e v="#REF!"/>
    <e v="#REF!"/>
    <n v="7"/>
    <s v="Valorisables"/>
    <x v="6"/>
    <n v="6.45"/>
    <n v="6.05"/>
    <n v="0.40000000000000036"/>
    <n v="8.2815734989648108E-3"/>
    <m/>
  </r>
  <r>
    <d v="2021-11-15T00:00:00"/>
    <n v="2"/>
    <x v="1"/>
    <x v="1"/>
    <e v="#REF!"/>
    <e v="#REF!"/>
    <n v="8"/>
    <s v="Valorisables"/>
    <x v="7"/>
    <n v="33.599999999999994"/>
    <n v="17.100000000000001"/>
    <n v="16.499999999999993"/>
    <n v="0.341614906832298"/>
    <m/>
  </r>
  <r>
    <d v="2021-11-15T00:00:00"/>
    <n v="2"/>
    <x v="1"/>
    <x v="1"/>
    <e v="#REF!"/>
    <e v="#REF!"/>
    <n v="9"/>
    <s v="Valorisables"/>
    <x v="8"/>
    <n v="2.5"/>
    <n v="1.05"/>
    <n v="1.45"/>
    <n v="3.0020703933747412E-2"/>
    <m/>
  </r>
  <r>
    <d v="2021-11-15T00:00:00"/>
    <n v="2"/>
    <x v="1"/>
    <x v="1"/>
    <e v="#REF!"/>
    <e v="#REF!"/>
    <n v="10"/>
    <s v="Valorisables"/>
    <x v="9"/>
    <n v="28.15"/>
    <n v="16.600000000000001"/>
    <n v="11.549999999999997"/>
    <n v="0.23913043478260865"/>
    <m/>
  </r>
  <r>
    <d v="2021-11-15T00:00:00"/>
    <n v="2"/>
    <x v="1"/>
    <x v="1"/>
    <e v="#REF!"/>
    <e v="#REF!"/>
    <n v="11"/>
    <s v="Valorisables"/>
    <x v="10"/>
    <n v="19.200000000000003"/>
    <n v="17.05"/>
    <n v="2.1500000000000021"/>
    <n v="4.4513457556935865E-2"/>
    <m/>
  </r>
  <r>
    <d v="2021-11-15T00:00:00"/>
    <n v="2"/>
    <x v="1"/>
    <x v="1"/>
    <e v="#REF!"/>
    <e v="#REF!"/>
    <n v="12"/>
    <s v="Refus"/>
    <x v="11"/>
    <n v="25.700000000000003"/>
    <n v="16.8"/>
    <n v="8.9000000000000021"/>
    <n v="0.18426501035196693"/>
    <s v="1 sac OM_x000a_bcp de feuilles papiers dans pochettes plastiques"/>
  </r>
  <r>
    <d v="2021-11-15T00:00:00"/>
    <n v="3"/>
    <x v="2"/>
    <x v="2"/>
    <n v="41.6"/>
    <n v="42.05"/>
    <n v="1"/>
    <s v="Valorisables"/>
    <x v="0"/>
    <n v="10.6"/>
    <n v="8.5"/>
    <n v="2.0999999999999996"/>
    <n v="4.9940546967895356E-2"/>
    <m/>
  </r>
  <r>
    <d v="2021-11-15T00:00:00"/>
    <n v="3"/>
    <x v="2"/>
    <x v="2"/>
    <n v="41.6"/>
    <n v="1.081730769230759E-2"/>
    <n v="2"/>
    <s v="Valorisables"/>
    <x v="1"/>
    <n v="19.100000000000001"/>
    <n v="16.850000000000001"/>
    <n v="2.25"/>
    <n v="5.3507728894173608E-2"/>
    <m/>
  </r>
  <r>
    <d v="2021-11-15T00:00:00"/>
    <n v="3"/>
    <x v="2"/>
    <x v="2"/>
    <e v="#REF!"/>
    <e v="#REF!"/>
    <n v="3"/>
    <s v="Valorisables"/>
    <x v="2"/>
    <n v="10.1"/>
    <n v="8.25"/>
    <n v="1.8499999999999996"/>
    <n v="4.3995243757431621E-2"/>
    <m/>
  </r>
  <r>
    <d v="2021-11-15T00:00:00"/>
    <n v="3"/>
    <x v="2"/>
    <x v="2"/>
    <e v="#REF!"/>
    <e v="#REF!"/>
    <n v="4"/>
    <s v="Valorisables"/>
    <x v="3"/>
    <n v="2"/>
    <n v="1.1000000000000001"/>
    <n v="0.89999999999999991"/>
    <n v="2.1403091557669441E-2"/>
    <m/>
  </r>
  <r>
    <d v="2021-11-15T00:00:00"/>
    <n v="3"/>
    <x v="2"/>
    <x v="2"/>
    <e v="#REF!"/>
    <e v="#REF!"/>
    <n v="5"/>
    <s v="Valorisables"/>
    <x v="4"/>
    <n v="1.4"/>
    <n v="1.1000000000000001"/>
    <n v="0.29999999999999982"/>
    <n v="7.1343638525564763E-3"/>
    <m/>
  </r>
  <r>
    <d v="2021-11-15T00:00:00"/>
    <n v="3"/>
    <x v="2"/>
    <x v="2"/>
    <e v="#REF!"/>
    <e v="#REF!"/>
    <n v="6"/>
    <s v="Valorisables"/>
    <x v="5"/>
    <n v="0.6"/>
    <n v="0.55000000000000004"/>
    <n v="4.9999999999999933E-2"/>
    <n v="1.1890606420927453E-3"/>
    <m/>
  </r>
  <r>
    <d v="2021-11-15T00:00:00"/>
    <n v="3"/>
    <x v="2"/>
    <x v="2"/>
    <e v="#REF!"/>
    <e v="#REF!"/>
    <n v="7"/>
    <s v="Valorisables"/>
    <x v="6"/>
    <n v="6.5"/>
    <n v="6.05"/>
    <n v="0.45000000000000018"/>
    <n v="1.0701545778834726E-2"/>
    <m/>
  </r>
  <r>
    <d v="2021-11-15T00:00:00"/>
    <n v="3"/>
    <x v="2"/>
    <x v="2"/>
    <e v="#REF!"/>
    <e v="#REF!"/>
    <n v="8"/>
    <s v="Valorisables"/>
    <x v="7"/>
    <n v="28.8"/>
    <n v="17.100000000000001"/>
    <n v="11.7"/>
    <n v="0.27824019024970276"/>
    <m/>
  </r>
  <r>
    <d v="2021-11-15T00:00:00"/>
    <n v="3"/>
    <x v="2"/>
    <x v="2"/>
    <e v="#REF!"/>
    <e v="#REF!"/>
    <n v="9"/>
    <s v="Valorisables"/>
    <x v="8"/>
    <n v="2.5499999999999998"/>
    <n v="1.05"/>
    <n v="1.4999999999999998"/>
    <n v="3.56718192627824E-2"/>
    <m/>
  </r>
  <r>
    <d v="2021-11-15T00:00:00"/>
    <n v="3"/>
    <x v="2"/>
    <x v="2"/>
    <e v="#REF!"/>
    <e v="#REF!"/>
    <n v="10"/>
    <s v="Valorisables"/>
    <x v="9"/>
    <n v="27.4"/>
    <n v="16.600000000000001"/>
    <n v="10.799999999999997"/>
    <n v="0.25683709869203325"/>
    <m/>
  </r>
  <r>
    <d v="2021-11-15T00:00:00"/>
    <n v="3"/>
    <x v="2"/>
    <x v="2"/>
    <e v="#REF!"/>
    <e v="#REF!"/>
    <n v="11"/>
    <s v="Valorisables"/>
    <x v="10"/>
    <n v="18.950000000000003"/>
    <n v="17.05"/>
    <n v="1.9000000000000021"/>
    <n v="4.5184304399524429E-2"/>
    <m/>
  </r>
  <r>
    <d v="2021-11-15T00:00:00"/>
    <n v="3"/>
    <x v="2"/>
    <x v="2"/>
    <e v="#REF!"/>
    <e v="#REF!"/>
    <n v="12"/>
    <s v="Refus"/>
    <x v="11"/>
    <n v="25.05"/>
    <n v="16.8"/>
    <n v="8.25"/>
    <n v="0.19619500594530323"/>
    <s v="planche en bois"/>
  </r>
  <r>
    <d v="2021-11-15T00:00:00"/>
    <n v="4"/>
    <x v="3"/>
    <x v="3"/>
    <n v="23.8"/>
    <n v="23.599999999999998"/>
    <n v="1"/>
    <s v="Valorisables"/>
    <x v="0"/>
    <n v="8.9"/>
    <n v="8.5"/>
    <n v="0.40000000000000036"/>
    <n v="1.6949152542372899E-2"/>
    <m/>
  </r>
  <r>
    <d v="2021-11-15T00:00:00"/>
    <n v="4"/>
    <x v="3"/>
    <x v="3"/>
    <n v="23.8"/>
    <n v="-8.4033613445379345E-3"/>
    <n v="2"/>
    <s v="Valorisables"/>
    <x v="1"/>
    <n v="18.5"/>
    <n v="16.850000000000001"/>
    <n v="1.6499999999999986"/>
    <n v="6.9915254237288088E-2"/>
    <m/>
  </r>
  <r>
    <d v="2021-11-15T00:00:00"/>
    <n v="4"/>
    <x v="3"/>
    <x v="3"/>
    <e v="#REF!"/>
    <e v="#REF!"/>
    <n v="3"/>
    <s v="Valorisables"/>
    <x v="2"/>
    <n v="9.75"/>
    <n v="8.25"/>
    <n v="1.5"/>
    <n v="6.3559322033898316E-2"/>
    <m/>
  </r>
  <r>
    <d v="2021-11-15T00:00:00"/>
    <n v="4"/>
    <x v="3"/>
    <x v="3"/>
    <e v="#REF!"/>
    <e v="#REF!"/>
    <n v="4"/>
    <s v="Valorisables"/>
    <x v="3"/>
    <n v="1.7"/>
    <n v="1.1000000000000001"/>
    <n v="0.59999999999999987"/>
    <n v="2.542372881355932E-2"/>
    <m/>
  </r>
  <r>
    <d v="2021-11-15T00:00:00"/>
    <n v="4"/>
    <x v="3"/>
    <x v="3"/>
    <e v="#REF!"/>
    <e v="#REF!"/>
    <n v="5"/>
    <s v="Valorisables"/>
    <x v="4"/>
    <n v="1.35"/>
    <n v="1.1000000000000001"/>
    <n v="0.25"/>
    <n v="1.0593220338983052E-2"/>
    <m/>
  </r>
  <r>
    <d v="2021-11-15T00:00:00"/>
    <n v="4"/>
    <x v="3"/>
    <x v="3"/>
    <e v="#REF!"/>
    <e v="#REF!"/>
    <n v="6"/>
    <s v="Valorisables"/>
    <x v="5"/>
    <n v="0.6"/>
    <n v="0.55000000000000004"/>
    <n v="4.9999999999999933E-2"/>
    <n v="2.1186440677966076E-3"/>
    <m/>
  </r>
  <r>
    <d v="2021-11-15T00:00:00"/>
    <n v="4"/>
    <x v="3"/>
    <x v="3"/>
    <e v="#REF!"/>
    <e v="#REF!"/>
    <n v="7"/>
    <s v="Valorisables"/>
    <x v="6"/>
    <n v="6.15"/>
    <n v="6.05"/>
    <n v="0.10000000000000053"/>
    <n v="4.2372881355932429E-3"/>
    <m/>
  </r>
  <r>
    <d v="2021-11-15T00:00:00"/>
    <n v="4"/>
    <x v="3"/>
    <x v="3"/>
    <e v="#REF!"/>
    <e v="#REF!"/>
    <n v="8"/>
    <s v="Valorisables"/>
    <x v="7"/>
    <n v="11.65"/>
    <n v="9.1000000000000014"/>
    <n v="2.5499999999999989"/>
    <n v="0.10805084745762708"/>
    <m/>
  </r>
  <r>
    <d v="2021-11-15T00:00:00"/>
    <n v="4"/>
    <x v="3"/>
    <x v="3"/>
    <e v="#REF!"/>
    <e v="#REF!"/>
    <n v="9"/>
    <s v="Valorisables"/>
    <x v="8"/>
    <n v="0.6"/>
    <n v="0.55000000000000004"/>
    <n v="4.9999999999999933E-2"/>
    <n v="2.1186440677966076E-3"/>
    <m/>
  </r>
  <r>
    <d v="2021-11-15T00:00:00"/>
    <n v="4"/>
    <x v="3"/>
    <x v="3"/>
    <e v="#REF!"/>
    <e v="#REF!"/>
    <n v="10"/>
    <s v="Valorisables"/>
    <x v="9"/>
    <n v="20"/>
    <n v="16.600000000000001"/>
    <n v="3.3999999999999986"/>
    <n v="0.14406779661016944"/>
    <m/>
  </r>
  <r>
    <d v="2021-11-15T00:00:00"/>
    <n v="4"/>
    <x v="3"/>
    <x v="3"/>
    <e v="#REF!"/>
    <e v="#REF!"/>
    <n v="11"/>
    <s v="Valorisables"/>
    <x v="10"/>
    <n v="17.950000000000003"/>
    <n v="17.05"/>
    <n v="0.90000000000000213"/>
    <n v="3.8135593220339076E-2"/>
    <m/>
  </r>
  <r>
    <d v="2021-11-15T00:00:00"/>
    <n v="4"/>
    <x v="3"/>
    <x v="3"/>
    <e v="#REF!"/>
    <e v="#REF!"/>
    <n v="12"/>
    <s v="Refus"/>
    <x v="11"/>
    <n v="37.5"/>
    <n v="25.35"/>
    <n v="12.149999999999999"/>
    <n v="0.51483050847457623"/>
    <m/>
  </r>
  <r>
    <d v="2021-11-15T00:00:00"/>
    <n v="5"/>
    <x v="4"/>
    <x v="4"/>
    <n v="43.199999999999989"/>
    <n v="44.100000000000009"/>
    <n v="1"/>
    <s v="Valorisables"/>
    <x v="0"/>
    <n v="122.35000000000001"/>
    <n v="85.199999999999989"/>
    <n v="37.15000000000002"/>
    <n v="0.84240362811791414"/>
    <m/>
  </r>
  <r>
    <d v="2021-11-15T00:00:00"/>
    <n v="5"/>
    <x v="4"/>
    <x v="4"/>
    <n v="43.199999999999989"/>
    <n v="2.0833333333333801E-2"/>
    <n v="2"/>
    <s v="Valorisables"/>
    <x v="1"/>
    <n v="23.1"/>
    <n v="17.700000000000003"/>
    <n v="5.3999999999999986"/>
    <n v="0.12244897959183668"/>
    <s v="Présence de plastiques type barquettes notamment"/>
  </r>
  <r>
    <d v="2021-11-15T00:00:00"/>
    <n v="5"/>
    <x v="4"/>
    <x v="4"/>
    <e v="#REF!"/>
    <e v="#REF!"/>
    <n v="3"/>
    <s v="Valorisables"/>
    <x v="2"/>
    <n v="8.4499999999999993"/>
    <n v="8.25"/>
    <n v="0.19999999999999929"/>
    <n v="4.5351473922902322E-3"/>
    <m/>
  </r>
  <r>
    <d v="2021-11-15T00:00:00"/>
    <n v="5"/>
    <x v="4"/>
    <x v="4"/>
    <e v="#REF!"/>
    <e v="#REF!"/>
    <n v="4"/>
    <s v="Valorisables"/>
    <x v="3"/>
    <n v="0"/>
    <n v="0"/>
    <n v="0"/>
    <n v="0"/>
    <m/>
  </r>
  <r>
    <d v="2021-11-15T00:00:00"/>
    <n v="5"/>
    <x v="4"/>
    <x v="4"/>
    <e v="#REF!"/>
    <e v="#REF!"/>
    <n v="5"/>
    <s v="Valorisables"/>
    <x v="4"/>
    <n v="0.6"/>
    <n v="0.55000000000000004"/>
    <n v="4.9999999999999933E-2"/>
    <n v="1.1337868480725607E-3"/>
    <m/>
  </r>
  <r>
    <d v="2021-11-15T00:00:00"/>
    <n v="5"/>
    <x v="4"/>
    <x v="4"/>
    <e v="#REF!"/>
    <e v="#REF!"/>
    <n v="6"/>
    <s v="Valorisables"/>
    <x v="5"/>
    <n v="0"/>
    <n v="0"/>
    <n v="0"/>
    <n v="0"/>
    <m/>
  </r>
  <r>
    <d v="2021-11-15T00:00:00"/>
    <n v="5"/>
    <x v="4"/>
    <x v="4"/>
    <e v="#REF!"/>
    <e v="#REF!"/>
    <n v="7"/>
    <s v="Valorisables"/>
    <x v="6"/>
    <n v="0"/>
    <n v="0"/>
    <n v="0"/>
    <n v="0"/>
    <m/>
  </r>
  <r>
    <d v="2021-11-15T00:00:00"/>
    <n v="5"/>
    <x v="4"/>
    <x v="4"/>
    <e v="#REF!"/>
    <e v="#REF!"/>
    <n v="8"/>
    <s v="Valorisables"/>
    <x v="7"/>
    <n v="0"/>
    <n v="0"/>
    <n v="0"/>
    <n v="0"/>
    <m/>
  </r>
  <r>
    <d v="2021-11-15T00:00:00"/>
    <n v="5"/>
    <x v="4"/>
    <x v="4"/>
    <e v="#REF!"/>
    <e v="#REF!"/>
    <n v="9"/>
    <s v="Valorisables"/>
    <x v="8"/>
    <n v="0"/>
    <n v="0"/>
    <n v="0"/>
    <n v="0"/>
    <m/>
  </r>
  <r>
    <d v="2021-11-15T00:00:00"/>
    <n v="5"/>
    <x v="4"/>
    <x v="4"/>
    <e v="#REF!"/>
    <e v="#REF!"/>
    <n v="10"/>
    <s v="Valorisables"/>
    <x v="9"/>
    <n v="0.6"/>
    <n v="0.55000000000000004"/>
    <n v="4.9999999999999933E-2"/>
    <n v="1.1337868480725607E-3"/>
    <m/>
  </r>
  <r>
    <d v="2021-11-15T00:00:00"/>
    <n v="5"/>
    <x v="4"/>
    <x v="4"/>
    <e v="#REF!"/>
    <e v="#REF!"/>
    <n v="11"/>
    <s v="Valorisables"/>
    <x v="10"/>
    <n v="0.6"/>
    <n v="0.55000000000000004"/>
    <n v="4.9999999999999933E-2"/>
    <n v="1.1337868480725607E-3"/>
    <m/>
  </r>
  <r>
    <d v="2021-11-15T00:00:00"/>
    <n v="5"/>
    <x v="4"/>
    <x v="4"/>
    <e v="#REF!"/>
    <e v="#REF!"/>
    <n v="12"/>
    <s v="Refus"/>
    <x v="11"/>
    <n v="9.6999999999999993"/>
    <n v="8.5"/>
    <n v="1.1999999999999993"/>
    <n v="2.7210884353741475E-2"/>
    <m/>
  </r>
  <r>
    <d v="2021-11-15T00:00:00"/>
    <n v="6"/>
    <x v="5"/>
    <x v="5"/>
    <n v="46"/>
    <n v="45.400000000000006"/>
    <n v="1"/>
    <s v="Valorisables"/>
    <x v="0"/>
    <n v="0"/>
    <n v="0"/>
    <n v="0"/>
    <n v="0"/>
    <m/>
  </r>
  <r>
    <d v="2021-11-15T00:00:00"/>
    <n v="6"/>
    <x v="5"/>
    <x v="5"/>
    <n v="46"/>
    <n v="-1.3043478260869441E-2"/>
    <n v="2"/>
    <s v="Valorisables"/>
    <x v="1"/>
    <n v="0.6"/>
    <n v="0.55000000000000004"/>
    <n v="4.9999999999999933E-2"/>
    <n v="1.1013215859030821E-3"/>
    <m/>
  </r>
  <r>
    <d v="2021-11-15T00:00:00"/>
    <n v="6"/>
    <x v="5"/>
    <x v="5"/>
    <e v="#REF!"/>
    <e v="#REF!"/>
    <n v="3"/>
    <s v="Valorisables"/>
    <x v="2"/>
    <n v="0"/>
    <n v="0"/>
    <n v="0"/>
    <n v="0"/>
    <m/>
  </r>
  <r>
    <d v="2021-11-15T00:00:00"/>
    <n v="6"/>
    <x v="5"/>
    <x v="5"/>
    <e v="#REF!"/>
    <e v="#REF!"/>
    <n v="4"/>
    <s v="Valorisables"/>
    <x v="3"/>
    <n v="0"/>
    <n v="0"/>
    <n v="0"/>
    <n v="0"/>
    <m/>
  </r>
  <r>
    <d v="2021-11-15T00:00:00"/>
    <n v="6"/>
    <x v="5"/>
    <x v="5"/>
    <e v="#REF!"/>
    <e v="#REF!"/>
    <n v="5"/>
    <s v="Valorisables"/>
    <x v="4"/>
    <n v="0.6"/>
    <n v="0.55000000000000004"/>
    <n v="4.9999999999999933E-2"/>
    <n v="1.1013215859030821E-3"/>
    <m/>
  </r>
  <r>
    <d v="2021-11-15T00:00:00"/>
    <n v="6"/>
    <x v="5"/>
    <x v="5"/>
    <e v="#REF!"/>
    <e v="#REF!"/>
    <n v="6"/>
    <s v="Valorisables"/>
    <x v="5"/>
    <n v="0"/>
    <n v="0"/>
    <n v="0"/>
    <n v="0"/>
    <m/>
  </r>
  <r>
    <d v="2021-11-15T00:00:00"/>
    <n v="6"/>
    <x v="5"/>
    <x v="5"/>
    <e v="#REF!"/>
    <e v="#REF!"/>
    <n v="7"/>
    <s v="Valorisables"/>
    <x v="6"/>
    <n v="0.75"/>
    <n v="0.55000000000000004"/>
    <n v="0.19999999999999996"/>
    <n v="4.4052863436123335E-3"/>
    <m/>
  </r>
  <r>
    <d v="2021-11-15T00:00:00"/>
    <n v="6"/>
    <x v="5"/>
    <x v="5"/>
    <e v="#REF!"/>
    <e v="#REF!"/>
    <n v="8"/>
    <s v="Valorisables"/>
    <x v="7"/>
    <n v="22.799999999999997"/>
    <n v="17.100000000000001"/>
    <n v="5.6999999999999957"/>
    <n v="0.12555066079295144"/>
    <m/>
  </r>
  <r>
    <d v="2021-11-15T00:00:00"/>
    <n v="6"/>
    <x v="5"/>
    <x v="5"/>
    <e v="#REF!"/>
    <e v="#REF!"/>
    <n v="9"/>
    <s v="Valorisables"/>
    <x v="8"/>
    <n v="0"/>
    <n v="0"/>
    <n v="0"/>
    <n v="0"/>
    <m/>
  </r>
  <r>
    <d v="2021-11-15T00:00:00"/>
    <n v="6"/>
    <x v="5"/>
    <x v="5"/>
    <e v="#REF!"/>
    <e v="#REF!"/>
    <n v="10"/>
    <s v="Valorisables"/>
    <x v="9"/>
    <n v="96.9"/>
    <n v="58.55"/>
    <n v="38.350000000000009"/>
    <n v="0.84471365638766527"/>
    <m/>
  </r>
  <r>
    <d v="2021-11-15T00:00:00"/>
    <n v="6"/>
    <x v="5"/>
    <x v="5"/>
    <e v="#REF!"/>
    <e v="#REF!"/>
    <n v="11"/>
    <s v="Valorisables"/>
    <x v="10"/>
    <n v="0"/>
    <n v="0"/>
    <n v="0"/>
    <n v="0"/>
    <m/>
  </r>
  <r>
    <d v="2021-11-15T00:00:00"/>
    <n v="6"/>
    <x v="5"/>
    <x v="5"/>
    <e v="#REF!"/>
    <e v="#REF!"/>
    <n v="12"/>
    <s v="Refus"/>
    <x v="11"/>
    <n v="17.600000000000001"/>
    <n v="16.55"/>
    <n v="1.0500000000000007"/>
    <n v="2.3127753303964771E-2"/>
    <m/>
  </r>
  <r>
    <d v="2021-11-15T00:00:00"/>
    <n v="7"/>
    <x v="6"/>
    <x v="6"/>
    <n v="39.099999999999994"/>
    <n v="38.25"/>
    <n v="1"/>
    <s v="Valorisables"/>
    <x v="0"/>
    <n v="0"/>
    <n v="0"/>
    <n v="0"/>
    <n v="0"/>
    <m/>
  </r>
  <r>
    <d v="2021-11-15T00:00:00"/>
    <n v="7"/>
    <x v="6"/>
    <x v="6"/>
    <n v="39.099999999999994"/>
    <n v="-2.1739130434782466E-2"/>
    <n v="2"/>
    <s v="Valorisables"/>
    <x v="1"/>
    <n v="10"/>
    <n v="9.1000000000000014"/>
    <n v="0.89999999999999858"/>
    <n v="2.3529411764705844E-2"/>
    <m/>
  </r>
  <r>
    <d v="2021-11-15T00:00:00"/>
    <n v="7"/>
    <x v="6"/>
    <x v="6"/>
    <e v="#REF!"/>
    <e v="#REF!"/>
    <n v="3"/>
    <s v="Valorisables"/>
    <x v="2"/>
    <n v="0"/>
    <n v="0"/>
    <n v="0"/>
    <n v="0"/>
    <m/>
  </r>
  <r>
    <d v="2021-11-15T00:00:00"/>
    <n v="7"/>
    <x v="6"/>
    <x v="6"/>
    <e v="#REF!"/>
    <e v="#REF!"/>
    <n v="4"/>
    <s v="Valorisables"/>
    <x v="3"/>
    <n v="0.65"/>
    <n v="0.5"/>
    <n v="0.15000000000000002"/>
    <n v="3.9215686274509812E-3"/>
    <m/>
  </r>
  <r>
    <d v="2021-11-15T00:00:00"/>
    <n v="7"/>
    <x v="6"/>
    <x v="6"/>
    <e v="#REF!"/>
    <e v="#REF!"/>
    <n v="5"/>
    <s v="Valorisables"/>
    <x v="4"/>
    <n v="0.75"/>
    <n v="0.55000000000000004"/>
    <n v="0.19999999999999996"/>
    <n v="5.2287581699346393E-3"/>
    <m/>
  </r>
  <r>
    <d v="2021-11-15T00:00:00"/>
    <n v="7"/>
    <x v="6"/>
    <x v="6"/>
    <e v="#REF!"/>
    <e v="#REF!"/>
    <n v="6"/>
    <s v="Valorisables"/>
    <x v="5"/>
    <n v="0.6"/>
    <n v="0.55000000000000004"/>
    <n v="4.9999999999999933E-2"/>
    <n v="1.3071895424836583E-3"/>
    <m/>
  </r>
  <r>
    <d v="2021-11-15T00:00:00"/>
    <n v="7"/>
    <x v="6"/>
    <x v="6"/>
    <e v="#REF!"/>
    <e v="#REF!"/>
    <n v="7"/>
    <s v="Valorisables"/>
    <x v="6"/>
    <n v="43.2"/>
    <n v="18.149999999999999"/>
    <n v="25.050000000000004"/>
    <n v="0.65490196078431384"/>
    <m/>
  </r>
  <r>
    <d v="2021-11-15T00:00:00"/>
    <n v="7"/>
    <x v="6"/>
    <x v="6"/>
    <e v="#REF!"/>
    <e v="#REF!"/>
    <n v="8"/>
    <s v="Valorisables"/>
    <x v="7"/>
    <n v="9.75"/>
    <n v="8.5500000000000007"/>
    <n v="1.1999999999999993"/>
    <n v="3.1372549019607822E-2"/>
    <m/>
  </r>
  <r>
    <d v="2021-11-15T00:00:00"/>
    <n v="7"/>
    <x v="6"/>
    <x v="6"/>
    <e v="#REF!"/>
    <e v="#REF!"/>
    <n v="9"/>
    <s v="Valorisables"/>
    <x v="8"/>
    <n v="1.2"/>
    <n v="0.55000000000000004"/>
    <n v="0.64999999999999991"/>
    <n v="1.699346405228758E-2"/>
    <m/>
  </r>
  <r>
    <d v="2021-11-15T00:00:00"/>
    <n v="7"/>
    <x v="6"/>
    <x v="6"/>
    <e v="#REF!"/>
    <e v="#REF!"/>
    <n v="10"/>
    <s v="Valorisables"/>
    <x v="9"/>
    <n v="9.8000000000000007"/>
    <n v="8.5"/>
    <n v="1.3000000000000007"/>
    <n v="3.3986928104575181E-2"/>
    <m/>
  </r>
  <r>
    <d v="2021-11-15T00:00:00"/>
    <n v="7"/>
    <x v="6"/>
    <x v="6"/>
    <e v="#REF!"/>
    <e v="#REF!"/>
    <n v="11"/>
    <s v="Valorisables"/>
    <x v="10"/>
    <n v="0"/>
    <n v="0"/>
    <n v="0"/>
    <n v="0"/>
    <m/>
  </r>
  <r>
    <d v="2021-11-15T00:00:00"/>
    <n v="7"/>
    <x v="6"/>
    <x v="6"/>
    <e v="#REF!"/>
    <e v="#REF!"/>
    <n v="12"/>
    <s v="Refus"/>
    <x v="11"/>
    <n v="25.55"/>
    <n v="16.8"/>
    <n v="8.75"/>
    <n v="0.22875816993464052"/>
    <s v="petits objets divers, nourriture, plastique non valo…"/>
  </r>
  <r>
    <d v="2021-11-17T00:00:00"/>
    <n v="8"/>
    <x v="7"/>
    <x v="7"/>
    <n v="31.400000000000002"/>
    <n v="31.3"/>
    <n v="1"/>
    <s v="Valorisables"/>
    <x v="0"/>
    <n v="0"/>
    <n v="0"/>
    <n v="0"/>
    <n v="0"/>
    <m/>
  </r>
  <r>
    <d v="2021-11-17T00:00:00"/>
    <n v="8"/>
    <x v="7"/>
    <x v="7"/>
    <n v="31.400000000000002"/>
    <n v="-3.1847133757962232E-3"/>
    <n v="2"/>
    <s v="Valorisables"/>
    <x v="1"/>
    <n v="0"/>
    <n v="0"/>
    <n v="0"/>
    <n v="0"/>
    <m/>
  </r>
  <r>
    <d v="2021-11-17T00:00:00"/>
    <n v="8"/>
    <x v="7"/>
    <x v="7"/>
    <e v="#REF!"/>
    <e v="#REF!"/>
    <n v="3"/>
    <s v="Valorisables"/>
    <x v="2"/>
    <n v="0"/>
    <n v="0"/>
    <n v="0"/>
    <n v="0"/>
    <m/>
  </r>
  <r>
    <d v="2021-11-17T00:00:00"/>
    <n v="8"/>
    <x v="7"/>
    <x v="7"/>
    <e v="#REF!"/>
    <e v="#REF!"/>
    <n v="4"/>
    <s v="Valorisables"/>
    <x v="3"/>
    <n v="0"/>
    <n v="0"/>
    <n v="0"/>
    <n v="0"/>
    <m/>
  </r>
  <r>
    <d v="2021-11-17T00:00:00"/>
    <n v="8"/>
    <x v="7"/>
    <x v="7"/>
    <e v="#REF!"/>
    <e v="#REF!"/>
    <n v="5"/>
    <s v="Valorisables"/>
    <x v="4"/>
    <n v="0"/>
    <n v="0"/>
    <n v="0"/>
    <n v="0"/>
    <m/>
  </r>
  <r>
    <d v="2021-11-17T00:00:00"/>
    <n v="8"/>
    <x v="7"/>
    <x v="7"/>
    <e v="#REF!"/>
    <e v="#REF!"/>
    <n v="6"/>
    <s v="Valorisables"/>
    <x v="5"/>
    <n v="0"/>
    <n v="0"/>
    <n v="0"/>
    <n v="0"/>
    <m/>
  </r>
  <r>
    <d v="2021-11-17T00:00:00"/>
    <n v="8"/>
    <x v="7"/>
    <x v="7"/>
    <e v="#REF!"/>
    <e v="#REF!"/>
    <n v="7"/>
    <s v="Valorisables"/>
    <x v="6"/>
    <n v="0.9"/>
    <n v="0.55000000000000004"/>
    <n v="0.35"/>
    <n v="1.1182108626198083E-2"/>
    <m/>
  </r>
  <r>
    <d v="2021-11-17T00:00:00"/>
    <n v="8"/>
    <x v="7"/>
    <x v="7"/>
    <e v="#REF!"/>
    <e v="#REF!"/>
    <n v="8"/>
    <s v="Valorisables"/>
    <x v="7"/>
    <n v="62.650000000000006"/>
    <n v="34.200000000000003"/>
    <n v="28.450000000000003"/>
    <n v="0.90894568690095856"/>
    <m/>
  </r>
  <r>
    <d v="2021-11-17T00:00:00"/>
    <n v="8"/>
    <x v="7"/>
    <x v="7"/>
    <e v="#REF!"/>
    <e v="#REF!"/>
    <n v="9"/>
    <s v="Valorisables"/>
    <x v="8"/>
    <n v="0"/>
    <n v="0"/>
    <n v="0"/>
    <n v="0"/>
    <m/>
  </r>
  <r>
    <d v="2021-11-17T00:00:00"/>
    <n v="8"/>
    <x v="7"/>
    <x v="7"/>
    <e v="#REF!"/>
    <e v="#REF!"/>
    <n v="10"/>
    <s v="Valorisables"/>
    <x v="9"/>
    <n v="18.399999999999999"/>
    <n v="16.8"/>
    <n v="1.5999999999999979"/>
    <n v="5.1118210862619737E-2"/>
    <m/>
  </r>
  <r>
    <d v="2021-11-17T00:00:00"/>
    <n v="8"/>
    <x v="7"/>
    <x v="7"/>
    <e v="#REF!"/>
    <e v="#REF!"/>
    <n v="11"/>
    <s v="Valorisables"/>
    <x v="10"/>
    <n v="0.6"/>
    <n v="0.55000000000000004"/>
    <n v="4.9999999999999933E-2"/>
    <n v="1.5974440894568668E-3"/>
    <m/>
  </r>
  <r>
    <d v="2021-11-17T00:00:00"/>
    <n v="8"/>
    <x v="7"/>
    <x v="7"/>
    <e v="#REF!"/>
    <e v="#REF!"/>
    <n v="12"/>
    <s v="Refus"/>
    <x v="11"/>
    <n v="17.7"/>
    <n v="16.850000000000001"/>
    <n v="0.84999999999999787"/>
    <n v="2.7156549520766706E-2"/>
    <s v="dont dossier relié avec couvetrure et reliure plastique"/>
  </r>
  <r>
    <d v="2021-11-17T00:00:00"/>
    <n v="9"/>
    <x v="8"/>
    <x v="7"/>
    <n v="45.4"/>
    <n v="45.35"/>
    <n v="1"/>
    <s v="Valorisables"/>
    <x v="0"/>
    <n v="0"/>
    <n v="0"/>
    <n v="0"/>
    <n v="0"/>
    <m/>
  </r>
  <r>
    <d v="2021-11-17T00:00:00"/>
    <n v="9"/>
    <x v="8"/>
    <x v="7"/>
    <n v="45.4"/>
    <n v="-1.1013215859030211E-3"/>
    <n v="2"/>
    <s v="Valorisables"/>
    <x v="1"/>
    <n v="0.65"/>
    <n v="0.55000000000000004"/>
    <n v="9.9999999999999978E-2"/>
    <n v="2.2050716648291066E-3"/>
    <m/>
  </r>
  <r>
    <d v="2021-11-17T00:00:00"/>
    <n v="9"/>
    <x v="8"/>
    <x v="7"/>
    <e v="#REF!"/>
    <e v="#REF!"/>
    <n v="3"/>
    <s v="Valorisables"/>
    <x v="2"/>
    <n v="0"/>
    <n v="0"/>
    <n v="0"/>
    <n v="0"/>
    <m/>
  </r>
  <r>
    <d v="2021-11-17T00:00:00"/>
    <n v="9"/>
    <x v="8"/>
    <x v="7"/>
    <e v="#REF!"/>
    <e v="#REF!"/>
    <n v="4"/>
    <s v="Valorisables"/>
    <x v="3"/>
    <n v="0"/>
    <n v="0"/>
    <n v="0"/>
    <n v="0"/>
    <m/>
  </r>
  <r>
    <d v="2021-11-17T00:00:00"/>
    <n v="9"/>
    <x v="8"/>
    <x v="7"/>
    <e v="#REF!"/>
    <e v="#REF!"/>
    <n v="5"/>
    <s v="Valorisables"/>
    <x v="4"/>
    <n v="0"/>
    <n v="0"/>
    <n v="0"/>
    <n v="0"/>
    <m/>
  </r>
  <r>
    <d v="2021-11-17T00:00:00"/>
    <n v="9"/>
    <x v="8"/>
    <x v="7"/>
    <e v="#REF!"/>
    <e v="#REF!"/>
    <n v="6"/>
    <s v="Valorisables"/>
    <x v="5"/>
    <n v="0"/>
    <n v="0"/>
    <n v="0"/>
    <n v="0"/>
    <m/>
  </r>
  <r>
    <d v="2021-11-17T00:00:00"/>
    <n v="9"/>
    <x v="8"/>
    <x v="7"/>
    <e v="#REF!"/>
    <e v="#REF!"/>
    <n v="7"/>
    <s v="Valorisables"/>
    <x v="6"/>
    <n v="1.05"/>
    <n v="0.55000000000000004"/>
    <n v="0.5"/>
    <n v="1.1025358324145534E-2"/>
    <m/>
  </r>
  <r>
    <d v="2021-11-17T00:00:00"/>
    <n v="9"/>
    <x v="8"/>
    <x v="7"/>
    <e v="#REF!"/>
    <e v="#REF!"/>
    <n v="8"/>
    <s v="Valorisables"/>
    <x v="7"/>
    <n v="72.400000000000006"/>
    <n v="34.200000000000003"/>
    <n v="38.200000000000003"/>
    <n v="0.84233737596471892"/>
    <m/>
  </r>
  <r>
    <d v="2021-11-17T00:00:00"/>
    <n v="9"/>
    <x v="8"/>
    <x v="7"/>
    <e v="#REF!"/>
    <e v="#REF!"/>
    <n v="9"/>
    <s v="Valorisables"/>
    <x v="8"/>
    <n v="0"/>
    <n v="0"/>
    <n v="0"/>
    <n v="0"/>
    <m/>
  </r>
  <r>
    <d v="2021-11-17T00:00:00"/>
    <n v="9"/>
    <x v="8"/>
    <x v="7"/>
    <e v="#REF!"/>
    <e v="#REF!"/>
    <n v="10"/>
    <s v="Valorisables"/>
    <x v="9"/>
    <n v="21.95"/>
    <n v="16.8"/>
    <n v="5.1499999999999986"/>
    <n v="0.11356119073869897"/>
    <m/>
  </r>
  <r>
    <d v="2021-11-17T00:00:00"/>
    <n v="9"/>
    <x v="8"/>
    <x v="7"/>
    <e v="#REF!"/>
    <e v="#REF!"/>
    <n v="11"/>
    <s v="Valorisables"/>
    <x v="10"/>
    <n v="0"/>
    <n v="0"/>
    <n v="0"/>
    <n v="0"/>
    <m/>
  </r>
  <r>
    <d v="2021-11-17T00:00:00"/>
    <n v="9"/>
    <x v="8"/>
    <x v="7"/>
    <e v="#REF!"/>
    <e v="#REF!"/>
    <n v="12"/>
    <s v="Refus"/>
    <x v="11"/>
    <n v="18.25"/>
    <n v="16.850000000000001"/>
    <n v="1.3999999999999986"/>
    <n v="3.0871003307607465E-2"/>
    <s v="bois petit branchage + morceau de cagette"/>
  </r>
  <r>
    <d v="2021-11-17T00:00:00"/>
    <n v="10"/>
    <x v="9"/>
    <x v="7"/>
    <n v="41"/>
    <n v="41.500000000000007"/>
    <n v="1"/>
    <s v="Valorisables"/>
    <x v="0"/>
    <n v="0.6"/>
    <n v="0.5"/>
    <n v="9.9999999999999978E-2"/>
    <n v="2.4096385542168664E-3"/>
    <m/>
  </r>
  <r>
    <d v="2021-11-17T00:00:00"/>
    <n v="10"/>
    <x v="9"/>
    <x v="7"/>
    <n v="41"/>
    <n v="1.2195121951219686E-2"/>
    <n v="2"/>
    <s v="Valorisables"/>
    <x v="1"/>
    <n v="1.05"/>
    <n v="0.5"/>
    <n v="0.55000000000000004"/>
    <n v="1.3253012048192771E-2"/>
    <m/>
  </r>
  <r>
    <d v="2021-11-17T00:00:00"/>
    <n v="10"/>
    <x v="9"/>
    <x v="7"/>
    <e v="#REF!"/>
    <e v="#REF!"/>
    <n v="3"/>
    <s v="Valorisables"/>
    <x v="2"/>
    <n v="0"/>
    <n v="0"/>
    <n v="0"/>
    <n v="0"/>
    <m/>
  </r>
  <r>
    <d v="2021-11-17T00:00:00"/>
    <n v="10"/>
    <x v="9"/>
    <x v="7"/>
    <e v="#REF!"/>
    <e v="#REF!"/>
    <n v="4"/>
    <s v="Valorisables"/>
    <x v="3"/>
    <n v="0.55000000000000004"/>
    <n v="0.5"/>
    <n v="5.0000000000000044E-2"/>
    <n v="1.2048192771084345E-3"/>
    <m/>
  </r>
  <r>
    <d v="2021-11-17T00:00:00"/>
    <n v="10"/>
    <x v="9"/>
    <x v="7"/>
    <e v="#REF!"/>
    <e v="#REF!"/>
    <n v="5"/>
    <s v="Valorisables"/>
    <x v="4"/>
    <n v="0.75"/>
    <n v="0.5"/>
    <n v="0.25"/>
    <n v="6.0240963855421673E-3"/>
    <m/>
  </r>
  <r>
    <d v="2021-11-17T00:00:00"/>
    <n v="10"/>
    <x v="9"/>
    <x v="7"/>
    <e v="#REF!"/>
    <e v="#REF!"/>
    <n v="6"/>
    <s v="Valorisables"/>
    <x v="5"/>
    <n v="0"/>
    <n v="0"/>
    <n v="0"/>
    <n v="0"/>
    <m/>
  </r>
  <r>
    <d v="2021-11-17T00:00:00"/>
    <n v="10"/>
    <x v="9"/>
    <x v="7"/>
    <e v="#REF!"/>
    <e v="#REF!"/>
    <n v="7"/>
    <s v="Valorisables"/>
    <x v="6"/>
    <n v="0.9"/>
    <n v="0.5"/>
    <n v="0.4"/>
    <n v="9.638554216867469E-3"/>
    <m/>
  </r>
  <r>
    <d v="2021-11-17T00:00:00"/>
    <n v="10"/>
    <x v="9"/>
    <x v="7"/>
    <e v="#REF!"/>
    <e v="#REF!"/>
    <n v="8"/>
    <s v="Valorisables"/>
    <x v="7"/>
    <n v="65.100000000000009"/>
    <n v="34.200000000000003"/>
    <n v="30.900000000000006"/>
    <n v="0.74457831325301205"/>
    <m/>
  </r>
  <r>
    <d v="2021-11-17T00:00:00"/>
    <n v="10"/>
    <x v="9"/>
    <x v="7"/>
    <e v="#REF!"/>
    <e v="#REF!"/>
    <n v="9"/>
    <s v="Valorisables"/>
    <x v="8"/>
    <n v="0.75"/>
    <n v="0"/>
    <n v="0.75"/>
    <n v="1.8072289156626502E-2"/>
    <m/>
  </r>
  <r>
    <d v="2021-11-17T00:00:00"/>
    <n v="10"/>
    <x v="9"/>
    <x v="7"/>
    <e v="#REF!"/>
    <e v="#REF!"/>
    <n v="10"/>
    <s v="Valorisables"/>
    <x v="9"/>
    <n v="24.1"/>
    <n v="16.8"/>
    <n v="7.3000000000000007"/>
    <n v="0.17590361445783131"/>
    <m/>
  </r>
  <r>
    <d v="2021-11-17T00:00:00"/>
    <n v="10"/>
    <x v="9"/>
    <x v="7"/>
    <e v="#REF!"/>
    <e v="#REF!"/>
    <n v="11"/>
    <s v="Valorisables"/>
    <x v="10"/>
    <n v="0.55000000000000004"/>
    <n v="0.5"/>
    <n v="5.0000000000000044E-2"/>
    <n v="1.2048192771084345E-3"/>
    <m/>
  </r>
  <r>
    <d v="2021-11-17T00:00:00"/>
    <n v="10"/>
    <x v="9"/>
    <x v="7"/>
    <e v="#REF!"/>
    <e v="#REF!"/>
    <n v="12"/>
    <s v="Refus"/>
    <x v="11"/>
    <n v="18"/>
    <n v="16.850000000000001"/>
    <n v="1.1499999999999986"/>
    <n v="2.7710843373493936E-2"/>
    <m/>
  </r>
  <r>
    <d v="2021-11-17T00:00:00"/>
    <n v="11"/>
    <x v="10"/>
    <x v="6"/>
    <n v="32.799999999999997"/>
    <n v="32.75"/>
    <n v="1"/>
    <s v="Valorisables"/>
    <x v="0"/>
    <n v="0"/>
    <n v="0"/>
    <n v="0"/>
    <n v="0"/>
    <m/>
  </r>
  <r>
    <d v="2021-11-17T00:00:00"/>
    <n v="11"/>
    <x v="10"/>
    <x v="6"/>
    <n v="32.799999999999997"/>
    <n v="-1.5243902439023526E-3"/>
    <n v="2"/>
    <s v="Valorisables"/>
    <x v="1"/>
    <n v="1.3"/>
    <n v="1.1000000000000001"/>
    <n v="0.19999999999999996"/>
    <n v="6.1068702290076327E-3"/>
    <m/>
  </r>
  <r>
    <d v="2021-11-17T00:00:00"/>
    <n v="11"/>
    <x v="10"/>
    <x v="6"/>
    <e v="#REF!"/>
    <e v="#REF!"/>
    <n v="3"/>
    <s v="Valorisables"/>
    <x v="2"/>
    <n v="0"/>
    <n v="0"/>
    <n v="0"/>
    <n v="0"/>
    <m/>
  </r>
  <r>
    <d v="2021-11-17T00:00:00"/>
    <n v="11"/>
    <x v="10"/>
    <x v="6"/>
    <e v="#REF!"/>
    <e v="#REF!"/>
    <n v="4"/>
    <s v="Valorisables"/>
    <x v="3"/>
    <n v="0.6"/>
    <n v="0.55000000000000004"/>
    <n v="4.9999999999999933E-2"/>
    <n v="1.5267175572519064E-3"/>
    <m/>
  </r>
  <r>
    <d v="2021-11-17T00:00:00"/>
    <n v="11"/>
    <x v="10"/>
    <x v="6"/>
    <e v="#REF!"/>
    <e v="#REF!"/>
    <n v="5"/>
    <s v="Valorisables"/>
    <x v="4"/>
    <n v="0.65"/>
    <n v="0.55000000000000004"/>
    <n v="9.9999999999999978E-2"/>
    <n v="3.0534351145038163E-3"/>
    <m/>
  </r>
  <r>
    <d v="2021-11-17T00:00:00"/>
    <n v="11"/>
    <x v="10"/>
    <x v="6"/>
    <e v="#REF!"/>
    <e v="#REF!"/>
    <n v="6"/>
    <s v="Valorisables"/>
    <x v="5"/>
    <n v="0"/>
    <n v="0"/>
    <n v="0"/>
    <n v="0"/>
    <m/>
  </r>
  <r>
    <d v="2021-11-17T00:00:00"/>
    <n v="11"/>
    <x v="10"/>
    <x v="6"/>
    <e v="#REF!"/>
    <e v="#REF!"/>
    <n v="7"/>
    <s v="Valorisables"/>
    <x v="6"/>
    <n v="36.4"/>
    <n v="18.149999999999999"/>
    <n v="18.25"/>
    <n v="0.5572519083969466"/>
    <m/>
  </r>
  <r>
    <d v="2021-11-17T00:00:00"/>
    <n v="11"/>
    <x v="10"/>
    <x v="6"/>
    <e v="#REF!"/>
    <e v="#REF!"/>
    <n v="8"/>
    <s v="Valorisables"/>
    <x v="7"/>
    <n v="28.450000000000003"/>
    <n v="25.650000000000002"/>
    <n v="2.8000000000000007"/>
    <n v="8.5496183206106899E-2"/>
    <m/>
  </r>
  <r>
    <d v="2021-11-17T00:00:00"/>
    <n v="11"/>
    <x v="10"/>
    <x v="6"/>
    <e v="#REF!"/>
    <e v="#REF!"/>
    <n v="9"/>
    <s v="Valorisables"/>
    <x v="8"/>
    <n v="0.7"/>
    <n v="0.55000000000000004"/>
    <n v="0.14999999999999991"/>
    <n v="4.5801526717557228E-3"/>
    <m/>
  </r>
  <r>
    <d v="2021-11-17T00:00:00"/>
    <n v="11"/>
    <x v="10"/>
    <x v="6"/>
    <e v="#REF!"/>
    <e v="#REF!"/>
    <n v="10"/>
    <s v="Valorisables"/>
    <x v="9"/>
    <n v="21.200000000000003"/>
    <n v="16.8"/>
    <n v="4.4000000000000021"/>
    <n v="0.134351145038168"/>
    <m/>
  </r>
  <r>
    <d v="2021-11-17T00:00:00"/>
    <n v="11"/>
    <x v="10"/>
    <x v="6"/>
    <e v="#REF!"/>
    <e v="#REF!"/>
    <n v="11"/>
    <s v="Valorisables"/>
    <x v="10"/>
    <n v="0"/>
    <n v="0"/>
    <n v="0"/>
    <n v="0"/>
    <m/>
  </r>
  <r>
    <d v="2021-11-17T00:00:00"/>
    <n v="11"/>
    <x v="10"/>
    <x v="6"/>
    <e v="#REF!"/>
    <e v="#REF!"/>
    <n v="12"/>
    <s v="Refus"/>
    <x v="11"/>
    <n v="23.9"/>
    <n v="17.100000000000001"/>
    <n v="6.7999999999999972"/>
    <n v="0.20763358778625945"/>
    <m/>
  </r>
  <r>
    <d v="2021-11-17T00:00:00"/>
    <n v="12"/>
    <x v="11"/>
    <x v="6"/>
    <n v="28.2"/>
    <n v="27.099999999999994"/>
    <n v="1"/>
    <s v="Valorisables"/>
    <x v="0"/>
    <n v="0"/>
    <n v="0"/>
    <n v="0"/>
    <n v="0"/>
    <m/>
  </r>
  <r>
    <d v="2021-11-17T00:00:00"/>
    <n v="12"/>
    <x v="11"/>
    <x v="6"/>
    <n v="28.2"/>
    <n v="-3.9007092198581735E-2"/>
    <n v="2"/>
    <s v="Valorisables"/>
    <x v="1"/>
    <n v="0.7"/>
    <n v="0.55000000000000004"/>
    <n v="0.14999999999999991"/>
    <n v="5.5350553505535034E-3"/>
    <m/>
  </r>
  <r>
    <d v="2021-11-17T00:00:00"/>
    <n v="12"/>
    <x v="11"/>
    <x v="6"/>
    <e v="#REF!"/>
    <e v="#REF!"/>
    <n v="3"/>
    <s v="Valorisables"/>
    <x v="2"/>
    <m/>
    <m/>
    <n v="0"/>
    <n v="0"/>
    <m/>
  </r>
  <r>
    <d v="2021-11-17T00:00:00"/>
    <n v="12"/>
    <x v="11"/>
    <x v="6"/>
    <e v="#REF!"/>
    <e v="#REF!"/>
    <n v="4"/>
    <s v="Valorisables"/>
    <x v="3"/>
    <m/>
    <m/>
    <n v="0"/>
    <n v="0"/>
    <m/>
  </r>
  <r>
    <d v="2021-11-17T00:00:00"/>
    <n v="12"/>
    <x v="11"/>
    <x v="6"/>
    <e v="#REF!"/>
    <e v="#REF!"/>
    <n v="5"/>
    <s v="Valorisables"/>
    <x v="4"/>
    <n v="0.6"/>
    <n v="0.55000000000000004"/>
    <n v="4.9999999999999933E-2"/>
    <n v="1.8450184501844998E-3"/>
    <m/>
  </r>
  <r>
    <d v="2021-11-17T00:00:00"/>
    <n v="12"/>
    <x v="11"/>
    <x v="6"/>
    <e v="#REF!"/>
    <e v="#REF!"/>
    <n v="6"/>
    <s v="Valorisables"/>
    <x v="5"/>
    <m/>
    <m/>
    <n v="0"/>
    <n v="0"/>
    <m/>
  </r>
  <r>
    <d v="2021-11-17T00:00:00"/>
    <n v="12"/>
    <x v="11"/>
    <x v="6"/>
    <e v="#REF!"/>
    <e v="#REF!"/>
    <n v="7"/>
    <s v="Valorisables"/>
    <x v="6"/>
    <n v="26.05"/>
    <n v="12.1"/>
    <n v="13.950000000000001"/>
    <n v="0.51476014760147615"/>
    <m/>
  </r>
  <r>
    <d v="2021-11-17T00:00:00"/>
    <n v="12"/>
    <x v="11"/>
    <x v="6"/>
    <e v="#REF!"/>
    <e v="#REF!"/>
    <n v="8"/>
    <s v="Valorisables"/>
    <x v="7"/>
    <n v="18.05"/>
    <n v="17.100000000000001"/>
    <n v="0.94999999999999929"/>
    <n v="3.5055350553505518E-2"/>
    <m/>
  </r>
  <r>
    <d v="2021-11-17T00:00:00"/>
    <n v="12"/>
    <x v="11"/>
    <x v="6"/>
    <e v="#REF!"/>
    <e v="#REF!"/>
    <n v="9"/>
    <s v="Valorisables"/>
    <x v="8"/>
    <n v="0.9"/>
    <n v="0.55000000000000004"/>
    <n v="0.35"/>
    <n v="1.2915129151291515E-2"/>
    <m/>
  </r>
  <r>
    <d v="2021-11-17T00:00:00"/>
    <n v="12"/>
    <x v="11"/>
    <x v="6"/>
    <e v="#REF!"/>
    <e v="#REF!"/>
    <n v="10"/>
    <s v="Valorisables"/>
    <x v="9"/>
    <n v="19.899999999999999"/>
    <n v="16.8"/>
    <n v="3.0999999999999979"/>
    <n v="0.11439114391143906"/>
    <m/>
  </r>
  <r>
    <d v="2021-11-17T00:00:00"/>
    <n v="12"/>
    <x v="11"/>
    <x v="6"/>
    <e v="#REF!"/>
    <e v="#REF!"/>
    <n v="11"/>
    <s v="Valorisables"/>
    <x v="10"/>
    <m/>
    <m/>
    <n v="0"/>
    <n v="0"/>
    <m/>
  </r>
  <r>
    <d v="2021-11-17T00:00:00"/>
    <n v="12"/>
    <x v="11"/>
    <x v="6"/>
    <e v="#REF!"/>
    <e v="#REF!"/>
    <n v="12"/>
    <s v="Refus"/>
    <x v="11"/>
    <n v="25.65"/>
    <n v="17.100000000000001"/>
    <n v="8.5499999999999972"/>
    <n v="0.31549815498154976"/>
    <m/>
  </r>
  <r>
    <d v="2021-11-17T00:00:00"/>
    <n v="13"/>
    <x v="12"/>
    <x v="5"/>
    <n v="32"/>
    <n v="32.5"/>
    <n v="1"/>
    <s v="Valorisables"/>
    <x v="0"/>
    <n v="0"/>
    <n v="0"/>
    <n v="0"/>
    <n v="0"/>
    <m/>
  </r>
  <r>
    <d v="2021-11-17T00:00:00"/>
    <n v="13"/>
    <x v="12"/>
    <x v="5"/>
    <n v="32"/>
    <n v="1.5625E-2"/>
    <n v="2"/>
    <s v="Valorisables"/>
    <x v="1"/>
    <n v="0.6"/>
    <n v="0.55000000000000004"/>
    <n v="4.9999999999999933E-2"/>
    <n v="1.5384615384615365E-3"/>
    <m/>
  </r>
  <r>
    <d v="2021-11-17T00:00:00"/>
    <n v="13"/>
    <x v="12"/>
    <x v="5"/>
    <e v="#REF!"/>
    <e v="#REF!"/>
    <n v="3"/>
    <s v="Valorisables"/>
    <x v="2"/>
    <n v="0"/>
    <n v="0"/>
    <n v="0"/>
    <n v="0"/>
    <m/>
  </r>
  <r>
    <d v="2021-11-17T00:00:00"/>
    <n v="13"/>
    <x v="12"/>
    <x v="5"/>
    <e v="#REF!"/>
    <e v="#REF!"/>
    <n v="4"/>
    <s v="Valorisables"/>
    <x v="3"/>
    <n v="0"/>
    <n v="0"/>
    <n v="0"/>
    <n v="0"/>
    <m/>
  </r>
  <r>
    <d v="2021-11-17T00:00:00"/>
    <n v="13"/>
    <x v="12"/>
    <x v="5"/>
    <e v="#REF!"/>
    <e v="#REF!"/>
    <n v="5"/>
    <s v="Valorisables"/>
    <x v="4"/>
    <n v="0"/>
    <n v="0"/>
    <n v="0"/>
    <n v="0"/>
    <m/>
  </r>
  <r>
    <d v="2021-11-17T00:00:00"/>
    <n v="13"/>
    <x v="12"/>
    <x v="5"/>
    <e v="#REF!"/>
    <e v="#REF!"/>
    <n v="6"/>
    <s v="Valorisables"/>
    <x v="5"/>
    <n v="0"/>
    <n v="0"/>
    <n v="0"/>
    <n v="0"/>
    <m/>
  </r>
  <r>
    <d v="2021-11-17T00:00:00"/>
    <n v="13"/>
    <x v="12"/>
    <x v="5"/>
    <e v="#REF!"/>
    <e v="#REF!"/>
    <n v="7"/>
    <s v="Valorisables"/>
    <x v="6"/>
    <n v="6.75"/>
    <n v="6.05"/>
    <n v="0.70000000000000018"/>
    <n v="2.1538461538461545E-2"/>
    <m/>
  </r>
  <r>
    <d v="2021-11-17T00:00:00"/>
    <n v="13"/>
    <x v="12"/>
    <x v="5"/>
    <e v="#REF!"/>
    <e v="#REF!"/>
    <n v="8"/>
    <s v="Valorisables"/>
    <x v="7"/>
    <n v="21.1"/>
    <n v="17.100000000000001"/>
    <n v="4"/>
    <n v="0.12307692307692308"/>
    <m/>
  </r>
  <r>
    <d v="2021-11-17T00:00:00"/>
    <n v="13"/>
    <x v="12"/>
    <x v="5"/>
    <e v="#REF!"/>
    <e v="#REF!"/>
    <n v="9"/>
    <s v="Valorisables"/>
    <x v="8"/>
    <n v="0"/>
    <n v="0"/>
    <n v="0"/>
    <n v="0"/>
    <m/>
  </r>
  <r>
    <d v="2021-11-17T00:00:00"/>
    <n v="13"/>
    <x v="12"/>
    <x v="5"/>
    <e v="#REF!"/>
    <e v="#REF!"/>
    <n v="10"/>
    <s v="Valorisables"/>
    <x v="9"/>
    <n v="68.900000000000006"/>
    <n v="42.150000000000006"/>
    <n v="26.75"/>
    <n v="0.82307692307692304"/>
    <m/>
  </r>
  <r>
    <d v="2021-11-17T00:00:00"/>
    <n v="13"/>
    <x v="12"/>
    <x v="5"/>
    <e v="#REF!"/>
    <e v="#REF!"/>
    <n v="11"/>
    <s v="Valorisables"/>
    <x v="10"/>
    <n v="0.55000000000000004"/>
    <n v="0.5"/>
    <n v="5.0000000000000044E-2"/>
    <n v="1.5384615384615398E-3"/>
    <m/>
  </r>
  <r>
    <d v="2021-11-17T00:00:00"/>
    <n v="13"/>
    <x v="12"/>
    <x v="5"/>
    <e v="#REF!"/>
    <e v="#REF!"/>
    <n v="12"/>
    <s v="Refus"/>
    <x v="11"/>
    <n v="17.799999999999997"/>
    <n v="16.850000000000001"/>
    <n v="0.94999999999999574"/>
    <n v="2.9230769230769098E-2"/>
    <m/>
  </r>
  <r>
    <d v="2021-11-17T00:00:00"/>
    <n v="14"/>
    <x v="13"/>
    <x v="5"/>
    <n v="24.8"/>
    <n v="25.150000000000002"/>
    <n v="1"/>
    <s v="Valorisables"/>
    <x v="0"/>
    <n v="0"/>
    <n v="0"/>
    <n v="0"/>
    <n v="0"/>
    <m/>
  </r>
  <r>
    <d v="2021-11-17T00:00:00"/>
    <n v="14"/>
    <x v="13"/>
    <x v="5"/>
    <n v="24.8"/>
    <n v="1.4112903225806508E-2"/>
    <n v="2"/>
    <s v="Valorisables"/>
    <x v="1"/>
    <n v="0.6"/>
    <n v="0.55000000000000004"/>
    <n v="4.9999999999999933E-2"/>
    <n v="1.9880715705765379E-3"/>
    <m/>
  </r>
  <r>
    <d v="2021-11-17T00:00:00"/>
    <n v="14"/>
    <x v="13"/>
    <x v="5"/>
    <e v="#REF!"/>
    <e v="#REF!"/>
    <n v="3"/>
    <s v="Valorisables"/>
    <x v="2"/>
    <n v="0"/>
    <n v="0"/>
    <n v="0"/>
    <n v="0"/>
    <m/>
  </r>
  <r>
    <d v="2021-11-17T00:00:00"/>
    <n v="14"/>
    <x v="13"/>
    <x v="5"/>
    <e v="#REF!"/>
    <e v="#REF!"/>
    <n v="4"/>
    <s v="Valorisables"/>
    <x v="3"/>
    <n v="0.6"/>
    <n v="0.55000000000000004"/>
    <n v="4.9999999999999933E-2"/>
    <n v="1.9880715705765379E-3"/>
    <m/>
  </r>
  <r>
    <d v="2021-11-17T00:00:00"/>
    <n v="14"/>
    <x v="13"/>
    <x v="5"/>
    <e v="#REF!"/>
    <e v="#REF!"/>
    <n v="5"/>
    <s v="Valorisables"/>
    <x v="4"/>
    <n v="0"/>
    <n v="0"/>
    <n v="0"/>
    <n v="0"/>
    <m/>
  </r>
  <r>
    <d v="2021-11-17T00:00:00"/>
    <n v="14"/>
    <x v="13"/>
    <x v="5"/>
    <e v="#REF!"/>
    <e v="#REF!"/>
    <n v="6"/>
    <s v="Valorisables"/>
    <x v="5"/>
    <n v="0"/>
    <n v="0"/>
    <n v="0"/>
    <n v="0"/>
    <m/>
  </r>
  <r>
    <d v="2021-11-17T00:00:00"/>
    <n v="14"/>
    <x v="13"/>
    <x v="5"/>
    <e v="#REF!"/>
    <e v="#REF!"/>
    <n v="7"/>
    <s v="Valorisables"/>
    <x v="6"/>
    <n v="6.5"/>
    <n v="6.05"/>
    <n v="0.45000000000000018"/>
    <n v="1.7892644135188873E-2"/>
    <m/>
  </r>
  <r>
    <d v="2021-11-17T00:00:00"/>
    <n v="14"/>
    <x v="13"/>
    <x v="5"/>
    <e v="#REF!"/>
    <e v="#REF!"/>
    <n v="8"/>
    <s v="Valorisables"/>
    <x v="7"/>
    <n v="19.350000000000001"/>
    <n v="16.8"/>
    <n v="2.5500000000000007"/>
    <n v="0.1013916500994036"/>
    <m/>
  </r>
  <r>
    <d v="2021-11-17T00:00:00"/>
    <n v="14"/>
    <x v="13"/>
    <x v="5"/>
    <e v="#REF!"/>
    <e v="#REF!"/>
    <n v="9"/>
    <s v="Valorisables"/>
    <x v="8"/>
    <n v="0"/>
    <n v="0"/>
    <n v="0"/>
    <n v="0"/>
    <m/>
  </r>
  <r>
    <d v="2021-11-17T00:00:00"/>
    <n v="14"/>
    <x v="13"/>
    <x v="5"/>
    <e v="#REF!"/>
    <e v="#REF!"/>
    <n v="10"/>
    <s v="Valorisables"/>
    <x v="9"/>
    <n v="63.7"/>
    <n v="42.45"/>
    <n v="21.25"/>
    <n v="0.84493041749502973"/>
    <m/>
  </r>
  <r>
    <d v="2021-11-17T00:00:00"/>
    <n v="14"/>
    <x v="13"/>
    <x v="5"/>
    <e v="#REF!"/>
    <e v="#REF!"/>
    <n v="11"/>
    <s v="Valorisables"/>
    <x v="10"/>
    <n v="0.6"/>
    <n v="0.55000000000000004"/>
    <n v="4.9999999999999933E-2"/>
    <n v="1.9880715705765379E-3"/>
    <m/>
  </r>
  <r>
    <d v="2021-11-17T00:00:00"/>
    <n v="14"/>
    <x v="13"/>
    <x v="5"/>
    <e v="#REF!"/>
    <e v="#REF!"/>
    <n v="12"/>
    <s v="Refus"/>
    <x v="11"/>
    <n v="17.600000000000001"/>
    <n v="16.850000000000001"/>
    <n v="0.75"/>
    <n v="2.982107355864811E-2"/>
    <m/>
  </r>
  <r>
    <d v="2021-11-17T00:00:00"/>
    <n v="15"/>
    <x v="14"/>
    <x v="8"/>
    <n v="23.6"/>
    <n v="24.100000000000009"/>
    <n v="1"/>
    <s v="Valorisables"/>
    <x v="0"/>
    <m/>
    <m/>
    <n v="0"/>
    <n v="0"/>
    <m/>
  </r>
  <r>
    <d v="2021-11-17T00:00:00"/>
    <n v="15"/>
    <x v="14"/>
    <x v="8"/>
    <n v="23.6"/>
    <n v="2.1186440677966403E-2"/>
    <n v="2"/>
    <s v="Valorisables"/>
    <x v="1"/>
    <m/>
    <m/>
    <n v="0"/>
    <n v="0"/>
    <m/>
  </r>
  <r>
    <d v="2021-11-17T00:00:00"/>
    <n v="15"/>
    <x v="14"/>
    <x v="8"/>
    <e v="#REF!"/>
    <e v="#REF!"/>
    <n v="3"/>
    <s v="Valorisables"/>
    <x v="2"/>
    <m/>
    <m/>
    <n v="0"/>
    <n v="0"/>
    <m/>
  </r>
  <r>
    <d v="2021-11-17T00:00:00"/>
    <n v="15"/>
    <x v="14"/>
    <x v="8"/>
    <e v="#REF!"/>
    <e v="#REF!"/>
    <n v="4"/>
    <s v="Valorisables"/>
    <x v="3"/>
    <m/>
    <m/>
    <n v="0"/>
    <n v="0"/>
    <m/>
  </r>
  <r>
    <d v="2021-11-17T00:00:00"/>
    <n v="15"/>
    <x v="14"/>
    <x v="8"/>
    <e v="#REF!"/>
    <e v="#REF!"/>
    <n v="5"/>
    <s v="Valorisables"/>
    <x v="4"/>
    <n v="0.65"/>
    <n v="0.55000000000000004"/>
    <n v="9.9999999999999978E-2"/>
    <n v="4.1493775933609933E-3"/>
    <m/>
  </r>
  <r>
    <d v="2021-11-17T00:00:00"/>
    <n v="15"/>
    <x v="14"/>
    <x v="8"/>
    <e v="#REF!"/>
    <e v="#REF!"/>
    <n v="6"/>
    <s v="Valorisables"/>
    <x v="5"/>
    <m/>
    <m/>
    <n v="0"/>
    <n v="0"/>
    <m/>
  </r>
  <r>
    <d v="2021-11-17T00:00:00"/>
    <n v="15"/>
    <x v="14"/>
    <x v="8"/>
    <e v="#REF!"/>
    <e v="#REF!"/>
    <n v="7"/>
    <s v="Valorisables"/>
    <x v="6"/>
    <m/>
    <m/>
    <n v="0"/>
    <n v="0"/>
    <m/>
  </r>
  <r>
    <d v="2021-11-17T00:00:00"/>
    <n v="15"/>
    <x v="14"/>
    <x v="8"/>
    <e v="#REF!"/>
    <e v="#REF!"/>
    <n v="8"/>
    <s v="Valorisables"/>
    <x v="7"/>
    <m/>
    <m/>
    <n v="0"/>
    <n v="0"/>
    <m/>
  </r>
  <r>
    <d v="2021-11-17T00:00:00"/>
    <n v="15"/>
    <x v="14"/>
    <x v="8"/>
    <e v="#REF!"/>
    <e v="#REF!"/>
    <n v="9"/>
    <s v="Valorisables"/>
    <x v="8"/>
    <m/>
    <m/>
    <n v="0"/>
    <n v="0"/>
    <m/>
  </r>
  <r>
    <d v="2021-11-17T00:00:00"/>
    <n v="15"/>
    <x v="14"/>
    <x v="8"/>
    <e v="#REF!"/>
    <e v="#REF!"/>
    <n v="10"/>
    <s v="Valorisables"/>
    <x v="9"/>
    <n v="63.050000000000011"/>
    <n v="39.950000000000003"/>
    <n v="23.100000000000009"/>
    <n v="0.95850622406639008"/>
    <s v="100% gros cartons"/>
  </r>
  <r>
    <d v="2021-11-17T00:00:00"/>
    <n v="15"/>
    <x v="14"/>
    <x v="8"/>
    <e v="#REF!"/>
    <e v="#REF!"/>
    <n v="11"/>
    <s v="Valorisables"/>
    <x v="10"/>
    <m/>
    <m/>
    <n v="0"/>
    <n v="0"/>
    <m/>
  </r>
  <r>
    <d v="2021-11-17T00:00:00"/>
    <n v="15"/>
    <x v="14"/>
    <x v="8"/>
    <e v="#REF!"/>
    <e v="#REF!"/>
    <n v="12"/>
    <s v="Refus"/>
    <x v="11"/>
    <n v="17.75"/>
    <n v="16.850000000000001"/>
    <n v="0.89999999999999858"/>
    <n v="3.7344398340248892E-2"/>
    <s v="tapisserie + gros sacs de croquettes"/>
  </r>
  <r>
    <d v="2021-11-17T00:00:00"/>
    <n v="16"/>
    <x v="15"/>
    <x v="8"/>
    <n v="23"/>
    <n v="22.7"/>
    <n v="1"/>
    <s v="Valorisables"/>
    <x v="0"/>
    <m/>
    <m/>
    <n v="0"/>
    <n v="0"/>
    <m/>
  </r>
  <r>
    <d v="2021-11-17T00:00:00"/>
    <n v="16"/>
    <x v="15"/>
    <x v="8"/>
    <n v="23"/>
    <n v="-1.3043478260869596E-2"/>
    <n v="2"/>
    <s v="Valorisables"/>
    <x v="1"/>
    <m/>
    <m/>
    <n v="0"/>
    <n v="0"/>
    <m/>
  </r>
  <r>
    <d v="2021-11-17T00:00:00"/>
    <n v="16"/>
    <x v="15"/>
    <x v="8"/>
    <e v="#REF!"/>
    <e v="#REF!"/>
    <n v="3"/>
    <s v="Valorisables"/>
    <x v="2"/>
    <m/>
    <m/>
    <n v="0"/>
    <n v="0"/>
    <m/>
  </r>
  <r>
    <d v="2021-11-17T00:00:00"/>
    <n v="16"/>
    <x v="15"/>
    <x v="8"/>
    <e v="#REF!"/>
    <e v="#REF!"/>
    <n v="4"/>
    <s v="Valorisables"/>
    <x v="3"/>
    <m/>
    <m/>
    <n v="0"/>
    <n v="0"/>
    <m/>
  </r>
  <r>
    <d v="2021-11-17T00:00:00"/>
    <n v="16"/>
    <x v="15"/>
    <x v="8"/>
    <e v="#REF!"/>
    <e v="#REF!"/>
    <n v="5"/>
    <s v="Valorisables"/>
    <x v="4"/>
    <m/>
    <m/>
    <n v="0"/>
    <n v="0"/>
    <m/>
  </r>
  <r>
    <d v="2021-11-17T00:00:00"/>
    <n v="16"/>
    <x v="15"/>
    <x v="8"/>
    <e v="#REF!"/>
    <e v="#REF!"/>
    <n v="6"/>
    <s v="Valorisables"/>
    <x v="5"/>
    <m/>
    <m/>
    <n v="0"/>
    <n v="0"/>
    <m/>
  </r>
  <r>
    <d v="2021-11-17T00:00:00"/>
    <n v="16"/>
    <x v="15"/>
    <x v="8"/>
    <e v="#REF!"/>
    <e v="#REF!"/>
    <n v="7"/>
    <s v="Valorisables"/>
    <x v="6"/>
    <m/>
    <m/>
    <n v="0"/>
    <n v="0"/>
    <m/>
  </r>
  <r>
    <d v="2021-11-17T00:00:00"/>
    <n v="16"/>
    <x v="15"/>
    <x v="8"/>
    <e v="#REF!"/>
    <e v="#REF!"/>
    <n v="8"/>
    <s v="Valorisables"/>
    <x v="7"/>
    <n v="8.8000000000000007"/>
    <n v="8.5500000000000007"/>
    <n v="0.25"/>
    <n v="1.1013215859030838E-2"/>
    <m/>
  </r>
  <r>
    <d v="2021-11-17T00:00:00"/>
    <n v="16"/>
    <x v="15"/>
    <x v="8"/>
    <e v="#REF!"/>
    <e v="#REF!"/>
    <n v="9"/>
    <s v="Valorisables"/>
    <x v="8"/>
    <m/>
    <m/>
    <n v="0"/>
    <n v="0"/>
    <m/>
  </r>
  <r>
    <d v="2021-11-17T00:00:00"/>
    <n v="16"/>
    <x v="15"/>
    <x v="8"/>
    <e v="#REF!"/>
    <e v="#REF!"/>
    <n v="10"/>
    <s v="Valorisables"/>
    <x v="9"/>
    <n v="53.7"/>
    <n v="31.650000000000002"/>
    <n v="22.05"/>
    <n v="0.97136563876651993"/>
    <m/>
  </r>
  <r>
    <d v="2021-11-17T00:00:00"/>
    <n v="16"/>
    <x v="15"/>
    <x v="8"/>
    <e v="#REF!"/>
    <e v="#REF!"/>
    <n v="11"/>
    <s v="Valorisables"/>
    <x v="10"/>
    <m/>
    <m/>
    <n v="0"/>
    <n v="0"/>
    <m/>
  </r>
  <r>
    <d v="2021-11-17T00:00:00"/>
    <n v="16"/>
    <x v="15"/>
    <x v="8"/>
    <e v="#REF!"/>
    <e v="#REF!"/>
    <n v="12"/>
    <s v="Refus"/>
    <x v="11"/>
    <n v="8.9499999999999993"/>
    <n v="8.5500000000000007"/>
    <n v="0.39999999999999858"/>
    <n v="1.7621145374449278E-2"/>
    <m/>
  </r>
  <r>
    <d v="2021-11-17T00:00:00"/>
    <n v="17"/>
    <x v="16"/>
    <x v="9"/>
    <n v="21"/>
    <n v="20.899999999999991"/>
    <n v="1"/>
    <s v="Valorisables"/>
    <x v="0"/>
    <m/>
    <m/>
    <n v="0"/>
    <n v="0"/>
    <m/>
  </r>
  <r>
    <d v="2021-11-17T00:00:00"/>
    <n v="17"/>
    <x v="16"/>
    <x v="9"/>
    <n v="21"/>
    <n v="-4.7619047619051683E-3"/>
    <n v="2"/>
    <s v="Valorisables"/>
    <x v="1"/>
    <n v="0.75"/>
    <n v="0.55000000000000004"/>
    <n v="0.19999999999999996"/>
    <n v="9.5693779904306234E-3"/>
    <m/>
  </r>
  <r>
    <d v="2021-11-17T00:00:00"/>
    <n v="17"/>
    <x v="16"/>
    <x v="9"/>
    <e v="#REF!"/>
    <e v="#REF!"/>
    <n v="3"/>
    <s v="Valorisables"/>
    <x v="2"/>
    <n v="0.8"/>
    <n v="0.5"/>
    <n v="0.30000000000000004"/>
    <n v="1.435406698564594E-2"/>
    <m/>
  </r>
  <r>
    <d v="2021-11-17T00:00:00"/>
    <n v="17"/>
    <x v="16"/>
    <x v="9"/>
    <e v="#REF!"/>
    <e v="#REF!"/>
    <n v="4"/>
    <s v="Valorisables"/>
    <x v="3"/>
    <n v="52.349999999999994"/>
    <n v="33.6"/>
    <n v="18.749999999999993"/>
    <n v="0.89712918660287089"/>
    <m/>
  </r>
  <r>
    <d v="2021-11-17T00:00:00"/>
    <n v="17"/>
    <x v="16"/>
    <x v="9"/>
    <e v="#REF!"/>
    <e v="#REF!"/>
    <n v="5"/>
    <s v="Valorisables"/>
    <x v="4"/>
    <n v="0.6"/>
    <n v="0.55000000000000004"/>
    <n v="4.9999999999999933E-2"/>
    <n v="2.3923444976076532E-3"/>
    <m/>
  </r>
  <r>
    <d v="2021-11-17T00:00:00"/>
    <n v="17"/>
    <x v="16"/>
    <x v="9"/>
    <e v="#REF!"/>
    <e v="#REF!"/>
    <n v="6"/>
    <s v="Valorisables"/>
    <x v="5"/>
    <m/>
    <m/>
    <n v="0"/>
    <n v="0"/>
    <m/>
  </r>
  <r>
    <d v="2021-11-17T00:00:00"/>
    <n v="17"/>
    <x v="16"/>
    <x v="9"/>
    <e v="#REF!"/>
    <e v="#REF!"/>
    <n v="7"/>
    <s v="Valorisables"/>
    <x v="6"/>
    <m/>
    <m/>
    <n v="0"/>
    <n v="0"/>
    <m/>
  </r>
  <r>
    <d v="2021-11-17T00:00:00"/>
    <n v="17"/>
    <x v="16"/>
    <x v="9"/>
    <e v="#REF!"/>
    <e v="#REF!"/>
    <n v="8"/>
    <s v="Valorisables"/>
    <x v="7"/>
    <n v="9.25"/>
    <n v="8.5500000000000007"/>
    <n v="0.69999999999999929"/>
    <n v="3.3492822966507158E-2"/>
    <m/>
  </r>
  <r>
    <d v="2021-11-17T00:00:00"/>
    <n v="17"/>
    <x v="16"/>
    <x v="9"/>
    <e v="#REF!"/>
    <e v="#REF!"/>
    <n v="9"/>
    <s v="Valorisables"/>
    <x v="8"/>
    <m/>
    <m/>
    <n v="0"/>
    <n v="0"/>
    <m/>
  </r>
  <r>
    <d v="2021-11-17T00:00:00"/>
    <n v="17"/>
    <x v="16"/>
    <x v="9"/>
    <e v="#REF!"/>
    <e v="#REF!"/>
    <n v="10"/>
    <s v="Valorisables"/>
    <x v="9"/>
    <n v="9.0500000000000007"/>
    <n v="8.5500000000000007"/>
    <n v="0.5"/>
    <n v="2.3923444976076565E-2"/>
    <m/>
  </r>
  <r>
    <d v="2021-11-17T00:00:00"/>
    <n v="17"/>
    <x v="16"/>
    <x v="9"/>
    <e v="#REF!"/>
    <e v="#REF!"/>
    <n v="11"/>
    <s v="Valorisables"/>
    <x v="10"/>
    <m/>
    <m/>
    <n v="0"/>
    <n v="0"/>
    <m/>
  </r>
  <r>
    <d v="2021-11-17T00:00:00"/>
    <n v="17"/>
    <x v="16"/>
    <x v="9"/>
    <e v="#REF!"/>
    <e v="#REF!"/>
    <n v="12"/>
    <s v="Refus"/>
    <x v="11"/>
    <n v="17.5"/>
    <n v="17.100000000000001"/>
    <n v="0.39999999999999858"/>
    <n v="1.9138755980861184E-2"/>
    <m/>
  </r>
  <r>
    <d v="2021-11-17T00:00:00"/>
    <n v="18"/>
    <x v="17"/>
    <x v="9"/>
    <n v="30.8"/>
    <n v="30.449999999999989"/>
    <n v="1"/>
    <s v="Valorisables"/>
    <x v="0"/>
    <m/>
    <m/>
    <n v="0"/>
    <n v="0"/>
    <m/>
  </r>
  <r>
    <d v="2021-11-17T00:00:00"/>
    <n v="18"/>
    <x v="17"/>
    <x v="9"/>
    <n v="30.8"/>
    <n v="-1.1363636363636756E-2"/>
    <n v="2"/>
    <s v="Valorisables"/>
    <x v="1"/>
    <n v="1.35"/>
    <n v="0.55000000000000004"/>
    <n v="0.8"/>
    <n v="2.6272577996715937E-2"/>
    <m/>
  </r>
  <r>
    <d v="2021-11-17T00:00:00"/>
    <n v="18"/>
    <x v="17"/>
    <x v="9"/>
    <e v="#REF!"/>
    <e v="#REF!"/>
    <n v="3"/>
    <s v="Valorisables"/>
    <x v="2"/>
    <n v="1.1499999999999999"/>
    <n v="0.55000000000000004"/>
    <n v="0.59999999999999987"/>
    <n v="1.970443349753695E-2"/>
    <m/>
  </r>
  <r>
    <d v="2021-11-17T00:00:00"/>
    <n v="18"/>
    <x v="17"/>
    <x v="9"/>
    <e v="#REF!"/>
    <e v="#REF!"/>
    <n v="4"/>
    <s v="Valorisables"/>
    <x v="3"/>
    <n v="67.400000000000006"/>
    <n v="41.900000000000006"/>
    <n v="25.5"/>
    <n v="0.83743842364532051"/>
    <m/>
  </r>
  <r>
    <d v="2021-11-17T00:00:00"/>
    <n v="18"/>
    <x v="17"/>
    <x v="9"/>
    <e v="#REF!"/>
    <e v="#REF!"/>
    <n v="5"/>
    <s v="Valorisables"/>
    <x v="4"/>
    <n v="0.55000000000000004"/>
    <n v="0.5"/>
    <n v="5.0000000000000044E-2"/>
    <n v="1.6420361247947476E-3"/>
    <m/>
  </r>
  <r>
    <d v="2021-11-17T00:00:00"/>
    <n v="18"/>
    <x v="17"/>
    <x v="9"/>
    <e v="#REF!"/>
    <e v="#REF!"/>
    <n v="6"/>
    <s v="Valorisables"/>
    <x v="5"/>
    <m/>
    <m/>
    <n v="0"/>
    <n v="0"/>
    <m/>
  </r>
  <r>
    <d v="2021-11-17T00:00:00"/>
    <n v="18"/>
    <x v="17"/>
    <x v="9"/>
    <e v="#REF!"/>
    <e v="#REF!"/>
    <n v="7"/>
    <s v="Valorisables"/>
    <x v="6"/>
    <m/>
    <m/>
    <n v="0"/>
    <n v="0"/>
    <m/>
  </r>
  <r>
    <d v="2021-11-17T00:00:00"/>
    <n v="18"/>
    <x v="17"/>
    <x v="9"/>
    <e v="#REF!"/>
    <e v="#REF!"/>
    <n v="8"/>
    <s v="Valorisables"/>
    <x v="7"/>
    <n v="9.5499999999999989"/>
    <n v="9.0500000000000007"/>
    <n v="0.49999999999999822"/>
    <n v="1.6420361247947404E-2"/>
    <m/>
  </r>
  <r>
    <d v="2021-11-17T00:00:00"/>
    <n v="18"/>
    <x v="17"/>
    <x v="9"/>
    <e v="#REF!"/>
    <e v="#REF!"/>
    <n v="9"/>
    <s v="Valorisables"/>
    <x v="8"/>
    <m/>
    <m/>
    <n v="0"/>
    <n v="0"/>
    <m/>
  </r>
  <r>
    <d v="2021-11-17T00:00:00"/>
    <n v="18"/>
    <x v="17"/>
    <x v="9"/>
    <e v="#REF!"/>
    <e v="#REF!"/>
    <n v="10"/>
    <s v="Valorisables"/>
    <x v="9"/>
    <n v="9.6"/>
    <n v="8.5500000000000007"/>
    <n v="1.0499999999999989"/>
    <n v="3.4482758620689634E-2"/>
    <m/>
  </r>
  <r>
    <d v="2021-11-17T00:00:00"/>
    <n v="18"/>
    <x v="17"/>
    <x v="9"/>
    <e v="#REF!"/>
    <e v="#REF!"/>
    <n v="11"/>
    <s v="Valorisables"/>
    <x v="10"/>
    <n v="0.7"/>
    <n v="0.55000000000000004"/>
    <n v="0.14999999999999991"/>
    <n v="4.9261083743842356E-3"/>
    <m/>
  </r>
  <r>
    <d v="2021-11-17T00:00:00"/>
    <n v="18"/>
    <x v="17"/>
    <x v="9"/>
    <e v="#REF!"/>
    <e v="#REF!"/>
    <n v="12"/>
    <s v="Refus"/>
    <x v="11"/>
    <n v="18.899999999999999"/>
    <n v="17.100000000000001"/>
    <n v="1.7999999999999972"/>
    <n v="5.9113300492610765E-2"/>
    <m/>
  </r>
  <r>
    <d v="2021-11-17T00:00:00"/>
    <n v="19"/>
    <x v="18"/>
    <x v="9"/>
    <n v="29.8"/>
    <n v="30.899999999999981"/>
    <n v="1"/>
    <s v="Valorisables"/>
    <x v="0"/>
    <m/>
    <m/>
    <n v="0"/>
    <n v="0"/>
    <m/>
  </r>
  <r>
    <d v="2021-11-17T00:00:00"/>
    <n v="19"/>
    <x v="18"/>
    <x v="9"/>
    <n v="29.8"/>
    <n v="3.6912751677851678E-2"/>
    <n v="2"/>
    <s v="Valorisables"/>
    <x v="1"/>
    <n v="0.85"/>
    <n v="0.55000000000000004"/>
    <n v="0.29999999999999993"/>
    <n v="9.7087378640776743E-3"/>
    <m/>
  </r>
  <r>
    <d v="2021-11-17T00:00:00"/>
    <n v="19"/>
    <x v="18"/>
    <x v="9"/>
    <e v="#REF!"/>
    <e v="#REF!"/>
    <n v="3"/>
    <s v="Valorisables"/>
    <x v="2"/>
    <n v="1.3"/>
    <n v="0.55000000000000004"/>
    <n v="0.75"/>
    <n v="2.4271844660194188E-2"/>
    <m/>
  </r>
  <r>
    <d v="2021-11-17T00:00:00"/>
    <n v="19"/>
    <x v="18"/>
    <x v="9"/>
    <e v="#REF!"/>
    <e v="#REF!"/>
    <n v="4"/>
    <s v="Valorisables"/>
    <x v="3"/>
    <n v="75.799999999999983"/>
    <n v="50.7"/>
    <n v="25.09999999999998"/>
    <n v="0.81229773462783161"/>
    <m/>
  </r>
  <r>
    <d v="2021-11-17T00:00:00"/>
    <n v="19"/>
    <x v="18"/>
    <x v="9"/>
    <e v="#REF!"/>
    <e v="#REF!"/>
    <n v="5"/>
    <s v="Valorisables"/>
    <x v="4"/>
    <m/>
    <m/>
    <n v="0"/>
    <n v="0"/>
    <m/>
  </r>
  <r>
    <d v="2021-11-17T00:00:00"/>
    <n v="19"/>
    <x v="18"/>
    <x v="9"/>
    <e v="#REF!"/>
    <e v="#REF!"/>
    <n v="6"/>
    <s v="Valorisables"/>
    <x v="5"/>
    <m/>
    <m/>
    <n v="0"/>
    <n v="0"/>
    <m/>
  </r>
  <r>
    <d v="2021-11-17T00:00:00"/>
    <n v="19"/>
    <x v="18"/>
    <x v="9"/>
    <e v="#REF!"/>
    <e v="#REF!"/>
    <n v="7"/>
    <s v="Valorisables"/>
    <x v="6"/>
    <m/>
    <m/>
    <n v="0"/>
    <n v="0"/>
    <m/>
  </r>
  <r>
    <d v="2021-11-17T00:00:00"/>
    <n v="19"/>
    <x v="18"/>
    <x v="9"/>
    <e v="#REF!"/>
    <e v="#REF!"/>
    <n v="8"/>
    <s v="Valorisables"/>
    <x v="7"/>
    <n v="9.1999999999999993"/>
    <n v="8.5500000000000007"/>
    <n v="0.64999999999999858"/>
    <n v="2.1035598705501587E-2"/>
    <m/>
  </r>
  <r>
    <d v="2021-11-17T00:00:00"/>
    <n v="19"/>
    <x v="18"/>
    <x v="9"/>
    <e v="#REF!"/>
    <e v="#REF!"/>
    <n v="9"/>
    <s v="Valorisables"/>
    <x v="8"/>
    <m/>
    <m/>
    <n v="0"/>
    <n v="0"/>
    <m/>
  </r>
  <r>
    <d v="2021-11-17T00:00:00"/>
    <n v="19"/>
    <x v="18"/>
    <x v="9"/>
    <e v="#REF!"/>
    <e v="#REF!"/>
    <n v="10"/>
    <s v="Valorisables"/>
    <x v="9"/>
    <n v="19.600000000000001"/>
    <n v="16.850000000000001"/>
    <n v="2.75"/>
    <n v="8.899676375404536E-2"/>
    <s v="beaucoup de gobelets carton"/>
  </r>
  <r>
    <d v="2021-11-17T00:00:00"/>
    <n v="19"/>
    <x v="18"/>
    <x v="9"/>
    <e v="#REF!"/>
    <e v="#REF!"/>
    <n v="11"/>
    <s v="Valorisables"/>
    <x v="10"/>
    <n v="0.65"/>
    <n v="0.55000000000000004"/>
    <n v="9.9999999999999978E-2"/>
    <n v="3.2362459546925581E-3"/>
    <m/>
  </r>
  <r>
    <d v="2021-11-17T00:00:00"/>
    <n v="19"/>
    <x v="18"/>
    <x v="9"/>
    <e v="#REF!"/>
    <e v="#REF!"/>
    <n v="12"/>
    <s v="Refus"/>
    <x v="11"/>
    <n v="18.05"/>
    <n v="16.8"/>
    <n v="1.25"/>
    <n v="4.0453074433656984E-2"/>
    <m/>
  </r>
  <r>
    <d v="2021-11-17T00:00:00"/>
    <n v="20"/>
    <x v="19"/>
    <x v="10"/>
    <n v="27.7"/>
    <n v="28.449999999999982"/>
    <n v="1"/>
    <s v="Valorisables"/>
    <x v="0"/>
    <n v="1.05"/>
    <n v="0.55000000000000004"/>
    <n v="0.5"/>
    <n v="1.7574692442882262E-2"/>
    <m/>
  </r>
  <r>
    <d v="2021-11-17T00:00:00"/>
    <n v="20"/>
    <x v="19"/>
    <x v="10"/>
    <n v="27.7"/>
    <n v="2.7075812274367589E-2"/>
    <n v="2"/>
    <s v="Valorisables"/>
    <x v="1"/>
    <n v="17.95"/>
    <n v="16.8"/>
    <n v="1.1499999999999986"/>
    <n v="4.0421792618629153E-2"/>
    <m/>
  </r>
  <r>
    <d v="2021-11-17T00:00:00"/>
    <n v="20"/>
    <x v="19"/>
    <x v="10"/>
    <e v="#REF!"/>
    <e v="#REF!"/>
    <n v="3"/>
    <s v="Valorisables"/>
    <x v="2"/>
    <n v="58.54999999999999"/>
    <n v="42.150000000000006"/>
    <n v="16.399999999999984"/>
    <n v="0.57644991212653762"/>
    <m/>
  </r>
  <r>
    <d v="2021-11-17T00:00:00"/>
    <n v="20"/>
    <x v="19"/>
    <x v="10"/>
    <e v="#REF!"/>
    <e v="#REF!"/>
    <n v="4"/>
    <s v="Valorisables"/>
    <x v="3"/>
    <n v="3.05"/>
    <n v="1.1000000000000001"/>
    <n v="1.9499999999999997"/>
    <n v="6.8541300527240806E-2"/>
    <s v="beaucoup d'ELA"/>
  </r>
  <r>
    <d v="2021-11-17T00:00:00"/>
    <n v="20"/>
    <x v="19"/>
    <x v="10"/>
    <e v="#REF!"/>
    <e v="#REF!"/>
    <n v="5"/>
    <s v="Valorisables"/>
    <x v="4"/>
    <n v="0.65"/>
    <n v="0.5"/>
    <n v="0.15000000000000002"/>
    <n v="5.2724077328646793E-3"/>
    <m/>
  </r>
  <r>
    <d v="2021-11-17T00:00:00"/>
    <n v="20"/>
    <x v="19"/>
    <x v="10"/>
    <e v="#REF!"/>
    <e v="#REF!"/>
    <n v="6"/>
    <s v="Valorisables"/>
    <x v="5"/>
    <m/>
    <m/>
    <n v="0"/>
    <n v="0"/>
    <m/>
  </r>
  <r>
    <d v="2021-11-17T00:00:00"/>
    <n v="20"/>
    <x v="19"/>
    <x v="10"/>
    <e v="#REF!"/>
    <e v="#REF!"/>
    <n v="7"/>
    <s v="Valorisables"/>
    <x v="6"/>
    <n v="0.7"/>
    <n v="0.55000000000000004"/>
    <n v="0.14999999999999991"/>
    <n v="5.272407732864675E-3"/>
    <m/>
  </r>
  <r>
    <d v="2021-11-17T00:00:00"/>
    <n v="20"/>
    <x v="19"/>
    <x v="10"/>
    <e v="#REF!"/>
    <e v="#REF!"/>
    <n v="8"/>
    <s v="Valorisables"/>
    <x v="7"/>
    <n v="9.35"/>
    <n v="8.5500000000000007"/>
    <n v="0.79999999999999893"/>
    <n v="2.811950790861158E-2"/>
    <m/>
  </r>
  <r>
    <d v="2021-11-17T00:00:00"/>
    <n v="20"/>
    <x v="19"/>
    <x v="10"/>
    <e v="#REF!"/>
    <e v="#REF!"/>
    <n v="9"/>
    <s v="Valorisables"/>
    <x v="8"/>
    <m/>
    <m/>
    <n v="0"/>
    <n v="0"/>
    <m/>
  </r>
  <r>
    <d v="2021-11-17T00:00:00"/>
    <n v="20"/>
    <x v="19"/>
    <x v="10"/>
    <e v="#REF!"/>
    <e v="#REF!"/>
    <n v="10"/>
    <s v="Valorisables"/>
    <x v="9"/>
    <n v="19.75"/>
    <n v="17.05"/>
    <n v="2.6999999999999993"/>
    <n v="9.4903339191564184E-2"/>
    <m/>
  </r>
  <r>
    <d v="2021-11-17T00:00:00"/>
    <n v="20"/>
    <x v="19"/>
    <x v="10"/>
    <e v="#REF!"/>
    <e v="#REF!"/>
    <n v="11"/>
    <s v="Valorisables"/>
    <x v="10"/>
    <n v="0.9"/>
    <n v="0.55000000000000004"/>
    <n v="0.35"/>
    <n v="1.2302284710017581E-2"/>
    <m/>
  </r>
  <r>
    <d v="2021-11-17T00:00:00"/>
    <n v="20"/>
    <x v="19"/>
    <x v="10"/>
    <e v="#REF!"/>
    <e v="#REF!"/>
    <n v="12"/>
    <s v="Refus"/>
    <x v="11"/>
    <n v="21.1"/>
    <n v="16.8"/>
    <n v="4.3000000000000007"/>
    <n v="0.15114235500878748"/>
    <s v="films plastiques non valorisables"/>
  </r>
  <r>
    <d v="2021-11-17T00:00:00"/>
    <n v="21"/>
    <x v="20"/>
    <x v="10"/>
    <n v="28.6"/>
    <n v="28.549999999999994"/>
    <n v="1"/>
    <s v="Valorisables"/>
    <x v="0"/>
    <n v="0.75"/>
    <n v="0.55000000000000004"/>
    <n v="0.19999999999999996"/>
    <n v="7.0052539404553416E-3"/>
    <m/>
  </r>
  <r>
    <d v="2021-11-17T00:00:00"/>
    <n v="21"/>
    <x v="20"/>
    <x v="10"/>
    <n v="28.6"/>
    <n v="-1.7482517482520215E-3"/>
    <n v="2"/>
    <s v="Valorisables"/>
    <x v="1"/>
    <n v="8.9"/>
    <n v="8.25"/>
    <n v="0.65000000000000036"/>
    <n v="2.2767075306479877E-2"/>
    <m/>
  </r>
  <r>
    <d v="2021-11-17T00:00:00"/>
    <n v="21"/>
    <x v="20"/>
    <x v="10"/>
    <e v="#REF!"/>
    <e v="#REF!"/>
    <n v="3"/>
    <s v="Valorisables"/>
    <x v="2"/>
    <n v="82.85"/>
    <n v="59.3"/>
    <n v="23.549999999999997"/>
    <n v="0.82486865148861654"/>
    <m/>
  </r>
  <r>
    <d v="2021-11-17T00:00:00"/>
    <n v="21"/>
    <x v="20"/>
    <x v="10"/>
    <e v="#REF!"/>
    <e v="#REF!"/>
    <n v="4"/>
    <s v="Valorisables"/>
    <x v="3"/>
    <n v="0.95"/>
    <n v="0.55000000000000004"/>
    <n v="0.39999999999999991"/>
    <n v="1.4010507880910683E-2"/>
    <m/>
  </r>
  <r>
    <d v="2021-11-17T00:00:00"/>
    <n v="21"/>
    <x v="20"/>
    <x v="10"/>
    <e v="#REF!"/>
    <e v="#REF!"/>
    <n v="5"/>
    <s v="Valorisables"/>
    <x v="4"/>
    <n v="0.7"/>
    <n v="0.55000000000000004"/>
    <n v="0.14999999999999991"/>
    <n v="5.2539404553415044E-3"/>
    <m/>
  </r>
  <r>
    <d v="2021-11-17T00:00:00"/>
    <n v="21"/>
    <x v="20"/>
    <x v="10"/>
    <e v="#REF!"/>
    <e v="#REF!"/>
    <n v="6"/>
    <s v="Valorisables"/>
    <x v="5"/>
    <m/>
    <m/>
    <n v="0"/>
    <n v="0"/>
    <m/>
  </r>
  <r>
    <d v="2021-11-17T00:00:00"/>
    <n v="21"/>
    <x v="20"/>
    <x v="10"/>
    <e v="#REF!"/>
    <e v="#REF!"/>
    <n v="7"/>
    <s v="Valorisables"/>
    <x v="6"/>
    <m/>
    <m/>
    <n v="0"/>
    <n v="0"/>
    <m/>
  </r>
  <r>
    <d v="2021-11-17T00:00:00"/>
    <n v="21"/>
    <x v="20"/>
    <x v="10"/>
    <e v="#REF!"/>
    <e v="#REF!"/>
    <n v="8"/>
    <s v="Valorisables"/>
    <x v="7"/>
    <n v="0.8"/>
    <n v="0.55000000000000004"/>
    <n v="0.25"/>
    <n v="8.7565674255691787E-3"/>
    <s v="cahiers sans couverture"/>
  </r>
  <r>
    <d v="2021-11-17T00:00:00"/>
    <n v="21"/>
    <x v="20"/>
    <x v="10"/>
    <e v="#REF!"/>
    <e v="#REF!"/>
    <n v="9"/>
    <s v="Valorisables"/>
    <x v="8"/>
    <m/>
    <m/>
    <n v="0"/>
    <n v="0"/>
    <m/>
  </r>
  <r>
    <d v="2021-11-17T00:00:00"/>
    <n v="21"/>
    <x v="20"/>
    <x v="10"/>
    <e v="#REF!"/>
    <e v="#REF!"/>
    <n v="10"/>
    <s v="Valorisables"/>
    <x v="9"/>
    <n v="9.25"/>
    <n v="8.5"/>
    <n v="0.75"/>
    <n v="2.6269702276707538E-2"/>
    <m/>
  </r>
  <r>
    <d v="2021-11-17T00:00:00"/>
    <n v="21"/>
    <x v="20"/>
    <x v="10"/>
    <e v="#REF!"/>
    <e v="#REF!"/>
    <n v="11"/>
    <s v="Valorisables"/>
    <x v="10"/>
    <m/>
    <m/>
    <n v="0"/>
    <n v="0"/>
    <m/>
  </r>
  <r>
    <d v="2021-11-17T00:00:00"/>
    <n v="21"/>
    <x v="20"/>
    <x v="10"/>
    <e v="#REF!"/>
    <e v="#REF!"/>
    <n v="12"/>
    <s v="Refus"/>
    <x v="11"/>
    <n v="19.7"/>
    <n v="17.100000000000001"/>
    <n v="2.5999999999999979"/>
    <n v="9.1068301225919385E-2"/>
    <s v="classeur avec fiches plastiques, films plastiques non valo…"/>
  </r>
  <r>
    <d v="2021-11-17T00:00:00"/>
    <n v="22"/>
    <x v="21"/>
    <x v="10"/>
    <n v="22.2"/>
    <n v="22.749999999999993"/>
    <n v="1"/>
    <s v="Valorisables"/>
    <x v="0"/>
    <n v="0.55000000000000004"/>
    <n v="0.5"/>
    <n v="5.0000000000000044E-2"/>
    <n v="2.1978021978022004E-3"/>
    <m/>
  </r>
  <r>
    <d v="2021-11-17T00:00:00"/>
    <n v="22"/>
    <x v="21"/>
    <x v="10"/>
    <n v="22.2"/>
    <n v="2.4774774774774487E-2"/>
    <n v="2"/>
    <s v="Valorisables"/>
    <x v="1"/>
    <n v="17.200000000000003"/>
    <n v="16.8"/>
    <n v="0.40000000000000213"/>
    <n v="1.7582417582417683E-2"/>
    <m/>
  </r>
  <r>
    <d v="2021-11-17T00:00:00"/>
    <n v="22"/>
    <x v="21"/>
    <x v="10"/>
    <e v="#REF!"/>
    <e v="#REF!"/>
    <n v="3"/>
    <s v="Valorisables"/>
    <x v="2"/>
    <n v="61.5"/>
    <n v="42.400000000000006"/>
    <n v="19.099999999999994"/>
    <n v="0.83956043956043958"/>
    <m/>
  </r>
  <r>
    <d v="2021-11-17T00:00:00"/>
    <n v="22"/>
    <x v="21"/>
    <x v="10"/>
    <e v="#REF!"/>
    <e v="#REF!"/>
    <n v="4"/>
    <s v="Valorisables"/>
    <x v="3"/>
    <n v="0.8"/>
    <n v="0.55000000000000004"/>
    <n v="0.25"/>
    <n v="1.0989010989010992E-2"/>
    <m/>
  </r>
  <r>
    <d v="2021-11-17T00:00:00"/>
    <n v="22"/>
    <x v="21"/>
    <x v="10"/>
    <e v="#REF!"/>
    <e v="#REF!"/>
    <n v="5"/>
    <s v="Valorisables"/>
    <x v="4"/>
    <n v="0.6"/>
    <n v="0.55000000000000004"/>
    <n v="4.9999999999999933E-2"/>
    <n v="2.1978021978021956E-3"/>
    <m/>
  </r>
  <r>
    <d v="2021-11-17T00:00:00"/>
    <n v="22"/>
    <x v="21"/>
    <x v="10"/>
    <e v="#REF!"/>
    <e v="#REF!"/>
    <n v="6"/>
    <s v="Valorisables"/>
    <x v="5"/>
    <m/>
    <m/>
    <n v="0"/>
    <n v="0"/>
    <m/>
  </r>
  <r>
    <d v="2021-11-17T00:00:00"/>
    <n v="22"/>
    <x v="21"/>
    <x v="10"/>
    <e v="#REF!"/>
    <e v="#REF!"/>
    <n v="7"/>
    <s v="Valorisables"/>
    <x v="6"/>
    <m/>
    <m/>
    <n v="0"/>
    <n v="0"/>
    <m/>
  </r>
  <r>
    <d v="2021-11-17T00:00:00"/>
    <n v="22"/>
    <x v="21"/>
    <x v="10"/>
    <e v="#REF!"/>
    <e v="#REF!"/>
    <n v="8"/>
    <s v="Valorisables"/>
    <x v="7"/>
    <n v="0.6"/>
    <n v="0.55000000000000004"/>
    <n v="4.9999999999999933E-2"/>
    <n v="2.1978021978021956E-3"/>
    <m/>
  </r>
  <r>
    <d v="2021-11-17T00:00:00"/>
    <n v="22"/>
    <x v="21"/>
    <x v="10"/>
    <e v="#REF!"/>
    <e v="#REF!"/>
    <n v="9"/>
    <s v="Valorisables"/>
    <x v="8"/>
    <m/>
    <m/>
    <n v="0"/>
    <n v="0"/>
    <m/>
  </r>
  <r>
    <d v="2021-11-17T00:00:00"/>
    <n v="22"/>
    <x v="21"/>
    <x v="10"/>
    <e v="#REF!"/>
    <e v="#REF!"/>
    <n v="10"/>
    <s v="Valorisables"/>
    <x v="9"/>
    <n v="17.649999999999999"/>
    <n v="16.850000000000001"/>
    <n v="0.79999999999999716"/>
    <n v="3.5164835164835054E-2"/>
    <m/>
  </r>
  <r>
    <d v="2021-11-17T00:00:00"/>
    <n v="22"/>
    <x v="21"/>
    <x v="10"/>
    <e v="#REF!"/>
    <e v="#REF!"/>
    <n v="11"/>
    <s v="Valorisables"/>
    <x v="10"/>
    <m/>
    <m/>
    <n v="0"/>
    <n v="0"/>
    <m/>
  </r>
  <r>
    <d v="2021-11-17T00:00:00"/>
    <n v="22"/>
    <x v="21"/>
    <x v="10"/>
    <e v="#REF!"/>
    <e v="#REF!"/>
    <n v="12"/>
    <s v="Refus"/>
    <x v="11"/>
    <n v="19.149999999999999"/>
    <n v="17.100000000000001"/>
    <n v="2.0499999999999972"/>
    <n v="9.0109890109890012E-2"/>
    <m/>
  </r>
  <r>
    <d v="2021-11-17T00:00:00"/>
    <n v="23"/>
    <x v="22"/>
    <x v="11"/>
    <n v="22.400000000000002"/>
    <n v="22.699999999999989"/>
    <n v="1"/>
    <s v="Valorisables"/>
    <x v="0"/>
    <n v="21.45"/>
    <n v="16.8"/>
    <n v="4.6499999999999986"/>
    <n v="0.20484581497797361"/>
    <m/>
  </r>
  <r>
    <d v="2021-11-17T00:00:00"/>
    <n v="23"/>
    <x v="22"/>
    <x v="11"/>
    <n v="22.400000000000002"/>
    <n v="1.3392857142856538E-2"/>
    <n v="2"/>
    <s v="Valorisables"/>
    <x v="1"/>
    <n v="47.9"/>
    <n v="33.650000000000006"/>
    <n v="14.249999999999993"/>
    <n v="0.6277533039647577"/>
    <m/>
  </r>
  <r>
    <d v="2021-11-17T00:00:00"/>
    <n v="23"/>
    <x v="22"/>
    <x v="11"/>
    <e v="#REF!"/>
    <e v="#REF!"/>
    <n v="3"/>
    <s v="Valorisables"/>
    <x v="2"/>
    <n v="18.25"/>
    <n v="17.100000000000001"/>
    <n v="1.1499999999999986"/>
    <n v="5.0660792951541814E-2"/>
    <m/>
  </r>
  <r>
    <d v="2021-11-17T00:00:00"/>
    <n v="23"/>
    <x v="22"/>
    <x v="11"/>
    <e v="#REF!"/>
    <e v="#REF!"/>
    <n v="4"/>
    <s v="Valorisables"/>
    <x v="3"/>
    <m/>
    <m/>
    <n v="0"/>
    <n v="0"/>
    <m/>
  </r>
  <r>
    <d v="2021-11-17T00:00:00"/>
    <n v="23"/>
    <x v="22"/>
    <x v="11"/>
    <e v="#REF!"/>
    <e v="#REF!"/>
    <n v="5"/>
    <s v="Valorisables"/>
    <x v="4"/>
    <n v="0.7"/>
    <n v="0.5"/>
    <n v="0.19999999999999996"/>
    <n v="8.8105726872246722E-3"/>
    <m/>
  </r>
  <r>
    <d v="2021-11-17T00:00:00"/>
    <n v="23"/>
    <x v="22"/>
    <x v="11"/>
    <e v="#REF!"/>
    <e v="#REF!"/>
    <n v="6"/>
    <s v="Valorisables"/>
    <x v="5"/>
    <m/>
    <m/>
    <n v="0"/>
    <n v="0"/>
    <m/>
  </r>
  <r>
    <d v="2021-11-17T00:00:00"/>
    <n v="23"/>
    <x v="22"/>
    <x v="11"/>
    <e v="#REF!"/>
    <e v="#REF!"/>
    <n v="7"/>
    <s v="Valorisables"/>
    <x v="6"/>
    <m/>
    <m/>
    <n v="0"/>
    <n v="0"/>
    <m/>
  </r>
  <r>
    <d v="2021-11-17T00:00:00"/>
    <n v="23"/>
    <x v="22"/>
    <x v="11"/>
    <e v="#REF!"/>
    <e v="#REF!"/>
    <n v="8"/>
    <s v="Valorisables"/>
    <x v="7"/>
    <n v="0.95"/>
    <n v="0.55000000000000004"/>
    <n v="0.39999999999999991"/>
    <n v="1.7621145374449344E-2"/>
    <m/>
  </r>
  <r>
    <d v="2021-11-17T00:00:00"/>
    <n v="23"/>
    <x v="22"/>
    <x v="11"/>
    <e v="#REF!"/>
    <e v="#REF!"/>
    <n v="9"/>
    <s v="Valorisables"/>
    <x v="8"/>
    <m/>
    <m/>
    <n v="0"/>
    <n v="0"/>
    <m/>
  </r>
  <r>
    <d v="2021-11-17T00:00:00"/>
    <n v="23"/>
    <x v="22"/>
    <x v="11"/>
    <e v="#REF!"/>
    <e v="#REF!"/>
    <n v="10"/>
    <s v="Valorisables"/>
    <x v="9"/>
    <n v="0.8"/>
    <n v="0.55000000000000004"/>
    <n v="0.25"/>
    <n v="1.1013215859030843E-2"/>
    <m/>
  </r>
  <r>
    <d v="2021-11-17T00:00:00"/>
    <n v="23"/>
    <x v="22"/>
    <x v="11"/>
    <e v="#REF!"/>
    <e v="#REF!"/>
    <n v="11"/>
    <s v="Valorisables"/>
    <x v="10"/>
    <n v="0.55000000000000004"/>
    <n v="0.5"/>
    <n v="5.0000000000000044E-2"/>
    <n v="2.2026431718061706E-3"/>
    <m/>
  </r>
  <r>
    <d v="2021-11-17T00:00:00"/>
    <n v="23"/>
    <x v="22"/>
    <x v="11"/>
    <e v="#REF!"/>
    <e v="#REF!"/>
    <n v="12"/>
    <s v="Refus"/>
    <x v="11"/>
    <n v="18.8"/>
    <n v="17.05"/>
    <n v="1.75"/>
    <n v="7.7092511013215903E-2"/>
    <s v="polystyrène, films non valos, sacs croquette"/>
  </r>
  <r>
    <d v="2021-11-17T00:00:00"/>
    <n v="24"/>
    <x v="23"/>
    <x v="11"/>
    <n v="21.2"/>
    <n v="20.999999999999993"/>
    <n v="1"/>
    <s v="Valorisables"/>
    <x v="0"/>
    <n v="20.700000000000003"/>
    <n v="17"/>
    <n v="3.7000000000000028"/>
    <n v="0.1761904761904764"/>
    <m/>
  </r>
  <r>
    <d v="2021-11-17T00:00:00"/>
    <n v="24"/>
    <x v="23"/>
    <x v="11"/>
    <n v="21.2"/>
    <n v="-9.4339622641512449E-3"/>
    <n v="2"/>
    <s v="Valorisables"/>
    <x v="1"/>
    <n v="45.5"/>
    <n v="33.400000000000006"/>
    <n v="12.099999999999994"/>
    <n v="0.57619047619047614"/>
    <m/>
  </r>
  <r>
    <d v="2021-11-17T00:00:00"/>
    <n v="24"/>
    <x v="23"/>
    <x v="11"/>
    <e v="#REF!"/>
    <e v="#REF!"/>
    <n v="3"/>
    <s v="Valorisables"/>
    <x v="2"/>
    <n v="8.8000000000000007"/>
    <n v="8.5500000000000007"/>
    <n v="0.25"/>
    <n v="1.1904761904761909E-2"/>
    <m/>
  </r>
  <r>
    <d v="2021-11-17T00:00:00"/>
    <n v="24"/>
    <x v="23"/>
    <x v="11"/>
    <e v="#REF!"/>
    <e v="#REF!"/>
    <n v="4"/>
    <s v="Valorisables"/>
    <x v="3"/>
    <n v="0.75"/>
    <n v="0.5"/>
    <n v="0.25"/>
    <n v="1.1904761904761909E-2"/>
    <m/>
  </r>
  <r>
    <d v="2021-11-17T00:00:00"/>
    <n v="24"/>
    <x v="23"/>
    <x v="11"/>
    <e v="#REF!"/>
    <e v="#REF!"/>
    <n v="5"/>
    <s v="Valorisables"/>
    <x v="4"/>
    <n v="1.6"/>
    <n v="1.1000000000000001"/>
    <n v="0.5"/>
    <n v="2.3809523809523819E-2"/>
    <m/>
  </r>
  <r>
    <d v="2021-11-17T00:00:00"/>
    <n v="24"/>
    <x v="23"/>
    <x v="11"/>
    <e v="#REF!"/>
    <e v="#REF!"/>
    <n v="6"/>
    <s v="Valorisables"/>
    <x v="5"/>
    <m/>
    <m/>
    <n v="0"/>
    <n v="0"/>
    <m/>
  </r>
  <r>
    <d v="2021-11-17T00:00:00"/>
    <n v="24"/>
    <x v="23"/>
    <x v="11"/>
    <e v="#REF!"/>
    <e v="#REF!"/>
    <n v="7"/>
    <s v="Valorisables"/>
    <x v="6"/>
    <m/>
    <m/>
    <n v="0"/>
    <n v="0"/>
    <m/>
  </r>
  <r>
    <d v="2021-11-17T00:00:00"/>
    <n v="24"/>
    <x v="23"/>
    <x v="11"/>
    <e v="#REF!"/>
    <e v="#REF!"/>
    <n v="8"/>
    <s v="Valorisables"/>
    <x v="7"/>
    <n v="1.85"/>
    <n v="1.1000000000000001"/>
    <n v="0.75"/>
    <n v="3.5714285714285726E-2"/>
    <m/>
  </r>
  <r>
    <d v="2021-11-17T00:00:00"/>
    <n v="24"/>
    <x v="23"/>
    <x v="11"/>
    <e v="#REF!"/>
    <e v="#REF!"/>
    <n v="9"/>
    <s v="Valorisables"/>
    <x v="8"/>
    <m/>
    <m/>
    <n v="0"/>
    <n v="0"/>
    <m/>
  </r>
  <r>
    <d v="2021-11-17T00:00:00"/>
    <n v="24"/>
    <x v="23"/>
    <x v="11"/>
    <e v="#REF!"/>
    <e v="#REF!"/>
    <n v="10"/>
    <s v="Valorisables"/>
    <x v="9"/>
    <n v="1.75"/>
    <n v="1.05"/>
    <n v="0.7"/>
    <n v="3.333333333333334E-2"/>
    <m/>
  </r>
  <r>
    <d v="2021-11-17T00:00:00"/>
    <n v="24"/>
    <x v="23"/>
    <x v="11"/>
    <e v="#REF!"/>
    <e v="#REF!"/>
    <n v="11"/>
    <s v="Valorisables"/>
    <x v="10"/>
    <n v="0.7"/>
    <n v="0.55000000000000004"/>
    <n v="0.14999999999999991"/>
    <n v="7.1428571428571409E-3"/>
    <m/>
  </r>
  <r>
    <d v="2021-11-17T00:00:00"/>
    <n v="24"/>
    <x v="23"/>
    <x v="11"/>
    <e v="#REF!"/>
    <e v="#REF!"/>
    <n v="12"/>
    <s v="Refus"/>
    <x v="11"/>
    <n v="19.649999999999999"/>
    <n v="17.05"/>
    <n v="2.5999999999999979"/>
    <n v="0.12380952380952374"/>
    <m/>
  </r>
  <r>
    <d v="2021-11-18T00:00:00"/>
    <n v="25"/>
    <x v="24"/>
    <x v="11"/>
    <n v="22.8"/>
    <n v="23.599999999999998"/>
    <n v="1"/>
    <s v="Valorisables"/>
    <x v="0"/>
    <n v="23.6"/>
    <n v="17.05"/>
    <n v="6.5500000000000007"/>
    <n v="0.27754237288135597"/>
    <m/>
  </r>
  <r>
    <d v="2021-11-18T00:00:00"/>
    <n v="25"/>
    <x v="24"/>
    <x v="11"/>
    <n v="22.8"/>
    <n v="3.5087719298245487E-2"/>
    <n v="2"/>
    <s v="Valorisables"/>
    <x v="1"/>
    <n v="46.95"/>
    <n v="33.650000000000006"/>
    <n v="13.299999999999997"/>
    <n v="0.56355932203389825"/>
    <m/>
  </r>
  <r>
    <d v="2021-11-18T00:00:00"/>
    <n v="25"/>
    <x v="24"/>
    <x v="11"/>
    <e v="#REF!"/>
    <e v="#REF!"/>
    <n v="3"/>
    <s v="Valorisables"/>
    <x v="2"/>
    <n v="17.649999999999999"/>
    <n v="17.05"/>
    <n v="0.59999999999999787"/>
    <n v="2.5423728813559233E-2"/>
    <m/>
  </r>
  <r>
    <d v="2021-11-18T00:00:00"/>
    <n v="25"/>
    <x v="24"/>
    <x v="11"/>
    <e v="#REF!"/>
    <e v="#REF!"/>
    <n v="4"/>
    <s v="Valorisables"/>
    <x v="3"/>
    <n v="0.8"/>
    <n v="0.55000000000000004"/>
    <n v="0.25"/>
    <n v="1.0593220338983052E-2"/>
    <m/>
  </r>
  <r>
    <d v="2021-11-18T00:00:00"/>
    <n v="25"/>
    <x v="24"/>
    <x v="11"/>
    <e v="#REF!"/>
    <e v="#REF!"/>
    <n v="5"/>
    <s v="Valorisables"/>
    <x v="4"/>
    <n v="1.05"/>
    <n v="0.5"/>
    <n v="0.55000000000000004"/>
    <n v="2.3305084745762716E-2"/>
    <m/>
  </r>
  <r>
    <d v="2021-11-18T00:00:00"/>
    <n v="25"/>
    <x v="24"/>
    <x v="11"/>
    <e v="#REF!"/>
    <e v="#REF!"/>
    <n v="6"/>
    <s v="Valorisables"/>
    <x v="5"/>
    <m/>
    <m/>
    <n v="0"/>
    <n v="0"/>
    <m/>
  </r>
  <r>
    <d v="2021-11-18T00:00:00"/>
    <n v="25"/>
    <x v="24"/>
    <x v="11"/>
    <e v="#REF!"/>
    <e v="#REF!"/>
    <n v="7"/>
    <s v="Valorisables"/>
    <x v="6"/>
    <m/>
    <m/>
    <n v="0"/>
    <n v="0"/>
    <m/>
  </r>
  <r>
    <d v="2021-11-18T00:00:00"/>
    <n v="25"/>
    <x v="24"/>
    <x v="11"/>
    <e v="#REF!"/>
    <e v="#REF!"/>
    <n v="8"/>
    <s v="Valorisables"/>
    <x v="7"/>
    <n v="0.85"/>
    <n v="0.55000000000000004"/>
    <n v="0.29999999999999993"/>
    <n v="1.271186440677966E-2"/>
    <m/>
  </r>
  <r>
    <d v="2021-11-18T00:00:00"/>
    <n v="25"/>
    <x v="24"/>
    <x v="11"/>
    <e v="#REF!"/>
    <e v="#REF!"/>
    <n v="9"/>
    <s v="Valorisables"/>
    <x v="8"/>
    <m/>
    <m/>
    <n v="0"/>
    <n v="0"/>
    <m/>
  </r>
  <r>
    <d v="2021-11-18T00:00:00"/>
    <n v="25"/>
    <x v="24"/>
    <x v="11"/>
    <e v="#REF!"/>
    <e v="#REF!"/>
    <n v="10"/>
    <s v="Valorisables"/>
    <x v="9"/>
    <n v="1.1000000000000001"/>
    <n v="0.55000000000000004"/>
    <n v="0.55000000000000004"/>
    <n v="2.3305084745762716E-2"/>
    <m/>
  </r>
  <r>
    <d v="2021-11-18T00:00:00"/>
    <n v="25"/>
    <x v="24"/>
    <x v="11"/>
    <e v="#REF!"/>
    <e v="#REF!"/>
    <n v="11"/>
    <s v="Valorisables"/>
    <x v="10"/>
    <n v="0.75"/>
    <n v="0.5"/>
    <n v="0.25"/>
    <n v="1.0593220338983052E-2"/>
    <m/>
  </r>
  <r>
    <d v="2021-11-18T00:00:00"/>
    <n v="25"/>
    <x v="24"/>
    <x v="11"/>
    <e v="#REF!"/>
    <e v="#REF!"/>
    <n v="12"/>
    <s v="Refus"/>
    <x v="11"/>
    <n v="18.05"/>
    <n v="16.8"/>
    <n v="1.25"/>
    <n v="5.2966101694915259E-2"/>
    <m/>
  </r>
  <r>
    <d v="2021-11-18T00:00:00"/>
    <n v="26"/>
    <x v="25"/>
    <x v="12"/>
    <n v="8.2000000000000011"/>
    <n v="10.499999999999998"/>
    <n v="1"/>
    <s v="Valorisables"/>
    <x v="0"/>
    <m/>
    <m/>
    <n v="0"/>
    <n v="0"/>
    <m/>
  </r>
  <r>
    <d v="2021-11-18T00:00:00"/>
    <n v="26"/>
    <x v="25"/>
    <x v="12"/>
    <n v="8.2000000000000011"/>
    <n v="0.28048780487804842"/>
    <n v="2"/>
    <s v="Valorisables"/>
    <x v="1"/>
    <n v="17.899999999999999"/>
    <n v="16.850000000000001"/>
    <n v="1.0499999999999972"/>
    <n v="9.9999999999999742E-2"/>
    <m/>
  </r>
  <r>
    <d v="2021-11-18T00:00:00"/>
    <n v="26"/>
    <x v="25"/>
    <x v="12"/>
    <e v="#REF!"/>
    <e v="#REF!"/>
    <n v="3"/>
    <s v="Valorisables"/>
    <x v="2"/>
    <n v="0.75"/>
    <n v="0.6"/>
    <n v="0.15000000000000002"/>
    <n v="1.428571428571429E-2"/>
    <m/>
  </r>
  <r>
    <d v="2021-11-18T00:00:00"/>
    <n v="26"/>
    <x v="25"/>
    <x v="12"/>
    <e v="#REF!"/>
    <e v="#REF!"/>
    <n v="4"/>
    <s v="Valorisables"/>
    <x v="3"/>
    <m/>
    <m/>
    <n v="0"/>
    <n v="0"/>
    <m/>
  </r>
  <r>
    <d v="2021-11-18T00:00:00"/>
    <n v="26"/>
    <x v="25"/>
    <x v="12"/>
    <e v="#REF!"/>
    <e v="#REF!"/>
    <n v="5"/>
    <s v="Valorisables"/>
    <x v="4"/>
    <n v="0.7"/>
    <n v="0.5"/>
    <n v="0.19999999999999996"/>
    <n v="1.9047619047619046E-2"/>
    <m/>
  </r>
  <r>
    <d v="2021-11-18T00:00:00"/>
    <n v="26"/>
    <x v="25"/>
    <x v="12"/>
    <e v="#REF!"/>
    <e v="#REF!"/>
    <n v="6"/>
    <s v="Valorisables"/>
    <x v="5"/>
    <m/>
    <m/>
    <n v="0"/>
    <n v="0"/>
    <m/>
  </r>
  <r>
    <d v="2021-11-18T00:00:00"/>
    <n v="26"/>
    <x v="25"/>
    <x v="12"/>
    <e v="#REF!"/>
    <e v="#REF!"/>
    <n v="7"/>
    <s v="Valorisables"/>
    <x v="6"/>
    <m/>
    <m/>
    <n v="0"/>
    <n v="0"/>
    <m/>
  </r>
  <r>
    <d v="2021-11-18T00:00:00"/>
    <n v="26"/>
    <x v="25"/>
    <x v="12"/>
    <e v="#REF!"/>
    <e v="#REF!"/>
    <n v="8"/>
    <s v="Valorisables"/>
    <x v="7"/>
    <n v="0.8"/>
    <n v="0.55000000000000004"/>
    <n v="0.25"/>
    <n v="2.3809523809523815E-2"/>
    <m/>
  </r>
  <r>
    <d v="2021-11-18T00:00:00"/>
    <n v="26"/>
    <x v="25"/>
    <x v="12"/>
    <e v="#REF!"/>
    <e v="#REF!"/>
    <n v="9"/>
    <s v="Valorisables"/>
    <x v="8"/>
    <m/>
    <m/>
    <n v="0"/>
    <n v="0"/>
    <m/>
  </r>
  <r>
    <d v="2021-11-18T00:00:00"/>
    <n v="26"/>
    <x v="25"/>
    <x v="12"/>
    <e v="#REF!"/>
    <e v="#REF!"/>
    <n v="10"/>
    <s v="Valorisables"/>
    <x v="9"/>
    <n v="0.8"/>
    <n v="0.5"/>
    <n v="0.30000000000000004"/>
    <n v="2.8571428571428581E-2"/>
    <m/>
  </r>
  <r>
    <d v="2021-11-18T00:00:00"/>
    <n v="26"/>
    <x v="25"/>
    <x v="12"/>
    <e v="#REF!"/>
    <e v="#REF!"/>
    <n v="11"/>
    <s v="Valorisables"/>
    <x v="10"/>
    <n v="40.650000000000006"/>
    <n v="33.650000000000006"/>
    <n v="7"/>
    <n v="0.66666666666666674"/>
    <m/>
  </r>
  <r>
    <d v="2021-11-18T00:00:00"/>
    <n v="26"/>
    <x v="25"/>
    <x v="12"/>
    <e v="#REF!"/>
    <e v="#REF!"/>
    <n v="12"/>
    <s v="Refus"/>
    <x v="11"/>
    <n v="18.600000000000001"/>
    <n v="17.05"/>
    <n v="1.5500000000000007"/>
    <n v="0.14761904761904771"/>
    <m/>
  </r>
  <r>
    <d v="2021-11-18T00:00:00"/>
    <n v="27"/>
    <x v="26"/>
    <x v="12"/>
    <n v="9.6000000000000014"/>
    <n v="10.599999999999984"/>
    <n v="1"/>
    <s v="Valorisables"/>
    <x v="0"/>
    <m/>
    <m/>
    <n v="0"/>
    <n v="0"/>
    <m/>
  </r>
  <r>
    <d v="2021-11-18T00:00:00"/>
    <n v="27"/>
    <x v="26"/>
    <x v="12"/>
    <n v="9.6000000000000014"/>
    <n v="0.1041666666666648"/>
    <n v="2"/>
    <s v="Valorisables"/>
    <x v="1"/>
    <n v="9.1999999999999993"/>
    <n v="8.8500000000000014"/>
    <n v="0.34999999999999787"/>
    <n v="3.3018867924528149E-2"/>
    <m/>
  </r>
  <r>
    <d v="2021-11-18T00:00:00"/>
    <n v="27"/>
    <x v="26"/>
    <x v="12"/>
    <e v="#REF!"/>
    <e v="#REF!"/>
    <n v="3"/>
    <s v="Valorisables"/>
    <x v="2"/>
    <m/>
    <m/>
    <n v="0"/>
    <n v="0"/>
    <m/>
  </r>
  <r>
    <d v="2021-11-18T00:00:00"/>
    <n v="27"/>
    <x v="26"/>
    <x v="12"/>
    <e v="#REF!"/>
    <e v="#REF!"/>
    <n v="4"/>
    <s v="Valorisables"/>
    <x v="3"/>
    <n v="0.55000000000000004"/>
    <n v="0.5"/>
    <n v="5.0000000000000044E-2"/>
    <n v="4.7169811320754828E-3"/>
    <m/>
  </r>
  <r>
    <d v="2021-11-18T00:00:00"/>
    <n v="27"/>
    <x v="26"/>
    <x v="12"/>
    <e v="#REF!"/>
    <e v="#REF!"/>
    <n v="5"/>
    <s v="Valorisables"/>
    <x v="4"/>
    <n v="0.55000000000000004"/>
    <n v="0.5"/>
    <n v="5.0000000000000044E-2"/>
    <n v="4.7169811320754828E-3"/>
    <m/>
  </r>
  <r>
    <d v="2021-11-18T00:00:00"/>
    <n v="27"/>
    <x v="26"/>
    <x v="12"/>
    <e v="#REF!"/>
    <e v="#REF!"/>
    <n v="6"/>
    <s v="Valorisables"/>
    <x v="5"/>
    <m/>
    <m/>
    <n v="0"/>
    <n v="0"/>
    <m/>
  </r>
  <r>
    <d v="2021-11-18T00:00:00"/>
    <n v="27"/>
    <x v="26"/>
    <x v="12"/>
    <e v="#REF!"/>
    <e v="#REF!"/>
    <n v="7"/>
    <s v="Valorisables"/>
    <x v="6"/>
    <m/>
    <m/>
    <n v="0"/>
    <n v="0"/>
    <m/>
  </r>
  <r>
    <d v="2021-11-18T00:00:00"/>
    <n v="27"/>
    <x v="26"/>
    <x v="12"/>
    <e v="#REF!"/>
    <e v="#REF!"/>
    <n v="8"/>
    <s v="Valorisables"/>
    <x v="7"/>
    <n v="0.65"/>
    <n v="0.55000000000000004"/>
    <n v="9.9999999999999978E-2"/>
    <n v="9.4339622641509552E-3"/>
    <m/>
  </r>
  <r>
    <d v="2021-11-18T00:00:00"/>
    <n v="27"/>
    <x v="26"/>
    <x v="12"/>
    <e v="#REF!"/>
    <e v="#REF!"/>
    <n v="9"/>
    <s v="Valorisables"/>
    <x v="8"/>
    <m/>
    <m/>
    <n v="0"/>
    <n v="0"/>
    <m/>
  </r>
  <r>
    <d v="2021-11-18T00:00:00"/>
    <n v="27"/>
    <x v="26"/>
    <x v="12"/>
    <e v="#REF!"/>
    <e v="#REF!"/>
    <n v="10"/>
    <s v="Valorisables"/>
    <x v="9"/>
    <n v="0.55000000000000004"/>
    <n v="0.5"/>
    <n v="5.0000000000000044E-2"/>
    <n v="4.7169811320754828E-3"/>
    <m/>
  </r>
  <r>
    <d v="2021-11-18T00:00:00"/>
    <n v="27"/>
    <x v="26"/>
    <x v="12"/>
    <e v="#REF!"/>
    <e v="#REF!"/>
    <n v="11"/>
    <s v="Valorisables"/>
    <x v="10"/>
    <n v="42.349999999999994"/>
    <n v="33.650000000000006"/>
    <n v="8.6999999999999886"/>
    <n v="0.82075471698113223"/>
    <m/>
  </r>
  <r>
    <d v="2021-11-18T00:00:00"/>
    <n v="27"/>
    <x v="26"/>
    <x v="12"/>
    <e v="#REF!"/>
    <e v="#REF!"/>
    <n v="12"/>
    <s v="Refus"/>
    <x v="11"/>
    <n v="18.399999999999999"/>
    <n v="17.100000000000001"/>
    <n v="1.2999999999999972"/>
    <n v="0.12264150943396218"/>
    <m/>
  </r>
  <r>
    <d v="2021-11-18T00:00:00"/>
    <n v="28"/>
    <x v="27"/>
    <x v="12"/>
    <n v="11.4"/>
    <n v="11.850000000000007"/>
    <n v="1"/>
    <s v="Valorisables"/>
    <x v="0"/>
    <n v="0.1"/>
    <n v="0"/>
    <n v="0.1"/>
    <n v="8.4388185654008397E-3"/>
    <m/>
  </r>
  <r>
    <d v="2021-11-18T00:00:00"/>
    <n v="28"/>
    <x v="27"/>
    <x v="12"/>
    <n v="11.4"/>
    <n v="3.9473684210526876E-2"/>
    <n v="2"/>
    <s v="Valorisables"/>
    <x v="1"/>
    <n v="9.4"/>
    <n v="9.0500000000000007"/>
    <n v="0.34999999999999964"/>
    <n v="2.9535864978902905E-2"/>
    <m/>
  </r>
  <r>
    <d v="2021-11-18T00:00:00"/>
    <n v="28"/>
    <x v="27"/>
    <x v="12"/>
    <e v="#REF!"/>
    <e v="#REF!"/>
    <n v="3"/>
    <s v="Valorisables"/>
    <x v="2"/>
    <m/>
    <m/>
    <n v="0"/>
    <n v="0"/>
    <m/>
  </r>
  <r>
    <d v="2021-11-18T00:00:00"/>
    <n v="28"/>
    <x v="27"/>
    <x v="12"/>
    <e v="#REF!"/>
    <e v="#REF!"/>
    <n v="4"/>
    <s v="Valorisables"/>
    <x v="3"/>
    <m/>
    <m/>
    <n v="0"/>
    <n v="0"/>
    <m/>
  </r>
  <r>
    <d v="2021-11-18T00:00:00"/>
    <n v="28"/>
    <x v="27"/>
    <x v="12"/>
    <e v="#REF!"/>
    <e v="#REF!"/>
    <n v="5"/>
    <s v="Valorisables"/>
    <x v="4"/>
    <n v="0.6"/>
    <n v="0.5"/>
    <n v="9.9999999999999978E-2"/>
    <n v="8.438818565400838E-3"/>
    <m/>
  </r>
  <r>
    <d v="2021-11-18T00:00:00"/>
    <n v="28"/>
    <x v="27"/>
    <x v="12"/>
    <e v="#REF!"/>
    <e v="#REF!"/>
    <n v="6"/>
    <s v="Valorisables"/>
    <x v="5"/>
    <m/>
    <m/>
    <n v="0"/>
    <n v="0"/>
    <m/>
  </r>
  <r>
    <d v="2021-11-18T00:00:00"/>
    <n v="28"/>
    <x v="27"/>
    <x v="12"/>
    <e v="#REF!"/>
    <e v="#REF!"/>
    <n v="7"/>
    <s v="Valorisables"/>
    <x v="6"/>
    <m/>
    <m/>
    <n v="0"/>
    <n v="0"/>
    <m/>
  </r>
  <r>
    <d v="2021-11-18T00:00:00"/>
    <n v="28"/>
    <x v="27"/>
    <x v="12"/>
    <e v="#REF!"/>
    <e v="#REF!"/>
    <n v="8"/>
    <s v="Valorisables"/>
    <x v="7"/>
    <m/>
    <m/>
    <n v="0"/>
    <n v="0"/>
    <m/>
  </r>
  <r>
    <d v="2021-11-18T00:00:00"/>
    <n v="28"/>
    <x v="27"/>
    <x v="12"/>
    <e v="#REF!"/>
    <e v="#REF!"/>
    <n v="9"/>
    <s v="Valorisables"/>
    <x v="8"/>
    <m/>
    <m/>
    <n v="0"/>
    <n v="0"/>
    <m/>
  </r>
  <r>
    <d v="2021-11-18T00:00:00"/>
    <n v="28"/>
    <x v="27"/>
    <x v="12"/>
    <e v="#REF!"/>
    <e v="#REF!"/>
    <n v="10"/>
    <s v="Valorisables"/>
    <x v="9"/>
    <n v="0.6"/>
    <n v="0.55000000000000004"/>
    <n v="4.9999999999999933E-2"/>
    <n v="4.2194092827004138E-3"/>
    <m/>
  </r>
  <r>
    <d v="2021-11-18T00:00:00"/>
    <n v="28"/>
    <x v="27"/>
    <x v="12"/>
    <e v="#REF!"/>
    <e v="#REF!"/>
    <n v="11"/>
    <s v="Valorisables"/>
    <x v="10"/>
    <n v="43.750000000000007"/>
    <n v="33.549999999999997"/>
    <n v="10.20000000000001"/>
    <n v="0.86075949367088644"/>
    <m/>
  </r>
  <r>
    <d v="2021-11-18T00:00:00"/>
    <n v="28"/>
    <x v="27"/>
    <x v="12"/>
    <e v="#REF!"/>
    <e v="#REF!"/>
    <n v="12"/>
    <s v="Refus"/>
    <x v="11"/>
    <n v="17.899999999999999"/>
    <n v="16.850000000000001"/>
    <n v="1.0499999999999972"/>
    <n v="8.860759493670857E-2"/>
    <m/>
  </r>
  <r>
    <d v="2021-11-18T00:00:00"/>
    <n v="29"/>
    <x v="28"/>
    <x v="4"/>
    <n v="19.2"/>
    <n v="19.250000000000004"/>
    <n v="1"/>
    <s v="Valorisables"/>
    <x v="0"/>
    <n v="67.849999999999994"/>
    <n v="50.649999999999991"/>
    <n v="17.200000000000003"/>
    <n v="0.89350649350649347"/>
    <m/>
  </r>
  <r>
    <d v="2021-11-18T00:00:00"/>
    <n v="29"/>
    <x v="28"/>
    <x v="4"/>
    <n v="19.2"/>
    <n v="2.604166666666889E-3"/>
    <n v="2"/>
    <s v="Valorisables"/>
    <x v="1"/>
    <n v="18.700000000000003"/>
    <n v="16.8"/>
    <n v="1.9000000000000021"/>
    <n v="9.870129870129879E-2"/>
    <s v="barquettes PET (beaucoup) et quelques bouteilles PET couleur"/>
  </r>
  <r>
    <d v="2021-11-18T00:00:00"/>
    <n v="29"/>
    <x v="28"/>
    <x v="4"/>
    <e v="#REF!"/>
    <e v="#REF!"/>
    <n v="3"/>
    <s v="Valorisables"/>
    <x v="2"/>
    <m/>
    <m/>
    <n v="0"/>
    <n v="0"/>
    <m/>
  </r>
  <r>
    <d v="2021-11-18T00:00:00"/>
    <n v="29"/>
    <x v="28"/>
    <x v="4"/>
    <e v="#REF!"/>
    <e v="#REF!"/>
    <n v="4"/>
    <s v="Valorisables"/>
    <x v="3"/>
    <m/>
    <m/>
    <n v="0"/>
    <n v="0"/>
    <m/>
  </r>
  <r>
    <d v="2021-11-18T00:00:00"/>
    <n v="29"/>
    <x v="28"/>
    <x v="4"/>
    <e v="#REF!"/>
    <e v="#REF!"/>
    <n v="5"/>
    <s v="Valorisables"/>
    <x v="4"/>
    <m/>
    <m/>
    <n v="0"/>
    <n v="0"/>
    <m/>
  </r>
  <r>
    <d v="2021-11-18T00:00:00"/>
    <n v="29"/>
    <x v="28"/>
    <x v="4"/>
    <e v="#REF!"/>
    <e v="#REF!"/>
    <n v="6"/>
    <s v="Valorisables"/>
    <x v="5"/>
    <m/>
    <m/>
    <n v="0"/>
    <n v="0"/>
    <m/>
  </r>
  <r>
    <d v="2021-11-18T00:00:00"/>
    <n v="29"/>
    <x v="28"/>
    <x v="4"/>
    <e v="#REF!"/>
    <e v="#REF!"/>
    <n v="7"/>
    <s v="Valorisables"/>
    <x v="6"/>
    <m/>
    <m/>
    <n v="0"/>
    <n v="0"/>
    <m/>
  </r>
  <r>
    <d v="2021-11-18T00:00:00"/>
    <n v="29"/>
    <x v="28"/>
    <x v="4"/>
    <e v="#REF!"/>
    <e v="#REF!"/>
    <n v="8"/>
    <s v="Valorisables"/>
    <x v="7"/>
    <m/>
    <m/>
    <n v="0"/>
    <n v="0"/>
    <m/>
  </r>
  <r>
    <d v="2021-11-18T00:00:00"/>
    <n v="29"/>
    <x v="28"/>
    <x v="4"/>
    <e v="#REF!"/>
    <e v="#REF!"/>
    <n v="9"/>
    <s v="Valorisables"/>
    <x v="8"/>
    <m/>
    <m/>
    <n v="0"/>
    <n v="0"/>
    <m/>
  </r>
  <r>
    <d v="2021-11-18T00:00:00"/>
    <n v="29"/>
    <x v="28"/>
    <x v="4"/>
    <e v="#REF!"/>
    <e v="#REF!"/>
    <n v="10"/>
    <s v="Valorisables"/>
    <x v="9"/>
    <m/>
    <m/>
    <n v="0"/>
    <n v="0"/>
    <m/>
  </r>
  <r>
    <d v="2021-11-18T00:00:00"/>
    <n v="29"/>
    <x v="28"/>
    <x v="4"/>
    <e v="#REF!"/>
    <e v="#REF!"/>
    <n v="11"/>
    <s v="Valorisables"/>
    <x v="10"/>
    <m/>
    <m/>
    <n v="0"/>
    <n v="0"/>
    <m/>
  </r>
  <r>
    <d v="2021-11-18T00:00:00"/>
    <n v="29"/>
    <x v="28"/>
    <x v="4"/>
    <e v="#REF!"/>
    <e v="#REF!"/>
    <n v="12"/>
    <s v="Refus"/>
    <x v="11"/>
    <n v="8.6999999999999993"/>
    <n v="8.5500000000000007"/>
    <n v="0.14999999999999858"/>
    <n v="7.7922077922077167E-3"/>
    <m/>
  </r>
  <r>
    <d v="2021-11-18T00:00:00"/>
    <n v="30"/>
    <x v="29"/>
    <x v="4"/>
    <n v="22"/>
    <n v="22.149999999999991"/>
    <n v="1"/>
    <s v="Valorisables"/>
    <x v="0"/>
    <n v="77.55"/>
    <n v="58.7"/>
    <n v="18.849999999999994"/>
    <n v="0.85101580135440191"/>
    <m/>
  </r>
  <r>
    <d v="2021-11-18T00:00:00"/>
    <n v="30"/>
    <x v="29"/>
    <x v="4"/>
    <n v="22"/>
    <n v="6.818181818181431E-3"/>
    <n v="2"/>
    <s v="Valorisables"/>
    <x v="1"/>
    <n v="20.25"/>
    <n v="17.100000000000001"/>
    <n v="3.1499999999999986"/>
    <n v="0.14221218961625282"/>
    <s v="barquettes PET (beaucoup) et quelques bouteilles PET couleur"/>
  </r>
  <r>
    <d v="2021-11-18T00:00:00"/>
    <n v="30"/>
    <x v="29"/>
    <x v="4"/>
    <e v="#REF!"/>
    <e v="#REF!"/>
    <n v="3"/>
    <s v="Valorisables"/>
    <x v="2"/>
    <m/>
    <m/>
    <n v="0"/>
    <n v="0"/>
    <m/>
  </r>
  <r>
    <d v="2021-11-18T00:00:00"/>
    <n v="30"/>
    <x v="29"/>
    <x v="4"/>
    <e v="#REF!"/>
    <e v="#REF!"/>
    <n v="4"/>
    <s v="Valorisables"/>
    <x v="3"/>
    <m/>
    <m/>
    <n v="0"/>
    <n v="0"/>
    <m/>
  </r>
  <r>
    <d v="2021-11-18T00:00:00"/>
    <n v="30"/>
    <x v="29"/>
    <x v="4"/>
    <e v="#REF!"/>
    <e v="#REF!"/>
    <n v="5"/>
    <s v="Valorisables"/>
    <x v="4"/>
    <n v="0.05"/>
    <m/>
    <n v="0.05"/>
    <n v="2.2573363431151253E-3"/>
    <m/>
  </r>
  <r>
    <d v="2021-11-18T00:00:00"/>
    <n v="30"/>
    <x v="29"/>
    <x v="4"/>
    <e v="#REF!"/>
    <e v="#REF!"/>
    <n v="6"/>
    <s v="Valorisables"/>
    <x v="5"/>
    <m/>
    <m/>
    <n v="0"/>
    <n v="0"/>
    <m/>
  </r>
  <r>
    <d v="2021-11-18T00:00:00"/>
    <n v="30"/>
    <x v="29"/>
    <x v="4"/>
    <e v="#REF!"/>
    <e v="#REF!"/>
    <n v="7"/>
    <s v="Valorisables"/>
    <x v="6"/>
    <m/>
    <m/>
    <n v="0"/>
    <n v="0"/>
    <m/>
  </r>
  <r>
    <d v="2021-11-18T00:00:00"/>
    <n v="30"/>
    <x v="29"/>
    <x v="4"/>
    <e v="#REF!"/>
    <e v="#REF!"/>
    <n v="8"/>
    <s v="Valorisables"/>
    <x v="7"/>
    <m/>
    <m/>
    <n v="0"/>
    <n v="0"/>
    <m/>
  </r>
  <r>
    <d v="2021-11-18T00:00:00"/>
    <n v="30"/>
    <x v="29"/>
    <x v="4"/>
    <e v="#REF!"/>
    <e v="#REF!"/>
    <n v="9"/>
    <s v="Valorisables"/>
    <x v="8"/>
    <m/>
    <m/>
    <n v="0"/>
    <n v="0"/>
    <m/>
  </r>
  <r>
    <d v="2021-11-18T00:00:00"/>
    <n v="30"/>
    <x v="29"/>
    <x v="4"/>
    <e v="#REF!"/>
    <e v="#REF!"/>
    <n v="10"/>
    <s v="Valorisables"/>
    <x v="9"/>
    <m/>
    <m/>
    <n v="0"/>
    <n v="0"/>
    <m/>
  </r>
  <r>
    <d v="2021-11-18T00:00:00"/>
    <n v="30"/>
    <x v="29"/>
    <x v="4"/>
    <e v="#REF!"/>
    <e v="#REF!"/>
    <n v="11"/>
    <s v="Valorisables"/>
    <x v="10"/>
    <m/>
    <m/>
    <n v="0"/>
    <n v="0"/>
    <m/>
  </r>
  <r>
    <d v="2021-11-18T00:00:00"/>
    <n v="30"/>
    <x v="29"/>
    <x v="4"/>
    <e v="#REF!"/>
    <e v="#REF!"/>
    <n v="12"/>
    <s v="Refus"/>
    <x v="11"/>
    <n v="8.65"/>
    <n v="8.5500000000000007"/>
    <n v="9.9999999999999645E-2"/>
    <n v="4.5146726862302341E-3"/>
    <m/>
  </r>
  <r>
    <d v="2021-11-18T00:00:00"/>
    <n v="31"/>
    <x v="30"/>
    <x v="8"/>
    <n v="29.2"/>
    <n v="29.149999999999988"/>
    <n v="1"/>
    <s v="Valorisables"/>
    <x v="0"/>
    <m/>
    <m/>
    <n v="0"/>
    <n v="0"/>
    <m/>
  </r>
  <r>
    <d v="2021-11-18T00:00:00"/>
    <n v="31"/>
    <x v="30"/>
    <x v="8"/>
    <n v="29.2"/>
    <n v="-1.712328767123677E-3"/>
    <n v="2"/>
    <s v="Valorisables"/>
    <x v="1"/>
    <m/>
    <m/>
    <n v="0"/>
    <n v="0"/>
    <m/>
  </r>
  <r>
    <d v="2021-11-18T00:00:00"/>
    <n v="31"/>
    <x v="30"/>
    <x v="8"/>
    <e v="#REF!"/>
    <e v="#REF!"/>
    <n v="3"/>
    <s v="Valorisables"/>
    <x v="2"/>
    <m/>
    <m/>
    <n v="0"/>
    <n v="0"/>
    <m/>
  </r>
  <r>
    <d v="2021-11-18T00:00:00"/>
    <n v="31"/>
    <x v="30"/>
    <x v="8"/>
    <e v="#REF!"/>
    <e v="#REF!"/>
    <n v="4"/>
    <s v="Valorisables"/>
    <x v="3"/>
    <m/>
    <m/>
    <n v="0"/>
    <n v="0"/>
    <m/>
  </r>
  <r>
    <d v="2021-11-18T00:00:00"/>
    <n v="31"/>
    <x v="30"/>
    <x v="8"/>
    <e v="#REF!"/>
    <e v="#REF!"/>
    <n v="5"/>
    <s v="Valorisables"/>
    <x v="4"/>
    <m/>
    <m/>
    <n v="0"/>
    <n v="0"/>
    <m/>
  </r>
  <r>
    <d v="2021-11-18T00:00:00"/>
    <n v="31"/>
    <x v="30"/>
    <x v="8"/>
    <e v="#REF!"/>
    <e v="#REF!"/>
    <n v="6"/>
    <s v="Valorisables"/>
    <x v="5"/>
    <m/>
    <m/>
    <n v="0"/>
    <n v="0"/>
    <m/>
  </r>
  <r>
    <d v="2021-11-18T00:00:00"/>
    <n v="31"/>
    <x v="30"/>
    <x v="8"/>
    <e v="#REF!"/>
    <e v="#REF!"/>
    <n v="7"/>
    <s v="Valorisables"/>
    <x v="6"/>
    <m/>
    <m/>
    <n v="0"/>
    <n v="0"/>
    <m/>
  </r>
  <r>
    <d v="2021-11-18T00:00:00"/>
    <n v="31"/>
    <x v="30"/>
    <x v="8"/>
    <e v="#REF!"/>
    <e v="#REF!"/>
    <n v="8"/>
    <s v="Valorisables"/>
    <x v="7"/>
    <n v="0.85"/>
    <n v="0.55000000000000004"/>
    <n v="0.29999999999999993"/>
    <n v="1.0291595197255577E-2"/>
    <m/>
  </r>
  <r>
    <d v="2021-11-18T00:00:00"/>
    <n v="31"/>
    <x v="30"/>
    <x v="8"/>
    <e v="#REF!"/>
    <e v="#REF!"/>
    <n v="9"/>
    <s v="Valorisables"/>
    <x v="8"/>
    <m/>
    <m/>
    <n v="0"/>
    <n v="0"/>
    <m/>
  </r>
  <r>
    <d v="2021-11-18T00:00:00"/>
    <n v="31"/>
    <x v="30"/>
    <x v="8"/>
    <e v="#REF!"/>
    <e v="#REF!"/>
    <n v="10"/>
    <s v="Valorisables"/>
    <x v="9"/>
    <n v="76.349999999999994"/>
    <n v="48.150000000000006"/>
    <n v="28.199999999999989"/>
    <n v="0.967409948542024"/>
    <s v="dont 1,3kg d'EMR autres que grands cartons (sacs papiers, petits EMR…)"/>
  </r>
  <r>
    <d v="2021-11-18T00:00:00"/>
    <n v="31"/>
    <x v="30"/>
    <x v="8"/>
    <e v="#REF!"/>
    <e v="#REF!"/>
    <n v="11"/>
    <s v="Valorisables"/>
    <x v="10"/>
    <m/>
    <m/>
    <n v="0"/>
    <n v="0"/>
    <m/>
  </r>
  <r>
    <d v="2021-11-18T00:00:00"/>
    <n v="31"/>
    <x v="30"/>
    <x v="8"/>
    <e v="#REF!"/>
    <e v="#REF!"/>
    <n v="12"/>
    <s v="Refus"/>
    <x v="11"/>
    <n v="9.1999999999999993"/>
    <n v="8.5500000000000007"/>
    <n v="0.64999999999999858"/>
    <n v="2.2298456260720374E-2"/>
    <s v="drap housse + grands plastiques souples"/>
  </r>
  <r>
    <d v="2021-11-18T00:00:00"/>
    <n v="32"/>
    <x v="31"/>
    <x v="3"/>
    <n v="23.8"/>
    <n v="23.599999999999994"/>
    <n v="1"/>
    <s v="Valorisables"/>
    <x v="0"/>
    <n v="0.15"/>
    <n v="0"/>
    <n v="0.15"/>
    <n v="6.3559322033898318E-3"/>
    <m/>
  </r>
  <r>
    <d v="2021-11-18T00:00:00"/>
    <n v="32"/>
    <x v="31"/>
    <x v="3"/>
    <n v="23.8"/>
    <n v="-8.4033613445380836E-3"/>
    <n v="2"/>
    <s v="Valorisables"/>
    <x v="1"/>
    <n v="19.75"/>
    <n v="16.850000000000001"/>
    <n v="2.8999999999999986"/>
    <n v="0.12288135593220335"/>
    <m/>
  </r>
  <r>
    <d v="2021-11-18T00:00:00"/>
    <n v="32"/>
    <x v="31"/>
    <x v="3"/>
    <e v="#REF!"/>
    <e v="#REF!"/>
    <n v="3"/>
    <s v="Valorisables"/>
    <x v="2"/>
    <n v="0.8"/>
    <n v="0.55000000000000004"/>
    <n v="0.25"/>
    <n v="1.0593220338983054E-2"/>
    <m/>
  </r>
  <r>
    <d v="2021-11-18T00:00:00"/>
    <n v="32"/>
    <x v="31"/>
    <x v="3"/>
    <e v="#REF!"/>
    <e v="#REF!"/>
    <n v="4"/>
    <s v="Valorisables"/>
    <x v="3"/>
    <n v="0.65"/>
    <n v="0.5"/>
    <n v="0.15000000000000002"/>
    <n v="6.3559322033898327E-3"/>
    <m/>
  </r>
  <r>
    <d v="2021-11-18T00:00:00"/>
    <n v="32"/>
    <x v="31"/>
    <x v="3"/>
    <e v="#REF!"/>
    <e v="#REF!"/>
    <n v="5"/>
    <s v="Valorisables"/>
    <x v="4"/>
    <n v="1.1000000000000001"/>
    <n v="0.55000000000000004"/>
    <n v="0.55000000000000004"/>
    <n v="2.3305084745762719E-2"/>
    <m/>
  </r>
  <r>
    <d v="2021-11-18T00:00:00"/>
    <n v="32"/>
    <x v="31"/>
    <x v="3"/>
    <e v="#REF!"/>
    <e v="#REF!"/>
    <n v="6"/>
    <s v="Valorisables"/>
    <x v="5"/>
    <m/>
    <m/>
    <n v="0"/>
    <n v="0"/>
    <m/>
  </r>
  <r>
    <d v="2021-11-18T00:00:00"/>
    <n v="32"/>
    <x v="31"/>
    <x v="3"/>
    <e v="#REF!"/>
    <e v="#REF!"/>
    <n v="7"/>
    <s v="Valorisables"/>
    <x v="6"/>
    <m/>
    <m/>
    <n v="0"/>
    <n v="0"/>
    <m/>
  </r>
  <r>
    <d v="2021-11-18T00:00:00"/>
    <n v="32"/>
    <x v="31"/>
    <x v="3"/>
    <e v="#REF!"/>
    <e v="#REF!"/>
    <n v="8"/>
    <s v="Valorisables"/>
    <x v="7"/>
    <n v="9.8000000000000007"/>
    <n v="8.5500000000000007"/>
    <n v="1.25"/>
    <n v="5.2966101694915266E-2"/>
    <m/>
  </r>
  <r>
    <d v="2021-11-18T00:00:00"/>
    <n v="32"/>
    <x v="31"/>
    <x v="3"/>
    <e v="#REF!"/>
    <e v="#REF!"/>
    <n v="9"/>
    <s v="Valorisables"/>
    <x v="8"/>
    <m/>
    <m/>
    <n v="0"/>
    <n v="0"/>
    <m/>
  </r>
  <r>
    <d v="2021-11-18T00:00:00"/>
    <n v="32"/>
    <x v="31"/>
    <x v="3"/>
    <e v="#REF!"/>
    <e v="#REF!"/>
    <n v="10"/>
    <s v="Valorisables"/>
    <x v="9"/>
    <n v="19.05"/>
    <n v="17.100000000000001"/>
    <n v="1.9499999999999993"/>
    <n v="8.2627118644067785E-2"/>
    <m/>
  </r>
  <r>
    <d v="2021-11-18T00:00:00"/>
    <n v="32"/>
    <x v="31"/>
    <x v="3"/>
    <e v="#REF!"/>
    <e v="#REF!"/>
    <n v="11"/>
    <s v="Valorisables"/>
    <x v="10"/>
    <n v="0.9"/>
    <n v="0.55000000000000004"/>
    <n v="0.35"/>
    <n v="1.4830508474576273E-2"/>
    <m/>
  </r>
  <r>
    <d v="2021-11-18T00:00:00"/>
    <n v="32"/>
    <x v="31"/>
    <x v="3"/>
    <e v="#REF!"/>
    <e v="#REF!"/>
    <n v="12"/>
    <s v="Refus"/>
    <x v="11"/>
    <n v="57.95"/>
    <n v="41.900000000000006"/>
    <n v="16.049999999999997"/>
    <n v="0.68008474576271194"/>
    <m/>
  </r>
  <r>
    <d v="2021-11-18T00:00:00"/>
    <n v="33"/>
    <x v="32"/>
    <x v="3"/>
    <n v="25.6"/>
    <n v="25.54999999999999"/>
    <n v="1"/>
    <s v="Valorisables"/>
    <x v="0"/>
    <n v="0.85"/>
    <n v="0.55000000000000004"/>
    <n v="0.29999999999999993"/>
    <n v="1.174168297455969E-2"/>
    <m/>
  </r>
  <r>
    <d v="2021-11-18T00:00:00"/>
    <n v="33"/>
    <x v="32"/>
    <x v="3"/>
    <n v="25.6"/>
    <n v="-1.9531250000004441E-3"/>
    <n v="2"/>
    <s v="Valorisables"/>
    <x v="1"/>
    <n v="18.8"/>
    <n v="16.850000000000001"/>
    <n v="1.9499999999999993"/>
    <n v="7.6320939334637961E-2"/>
    <m/>
  </r>
  <r>
    <d v="2021-11-18T00:00:00"/>
    <n v="33"/>
    <x v="32"/>
    <x v="3"/>
    <e v="#REF!"/>
    <e v="#REF!"/>
    <n v="3"/>
    <s v="Valorisables"/>
    <x v="2"/>
    <n v="0.95"/>
    <n v="0.55000000000000004"/>
    <n v="0.39999999999999991"/>
    <n v="1.5655577299412918E-2"/>
    <m/>
  </r>
  <r>
    <d v="2021-11-18T00:00:00"/>
    <n v="33"/>
    <x v="32"/>
    <x v="3"/>
    <e v="#REF!"/>
    <e v="#REF!"/>
    <n v="4"/>
    <s v="Valorisables"/>
    <x v="3"/>
    <n v="0.05"/>
    <n v="0"/>
    <n v="0.05"/>
    <n v="1.9569471624266152E-3"/>
    <m/>
  </r>
  <r>
    <d v="2021-11-18T00:00:00"/>
    <n v="33"/>
    <x v="32"/>
    <x v="3"/>
    <e v="#REF!"/>
    <e v="#REF!"/>
    <n v="5"/>
    <s v="Valorisables"/>
    <x v="4"/>
    <n v="0.85"/>
    <n v="0.5"/>
    <n v="0.35"/>
    <n v="1.3698630136986306E-2"/>
    <m/>
  </r>
  <r>
    <d v="2021-11-18T00:00:00"/>
    <n v="33"/>
    <x v="32"/>
    <x v="3"/>
    <e v="#REF!"/>
    <e v="#REF!"/>
    <n v="6"/>
    <s v="Valorisables"/>
    <x v="5"/>
    <m/>
    <m/>
    <n v="0"/>
    <n v="0"/>
    <m/>
  </r>
  <r>
    <d v="2021-11-18T00:00:00"/>
    <n v="33"/>
    <x v="32"/>
    <x v="3"/>
    <e v="#REF!"/>
    <e v="#REF!"/>
    <n v="7"/>
    <s v="Valorisables"/>
    <x v="6"/>
    <m/>
    <m/>
    <n v="0"/>
    <n v="0"/>
    <m/>
  </r>
  <r>
    <d v="2021-11-18T00:00:00"/>
    <n v="33"/>
    <x v="32"/>
    <x v="3"/>
    <e v="#REF!"/>
    <e v="#REF!"/>
    <n v="8"/>
    <s v="Valorisables"/>
    <x v="7"/>
    <n v="2"/>
    <n v="1.05"/>
    <n v="0.95"/>
    <n v="3.7181996086105687E-2"/>
    <m/>
  </r>
  <r>
    <d v="2021-11-18T00:00:00"/>
    <n v="33"/>
    <x v="32"/>
    <x v="3"/>
    <e v="#REF!"/>
    <e v="#REF!"/>
    <n v="9"/>
    <s v="Valorisables"/>
    <x v="8"/>
    <m/>
    <m/>
    <n v="0"/>
    <n v="0"/>
    <m/>
  </r>
  <r>
    <d v="2021-11-18T00:00:00"/>
    <n v="33"/>
    <x v="32"/>
    <x v="3"/>
    <e v="#REF!"/>
    <e v="#REF!"/>
    <n v="10"/>
    <s v="Valorisables"/>
    <x v="9"/>
    <n v="20.55"/>
    <n v="16.8"/>
    <n v="3.75"/>
    <n v="0.14677103718199613"/>
    <m/>
  </r>
  <r>
    <d v="2021-11-18T00:00:00"/>
    <n v="33"/>
    <x v="32"/>
    <x v="3"/>
    <e v="#REF!"/>
    <e v="#REF!"/>
    <n v="11"/>
    <s v="Valorisables"/>
    <x v="10"/>
    <n v="17.45"/>
    <n v="17.05"/>
    <n v="0.39999999999999858"/>
    <n v="1.5655577299412866E-2"/>
    <m/>
  </r>
  <r>
    <d v="2021-11-18T00:00:00"/>
    <n v="33"/>
    <x v="32"/>
    <x v="3"/>
    <e v="#REF!"/>
    <e v="#REF!"/>
    <n v="12"/>
    <s v="Refus"/>
    <x v="11"/>
    <n v="51.05"/>
    <n v="33.650000000000006"/>
    <n v="17.399999999999991"/>
    <n v="0.6810176125244618"/>
    <m/>
  </r>
  <r>
    <d v="2021-11-18T00:00:00"/>
    <n v="34"/>
    <x v="33"/>
    <x v="13"/>
    <n v="48.199999999999996"/>
    <n v="48.150000000000006"/>
    <n v="1"/>
    <s v="Valorisables"/>
    <x v="0"/>
    <n v="0.05"/>
    <n v="0"/>
    <n v="0.05"/>
    <n v="1.0384215991692627E-3"/>
    <m/>
  </r>
  <r>
    <d v="2021-11-18T00:00:00"/>
    <n v="34"/>
    <x v="33"/>
    <x v="13"/>
    <n v="48.199999999999996"/>
    <n v="-1.0373443983400427E-3"/>
    <n v="2"/>
    <s v="Valorisables"/>
    <x v="1"/>
    <n v="0.7"/>
    <n v="0.55000000000000004"/>
    <n v="0.14999999999999991"/>
    <n v="3.1152647975077859E-3"/>
    <m/>
  </r>
  <r>
    <d v="2021-11-18T00:00:00"/>
    <n v="34"/>
    <x v="33"/>
    <x v="13"/>
    <e v="#REF!"/>
    <e v="#REF!"/>
    <n v="3"/>
    <s v="Valorisables"/>
    <x v="2"/>
    <m/>
    <m/>
    <n v="0"/>
    <n v="0"/>
    <m/>
  </r>
  <r>
    <d v="2021-11-18T00:00:00"/>
    <n v="34"/>
    <x v="33"/>
    <x v="13"/>
    <e v="#REF!"/>
    <e v="#REF!"/>
    <n v="4"/>
    <s v="Valorisables"/>
    <x v="3"/>
    <n v="0.1"/>
    <n v="0"/>
    <n v="0.1"/>
    <n v="2.0768431983385254E-3"/>
    <m/>
  </r>
  <r>
    <d v="2021-11-18T00:00:00"/>
    <n v="34"/>
    <x v="33"/>
    <x v="13"/>
    <e v="#REF!"/>
    <e v="#REF!"/>
    <n v="5"/>
    <s v="Valorisables"/>
    <x v="4"/>
    <n v="0.6"/>
    <n v="0.5"/>
    <n v="9.9999999999999978E-2"/>
    <n v="2.0768431983385249E-3"/>
    <m/>
  </r>
  <r>
    <d v="2021-11-18T00:00:00"/>
    <n v="34"/>
    <x v="33"/>
    <x v="13"/>
    <e v="#REF!"/>
    <e v="#REF!"/>
    <n v="6"/>
    <s v="Valorisables"/>
    <x v="5"/>
    <m/>
    <m/>
    <n v="0"/>
    <n v="0"/>
    <m/>
  </r>
  <r>
    <d v="2021-11-18T00:00:00"/>
    <n v="34"/>
    <x v="33"/>
    <x v="13"/>
    <e v="#REF!"/>
    <e v="#REF!"/>
    <n v="7"/>
    <s v="Valorisables"/>
    <x v="6"/>
    <m/>
    <m/>
    <n v="0"/>
    <n v="0"/>
    <m/>
  </r>
  <r>
    <d v="2021-11-18T00:00:00"/>
    <n v="34"/>
    <x v="33"/>
    <x v="13"/>
    <e v="#REF!"/>
    <e v="#REF!"/>
    <n v="8"/>
    <s v="Valorisables"/>
    <x v="7"/>
    <n v="0.2"/>
    <n v="0"/>
    <n v="0.2"/>
    <n v="4.1536863966770508E-3"/>
    <m/>
  </r>
  <r>
    <d v="2021-11-18T00:00:00"/>
    <n v="34"/>
    <x v="33"/>
    <x v="13"/>
    <e v="#REF!"/>
    <e v="#REF!"/>
    <n v="9"/>
    <s v="Valorisables"/>
    <x v="8"/>
    <n v="75.150000000000006"/>
    <n v="33.450000000000003"/>
    <n v="41.7"/>
    <n v="0.86604361370716509"/>
    <m/>
  </r>
  <r>
    <d v="2021-11-18T00:00:00"/>
    <n v="34"/>
    <x v="33"/>
    <x v="13"/>
    <e v="#REF!"/>
    <e v="#REF!"/>
    <n v="10"/>
    <s v="Valorisables"/>
    <x v="9"/>
    <n v="2.2000000000000002"/>
    <n v="0.55000000000000004"/>
    <n v="1.6500000000000001"/>
    <n v="3.4267912772585667E-2"/>
    <m/>
  </r>
  <r>
    <d v="2021-11-18T00:00:00"/>
    <n v="34"/>
    <x v="33"/>
    <x v="13"/>
    <e v="#REF!"/>
    <e v="#REF!"/>
    <n v="11"/>
    <s v="Valorisables"/>
    <x v="10"/>
    <n v="9.0500000000000007"/>
    <n v="8.5500000000000007"/>
    <n v="0.5"/>
    <n v="1.0384215991692626E-2"/>
    <m/>
  </r>
  <r>
    <d v="2021-11-18T00:00:00"/>
    <n v="34"/>
    <x v="33"/>
    <x v="13"/>
    <e v="#REF!"/>
    <e v="#REF!"/>
    <n v="12"/>
    <s v="Refus"/>
    <x v="11"/>
    <n v="20.75"/>
    <n v="17.05"/>
    <n v="3.6999999999999993"/>
    <n v="7.6843198338525417E-2"/>
    <s v="gros sac jaune non ouvert avec déchets divers"/>
  </r>
  <r>
    <d v="2021-11-18T00:00:00"/>
    <n v="35"/>
    <x v="34"/>
    <x v="14"/>
    <n v="38.199999999999996"/>
    <n v="38.049999999999997"/>
    <n v="1"/>
    <s v="Valorisables"/>
    <x v="0"/>
    <m/>
    <m/>
    <n v="0"/>
    <n v="0"/>
    <m/>
  </r>
  <r>
    <d v="2021-11-18T00:00:00"/>
    <n v="35"/>
    <x v="34"/>
    <x v="14"/>
    <n v="38.199999999999996"/>
    <n v="-3.9267015706805916E-3"/>
    <n v="2"/>
    <s v="Valorisables"/>
    <x v="1"/>
    <n v="0.8"/>
    <n v="0.5"/>
    <n v="0.30000000000000004"/>
    <n v="7.8843626806833125E-3"/>
    <m/>
  </r>
  <r>
    <d v="2021-11-18T00:00:00"/>
    <n v="35"/>
    <x v="34"/>
    <x v="14"/>
    <e v="#REF!"/>
    <e v="#REF!"/>
    <n v="3"/>
    <s v="Valorisables"/>
    <x v="2"/>
    <n v="0.05"/>
    <n v="0"/>
    <n v="0.05"/>
    <n v="1.3140604467805521E-3"/>
    <m/>
  </r>
  <r>
    <d v="2021-11-18T00:00:00"/>
    <n v="35"/>
    <x v="34"/>
    <x v="14"/>
    <e v="#REF!"/>
    <e v="#REF!"/>
    <n v="4"/>
    <s v="Valorisables"/>
    <x v="3"/>
    <n v="0.75"/>
    <n v="0.55000000000000004"/>
    <n v="0.19999999999999996"/>
    <n v="5.2562417871222069E-3"/>
    <m/>
  </r>
  <r>
    <d v="2021-11-18T00:00:00"/>
    <n v="35"/>
    <x v="34"/>
    <x v="14"/>
    <e v="#REF!"/>
    <e v="#REF!"/>
    <n v="5"/>
    <s v="Valorisables"/>
    <x v="4"/>
    <n v="83.15"/>
    <n v="50.75"/>
    <n v="32.400000000000006"/>
    <n v="0.85151116951379779"/>
    <m/>
  </r>
  <r>
    <d v="2021-11-18T00:00:00"/>
    <n v="35"/>
    <x v="34"/>
    <x v="14"/>
    <e v="#REF!"/>
    <e v="#REF!"/>
    <n v="6"/>
    <s v="Valorisables"/>
    <x v="5"/>
    <n v="1.1000000000000001"/>
    <n v="0.55000000000000004"/>
    <n v="0.55000000000000004"/>
    <n v="1.4454664914586073E-2"/>
    <m/>
  </r>
  <r>
    <d v="2021-11-18T00:00:00"/>
    <n v="35"/>
    <x v="34"/>
    <x v="14"/>
    <e v="#REF!"/>
    <e v="#REF!"/>
    <n v="7"/>
    <s v="Valorisables"/>
    <x v="6"/>
    <m/>
    <m/>
    <n v="0"/>
    <n v="0"/>
    <m/>
  </r>
  <r>
    <d v="2021-11-18T00:00:00"/>
    <n v="35"/>
    <x v="34"/>
    <x v="14"/>
    <e v="#REF!"/>
    <e v="#REF!"/>
    <n v="8"/>
    <s v="Valorisables"/>
    <x v="7"/>
    <n v="1.25"/>
    <n v="0.55000000000000004"/>
    <n v="0.7"/>
    <n v="1.8396846254927726E-2"/>
    <m/>
  </r>
  <r>
    <d v="2021-11-18T00:00:00"/>
    <n v="35"/>
    <x v="34"/>
    <x v="14"/>
    <e v="#REF!"/>
    <e v="#REF!"/>
    <n v="9"/>
    <s v="Valorisables"/>
    <x v="8"/>
    <m/>
    <m/>
    <n v="0"/>
    <n v="0"/>
    <m/>
  </r>
  <r>
    <d v="2021-11-18T00:00:00"/>
    <n v="35"/>
    <x v="34"/>
    <x v="14"/>
    <e v="#REF!"/>
    <e v="#REF!"/>
    <n v="10"/>
    <s v="Valorisables"/>
    <x v="9"/>
    <n v="1.8"/>
    <n v="0.55000000000000004"/>
    <n v="1.25"/>
    <n v="3.2851511169513799E-2"/>
    <m/>
  </r>
  <r>
    <d v="2021-11-18T00:00:00"/>
    <n v="35"/>
    <x v="34"/>
    <x v="14"/>
    <e v="#REF!"/>
    <e v="#REF!"/>
    <n v="11"/>
    <s v="Valorisables"/>
    <x v="10"/>
    <n v="0.6"/>
    <n v="0.55000000000000004"/>
    <n v="4.9999999999999933E-2"/>
    <n v="1.3140604467805502E-3"/>
    <m/>
  </r>
  <r>
    <d v="2021-11-18T00:00:00"/>
    <n v="35"/>
    <x v="34"/>
    <x v="14"/>
    <e v="#REF!"/>
    <e v="#REF!"/>
    <n v="12"/>
    <s v="Refus"/>
    <x v="11"/>
    <n v="19.399999999999999"/>
    <n v="16.850000000000001"/>
    <n v="2.5499999999999972"/>
    <n v="6.7017082785808077E-2"/>
    <s v="plastiques non valorisables, refus divers (tube &quot;pringles&quot;…)"/>
  </r>
  <r>
    <d v="2021-11-18T00:00:00"/>
    <n v="36"/>
    <x v="35"/>
    <x v="14"/>
    <n v="28.8"/>
    <n v="28.449999999999996"/>
    <n v="1"/>
    <s v="Valorisables"/>
    <x v="0"/>
    <n v="0.1"/>
    <n v="0"/>
    <n v="0.1"/>
    <n v="3.5149384885764506E-3"/>
    <m/>
  </r>
  <r>
    <d v="2021-11-18T00:00:00"/>
    <n v="36"/>
    <x v="35"/>
    <x v="14"/>
    <n v="28.8"/>
    <n v="-1.215277777777795E-2"/>
    <n v="2"/>
    <s v="Valorisables"/>
    <x v="1"/>
    <n v="0.75"/>
    <n v="0.5"/>
    <n v="0.25"/>
    <n v="8.7873462214411256E-3"/>
    <m/>
  </r>
  <r>
    <d v="2021-11-18T00:00:00"/>
    <n v="36"/>
    <x v="35"/>
    <x v="14"/>
    <e v="#REF!"/>
    <e v="#REF!"/>
    <n v="3"/>
    <s v="Valorisables"/>
    <x v="2"/>
    <n v="0.1"/>
    <n v="0"/>
    <n v="0.1"/>
    <n v="3.5149384885764506E-3"/>
    <m/>
  </r>
  <r>
    <d v="2021-11-18T00:00:00"/>
    <n v="36"/>
    <x v="35"/>
    <x v="14"/>
    <e v="#REF!"/>
    <e v="#REF!"/>
    <n v="4"/>
    <s v="Valorisables"/>
    <x v="3"/>
    <n v="0.6"/>
    <n v="0.55000000000000004"/>
    <n v="4.9999999999999933E-2"/>
    <n v="1.7574692442882229E-3"/>
    <m/>
  </r>
  <r>
    <d v="2021-11-18T00:00:00"/>
    <n v="36"/>
    <x v="35"/>
    <x v="14"/>
    <e v="#REF!"/>
    <e v="#REF!"/>
    <n v="5"/>
    <s v="Valorisables"/>
    <x v="4"/>
    <n v="58.6"/>
    <n v="33.450000000000003"/>
    <n v="25.15"/>
    <n v="0.88400702987697721"/>
    <m/>
  </r>
  <r>
    <d v="2021-11-18T00:00:00"/>
    <n v="36"/>
    <x v="35"/>
    <x v="14"/>
    <e v="#REF!"/>
    <e v="#REF!"/>
    <n v="6"/>
    <s v="Valorisables"/>
    <x v="5"/>
    <n v="1"/>
    <n v="0.55000000000000004"/>
    <n v="0.44999999999999996"/>
    <n v="1.5817223198594025E-2"/>
    <m/>
  </r>
  <r>
    <d v="2021-11-18T00:00:00"/>
    <n v="36"/>
    <x v="35"/>
    <x v="14"/>
    <e v="#REF!"/>
    <e v="#REF!"/>
    <n v="7"/>
    <s v="Valorisables"/>
    <x v="6"/>
    <m/>
    <m/>
    <n v="0"/>
    <n v="0"/>
    <m/>
  </r>
  <r>
    <d v="2021-11-18T00:00:00"/>
    <n v="36"/>
    <x v="35"/>
    <x v="14"/>
    <e v="#REF!"/>
    <e v="#REF!"/>
    <n v="8"/>
    <s v="Valorisables"/>
    <x v="7"/>
    <n v="0.95"/>
    <n v="0.55000000000000004"/>
    <n v="0.39999999999999991"/>
    <n v="1.4059753954305799E-2"/>
    <m/>
  </r>
  <r>
    <d v="2021-11-18T00:00:00"/>
    <n v="36"/>
    <x v="35"/>
    <x v="14"/>
    <e v="#REF!"/>
    <e v="#REF!"/>
    <n v="9"/>
    <s v="Valorisables"/>
    <x v="8"/>
    <m/>
    <m/>
    <n v="0"/>
    <n v="0"/>
    <m/>
  </r>
  <r>
    <d v="2021-11-18T00:00:00"/>
    <n v="36"/>
    <x v="35"/>
    <x v="14"/>
    <e v="#REF!"/>
    <e v="#REF!"/>
    <n v="10"/>
    <s v="Valorisables"/>
    <x v="9"/>
    <n v="1.1499999999999999"/>
    <n v="0.55000000000000004"/>
    <n v="0.59999999999999987"/>
    <n v="2.1089630931458696E-2"/>
    <m/>
  </r>
  <r>
    <d v="2021-11-18T00:00:00"/>
    <n v="36"/>
    <x v="35"/>
    <x v="14"/>
    <e v="#REF!"/>
    <e v="#REF!"/>
    <n v="11"/>
    <s v="Valorisables"/>
    <x v="10"/>
    <m/>
    <m/>
    <n v="0"/>
    <n v="0"/>
    <m/>
  </r>
  <r>
    <d v="2021-11-18T00:00:00"/>
    <n v="36"/>
    <x v="35"/>
    <x v="14"/>
    <e v="#REF!"/>
    <e v="#REF!"/>
    <n v="12"/>
    <s v="Refus"/>
    <x v="11"/>
    <n v="18.399999999999999"/>
    <n v="17.05"/>
    <n v="1.3499999999999979"/>
    <n v="4.7451669595782009E-2"/>
    <s v="plastiques non valorisables"/>
  </r>
  <r>
    <d v="2021-11-18T00:00:00"/>
    <n v="37"/>
    <x v="36"/>
    <x v="14"/>
    <n v="28"/>
    <n v="28.149999999999988"/>
    <n v="1"/>
    <s v="Valorisables"/>
    <x v="0"/>
    <n v="0.05"/>
    <n v="0"/>
    <n v="0.05"/>
    <n v="1.7761989342806404E-3"/>
    <m/>
  </r>
  <r>
    <d v="2021-11-18T00:00:00"/>
    <n v="37"/>
    <x v="36"/>
    <x v="14"/>
    <n v="28"/>
    <n v="5.3571428571424261E-3"/>
    <n v="2"/>
    <s v="Valorisables"/>
    <x v="1"/>
    <n v="0.8"/>
    <n v="0.5"/>
    <n v="0.30000000000000004"/>
    <n v="1.0657193605683842E-2"/>
    <m/>
  </r>
  <r>
    <d v="2021-11-18T00:00:00"/>
    <n v="37"/>
    <x v="36"/>
    <x v="14"/>
    <e v="#REF!"/>
    <e v="#REF!"/>
    <n v="3"/>
    <s v="Valorisables"/>
    <x v="2"/>
    <m/>
    <m/>
    <n v="0"/>
    <n v="0"/>
    <m/>
  </r>
  <r>
    <d v="2021-11-18T00:00:00"/>
    <n v="37"/>
    <x v="36"/>
    <x v="14"/>
    <e v="#REF!"/>
    <e v="#REF!"/>
    <n v="4"/>
    <s v="Valorisables"/>
    <x v="3"/>
    <n v="0.05"/>
    <n v="0"/>
    <n v="0.05"/>
    <n v="1.7761989342806404E-3"/>
    <m/>
  </r>
  <r>
    <d v="2021-11-18T00:00:00"/>
    <n v="37"/>
    <x v="36"/>
    <x v="14"/>
    <e v="#REF!"/>
    <e v="#REF!"/>
    <n v="5"/>
    <s v="Valorisables"/>
    <x v="4"/>
    <n v="57.8"/>
    <n v="33.900000000000006"/>
    <n v="23.899999999999991"/>
    <n v="0.84902309058614567"/>
    <m/>
  </r>
  <r>
    <d v="2021-11-18T00:00:00"/>
    <n v="37"/>
    <x v="36"/>
    <x v="14"/>
    <e v="#REF!"/>
    <e v="#REF!"/>
    <n v="6"/>
    <s v="Valorisables"/>
    <x v="5"/>
    <n v="1"/>
    <n v="0.55000000000000004"/>
    <n v="0.44999999999999996"/>
    <n v="1.5985790408525762E-2"/>
    <m/>
  </r>
  <r>
    <d v="2021-11-18T00:00:00"/>
    <n v="37"/>
    <x v="36"/>
    <x v="14"/>
    <e v="#REF!"/>
    <e v="#REF!"/>
    <n v="7"/>
    <s v="Valorisables"/>
    <x v="6"/>
    <m/>
    <m/>
    <n v="0"/>
    <n v="0"/>
    <m/>
  </r>
  <r>
    <d v="2021-11-18T00:00:00"/>
    <n v="37"/>
    <x v="36"/>
    <x v="14"/>
    <e v="#REF!"/>
    <e v="#REF!"/>
    <n v="8"/>
    <s v="Valorisables"/>
    <x v="7"/>
    <n v="0.85"/>
    <n v="0.55000000000000004"/>
    <n v="0.29999999999999993"/>
    <n v="1.0657193605683839E-2"/>
    <m/>
  </r>
  <r>
    <d v="2021-11-18T00:00:00"/>
    <n v="37"/>
    <x v="36"/>
    <x v="14"/>
    <e v="#REF!"/>
    <e v="#REF!"/>
    <n v="9"/>
    <s v="Valorisables"/>
    <x v="8"/>
    <m/>
    <m/>
    <n v="0"/>
    <n v="0"/>
    <m/>
  </r>
  <r>
    <d v="2021-11-18T00:00:00"/>
    <n v="37"/>
    <x v="36"/>
    <x v="14"/>
    <e v="#REF!"/>
    <e v="#REF!"/>
    <n v="10"/>
    <s v="Valorisables"/>
    <x v="9"/>
    <n v="1.45"/>
    <n v="0.55000000000000004"/>
    <n v="0.89999999999999991"/>
    <n v="3.1971580817051523E-2"/>
    <m/>
  </r>
  <r>
    <d v="2021-11-18T00:00:00"/>
    <n v="37"/>
    <x v="36"/>
    <x v="14"/>
    <e v="#REF!"/>
    <e v="#REF!"/>
    <n v="11"/>
    <s v="Valorisables"/>
    <x v="10"/>
    <n v="0.6"/>
    <n v="0.55000000000000004"/>
    <n v="4.9999999999999933E-2"/>
    <n v="1.7761989342806378E-3"/>
    <m/>
  </r>
  <r>
    <d v="2021-11-18T00:00:00"/>
    <n v="37"/>
    <x v="36"/>
    <x v="14"/>
    <e v="#REF!"/>
    <e v="#REF!"/>
    <n v="12"/>
    <s v="Refus"/>
    <x v="11"/>
    <n v="18.7"/>
    <n v="16.55"/>
    <n v="2.1499999999999986"/>
    <n v="7.6376554174067482E-2"/>
    <s v="gros plastique noir, grosse tige plastiques, films plastiques non valo"/>
  </r>
  <r>
    <d v="2021-11-18T00:00:00"/>
    <n v="38"/>
    <x v="37"/>
    <x v="15"/>
    <n v="33.199999999999996"/>
    <n v="32.949999999999989"/>
    <n v="1"/>
    <s v="Valorisables"/>
    <x v="0"/>
    <m/>
    <m/>
    <n v="0"/>
    <n v="0"/>
    <m/>
  </r>
  <r>
    <d v="2021-11-18T00:00:00"/>
    <n v="38"/>
    <x v="37"/>
    <x v="15"/>
    <n v="33.199999999999996"/>
    <n v="-7.5301204819279259E-3"/>
    <n v="2"/>
    <s v="Valorisables"/>
    <x v="1"/>
    <n v="0.65"/>
    <n v="0.5"/>
    <n v="0.15000000000000002"/>
    <n v="4.5523520485584237E-3"/>
    <m/>
  </r>
  <r>
    <d v="2021-11-18T00:00:00"/>
    <n v="38"/>
    <x v="37"/>
    <x v="15"/>
    <e v="#REF!"/>
    <e v="#REF!"/>
    <n v="3"/>
    <s v="Valorisables"/>
    <x v="2"/>
    <m/>
    <m/>
    <n v="0"/>
    <n v="0"/>
    <m/>
  </r>
  <r>
    <d v="2021-11-18T00:00:00"/>
    <n v="38"/>
    <x v="37"/>
    <x v="15"/>
    <e v="#REF!"/>
    <e v="#REF!"/>
    <n v="4"/>
    <s v="Valorisables"/>
    <x v="3"/>
    <n v="2.1"/>
    <n v="0.55000000000000004"/>
    <n v="1.55"/>
    <n v="4.7040971168437043E-2"/>
    <m/>
  </r>
  <r>
    <d v="2021-11-18T00:00:00"/>
    <n v="38"/>
    <x v="37"/>
    <x v="15"/>
    <e v="#REF!"/>
    <e v="#REF!"/>
    <n v="5"/>
    <s v="Valorisables"/>
    <x v="4"/>
    <n v="31.299999999999997"/>
    <n v="25.35"/>
    <n v="5.9499999999999957"/>
    <n v="0.18057663125948401"/>
    <m/>
  </r>
  <r>
    <d v="2021-11-18T00:00:00"/>
    <n v="38"/>
    <x v="37"/>
    <x v="15"/>
    <e v="#REF!"/>
    <e v="#REF!"/>
    <n v="6"/>
    <s v="Valorisables"/>
    <x v="5"/>
    <n v="33.65"/>
    <n v="12.1"/>
    <n v="21.549999999999997"/>
    <n v="0.6540212443095601"/>
    <m/>
  </r>
  <r>
    <d v="2021-11-18T00:00:00"/>
    <n v="38"/>
    <x v="37"/>
    <x v="15"/>
    <e v="#REF!"/>
    <e v="#REF!"/>
    <n v="7"/>
    <s v="Valorisables"/>
    <x v="6"/>
    <n v="0.8"/>
    <n v="0.55000000000000004"/>
    <n v="0.25"/>
    <n v="7.5872534142640393E-3"/>
    <m/>
  </r>
  <r>
    <d v="2021-11-18T00:00:00"/>
    <n v="38"/>
    <x v="37"/>
    <x v="15"/>
    <e v="#REF!"/>
    <e v="#REF!"/>
    <n v="8"/>
    <s v="Valorisables"/>
    <x v="7"/>
    <n v="0.75"/>
    <n v="0.55000000000000004"/>
    <n v="0.19999999999999996"/>
    <n v="6.0698027314112302E-3"/>
    <m/>
  </r>
  <r>
    <d v="2021-11-18T00:00:00"/>
    <n v="38"/>
    <x v="37"/>
    <x v="15"/>
    <e v="#REF!"/>
    <e v="#REF!"/>
    <n v="9"/>
    <s v="Valorisables"/>
    <x v="8"/>
    <m/>
    <m/>
    <n v="0"/>
    <n v="0"/>
    <m/>
  </r>
  <r>
    <d v="2021-11-18T00:00:00"/>
    <n v="38"/>
    <x v="37"/>
    <x v="15"/>
    <e v="#REF!"/>
    <e v="#REF!"/>
    <n v="10"/>
    <s v="Valorisables"/>
    <x v="9"/>
    <n v="0.7"/>
    <n v="0.5"/>
    <n v="0.19999999999999996"/>
    <n v="6.0698027314112302E-3"/>
    <m/>
  </r>
  <r>
    <d v="2021-11-18T00:00:00"/>
    <n v="38"/>
    <x v="37"/>
    <x v="15"/>
    <e v="#REF!"/>
    <e v="#REF!"/>
    <n v="11"/>
    <s v="Valorisables"/>
    <x v="10"/>
    <m/>
    <m/>
    <n v="0"/>
    <n v="0"/>
    <m/>
  </r>
  <r>
    <d v="2021-11-18T00:00:00"/>
    <n v="38"/>
    <x v="37"/>
    <x v="15"/>
    <e v="#REF!"/>
    <e v="#REF!"/>
    <n v="12"/>
    <s v="Refus"/>
    <x v="11"/>
    <n v="19.899999999999999"/>
    <n v="16.8"/>
    <n v="3.0999999999999979"/>
    <n v="9.4081942336874017E-2"/>
    <s v="petits DEEE, sachets croquettes, plastiques non valo"/>
  </r>
  <r>
    <d v="2021-11-18T00:00:00"/>
    <n v="39"/>
    <x v="38"/>
    <x v="13"/>
    <n v="50.599999999999994"/>
    <n v="44.049999999999983"/>
    <n v="1"/>
    <s v="Valorisables"/>
    <x v="0"/>
    <n v="0.6"/>
    <n v="0.55000000000000004"/>
    <n v="4.9999999999999933E-2"/>
    <n v="1.1350737797956856E-3"/>
    <m/>
  </r>
  <r>
    <d v="2021-11-18T00:00:00"/>
    <n v="39"/>
    <x v="38"/>
    <x v="13"/>
    <n v="50.599999999999994"/>
    <n v="-0.12944664031620579"/>
    <n v="2"/>
    <s v="Valorisables"/>
    <x v="1"/>
    <n v="0.1"/>
    <n v="0"/>
    <n v="0.1"/>
    <n v="2.2701475595913742E-3"/>
    <m/>
  </r>
  <r>
    <d v="2021-11-18T00:00:00"/>
    <n v="39"/>
    <x v="38"/>
    <x v="13"/>
    <e v="#REF!"/>
    <e v="#REF!"/>
    <n v="3"/>
    <s v="Valorisables"/>
    <x v="2"/>
    <m/>
    <m/>
    <n v="0"/>
    <n v="0"/>
    <m/>
  </r>
  <r>
    <d v="2021-11-18T00:00:00"/>
    <n v="39"/>
    <x v="38"/>
    <x v="13"/>
    <e v="#REF!"/>
    <e v="#REF!"/>
    <n v="4"/>
    <s v="Valorisables"/>
    <x v="3"/>
    <n v="0.15"/>
    <n v="0"/>
    <n v="0.15"/>
    <n v="3.4052213393870614E-3"/>
    <m/>
  </r>
  <r>
    <d v="2021-11-18T00:00:00"/>
    <n v="39"/>
    <x v="38"/>
    <x v="13"/>
    <e v="#REF!"/>
    <e v="#REF!"/>
    <n v="5"/>
    <s v="Valorisables"/>
    <x v="4"/>
    <n v="0.05"/>
    <n v="0"/>
    <n v="0.05"/>
    <n v="1.1350737797956871E-3"/>
    <m/>
  </r>
  <r>
    <d v="2021-11-18T00:00:00"/>
    <n v="39"/>
    <x v="38"/>
    <x v="13"/>
    <e v="#REF!"/>
    <e v="#REF!"/>
    <n v="6"/>
    <s v="Valorisables"/>
    <x v="5"/>
    <m/>
    <m/>
    <n v="0"/>
    <n v="0"/>
    <m/>
  </r>
  <r>
    <d v="2021-11-18T00:00:00"/>
    <n v="39"/>
    <x v="38"/>
    <x v="13"/>
    <e v="#REF!"/>
    <e v="#REF!"/>
    <n v="7"/>
    <s v="Valorisables"/>
    <x v="6"/>
    <m/>
    <m/>
    <n v="0"/>
    <n v="0"/>
    <m/>
  </r>
  <r>
    <d v="2021-11-18T00:00:00"/>
    <n v="39"/>
    <x v="38"/>
    <x v="13"/>
    <e v="#REF!"/>
    <e v="#REF!"/>
    <n v="8"/>
    <s v="Valorisables"/>
    <x v="7"/>
    <n v="0.8"/>
    <n v="0.55000000000000004"/>
    <n v="0.25"/>
    <n v="5.675368898978436E-3"/>
    <m/>
  </r>
  <r>
    <d v="2021-11-18T00:00:00"/>
    <n v="39"/>
    <x v="38"/>
    <x v="13"/>
    <e v="#REF!"/>
    <e v="#REF!"/>
    <n v="9"/>
    <s v="Valorisables"/>
    <x v="8"/>
    <n v="72.55"/>
    <n v="33.400000000000006"/>
    <n v="39.149999999999991"/>
    <n v="0.88876276958002287"/>
    <m/>
  </r>
  <r>
    <d v="2021-11-18T00:00:00"/>
    <n v="39"/>
    <x v="38"/>
    <x v="13"/>
    <e v="#REF!"/>
    <e v="#REF!"/>
    <n v="10"/>
    <s v="Valorisables"/>
    <x v="9"/>
    <n v="1.4"/>
    <n v="0.5"/>
    <n v="0.89999999999999991"/>
    <n v="2.0431328036322367E-2"/>
    <m/>
  </r>
  <r>
    <d v="2021-11-18T00:00:00"/>
    <n v="39"/>
    <x v="38"/>
    <x v="13"/>
    <e v="#REF!"/>
    <e v="#REF!"/>
    <n v="11"/>
    <s v="Valorisables"/>
    <x v="10"/>
    <n v="17.95"/>
    <n v="17.100000000000001"/>
    <n v="0.84999999999999787"/>
    <n v="1.9296254256526632E-2"/>
    <m/>
  </r>
  <r>
    <d v="2021-11-18T00:00:00"/>
    <n v="39"/>
    <x v="38"/>
    <x v="13"/>
    <e v="#REF!"/>
    <e v="#REF!"/>
    <n v="12"/>
    <s v="Refus"/>
    <x v="11"/>
    <n v="19.649999999999999"/>
    <n v="17.100000000000001"/>
    <n v="2.5499999999999972"/>
    <n v="5.7888762769579979E-2"/>
    <m/>
  </r>
  <r>
    <d v="2021-11-19T00:00:00"/>
    <n v="40"/>
    <x v="39"/>
    <x v="13"/>
    <n v="47.199999999999996"/>
    <n v="46.8"/>
    <n v="1"/>
    <s v="Valorisables"/>
    <x v="0"/>
    <n v="0.7"/>
    <n v="0.55000000000000004"/>
    <n v="0.14999999999999991"/>
    <n v="3.2051282051282033E-3"/>
    <m/>
  </r>
  <r>
    <d v="2021-11-19T00:00:00"/>
    <n v="40"/>
    <x v="39"/>
    <x v="13"/>
    <n v="47.199999999999996"/>
    <n v="-8.4745762711864112E-3"/>
    <n v="2"/>
    <s v="Valorisables"/>
    <x v="1"/>
    <n v="0.75"/>
    <n v="0.55000000000000004"/>
    <n v="0.19999999999999996"/>
    <n v="4.2735042735042731E-3"/>
    <m/>
  </r>
  <r>
    <d v="2021-11-19T00:00:00"/>
    <n v="40"/>
    <x v="39"/>
    <x v="13"/>
    <e v="#REF!"/>
    <e v="#REF!"/>
    <n v="3"/>
    <s v="Valorisables"/>
    <x v="2"/>
    <m/>
    <m/>
    <n v="0"/>
    <n v="0"/>
    <m/>
  </r>
  <r>
    <d v="2021-11-19T00:00:00"/>
    <n v="40"/>
    <x v="39"/>
    <x v="13"/>
    <e v="#REF!"/>
    <e v="#REF!"/>
    <n v="4"/>
    <s v="Valorisables"/>
    <x v="3"/>
    <n v="0.65"/>
    <n v="0.55000000000000004"/>
    <n v="9.9999999999999978E-2"/>
    <n v="2.1367521367521365E-3"/>
    <m/>
  </r>
  <r>
    <d v="2021-11-19T00:00:00"/>
    <n v="40"/>
    <x v="39"/>
    <x v="13"/>
    <e v="#REF!"/>
    <e v="#REF!"/>
    <n v="5"/>
    <s v="Valorisables"/>
    <x v="4"/>
    <n v="0.65"/>
    <n v="0.55000000000000004"/>
    <n v="9.9999999999999978E-2"/>
    <n v="2.1367521367521365E-3"/>
    <m/>
  </r>
  <r>
    <d v="2021-11-19T00:00:00"/>
    <n v="40"/>
    <x v="39"/>
    <x v="13"/>
    <e v="#REF!"/>
    <e v="#REF!"/>
    <n v="6"/>
    <s v="Valorisables"/>
    <x v="5"/>
    <m/>
    <m/>
    <n v="0"/>
    <n v="0"/>
    <m/>
  </r>
  <r>
    <d v="2021-11-19T00:00:00"/>
    <n v="40"/>
    <x v="39"/>
    <x v="13"/>
    <e v="#REF!"/>
    <e v="#REF!"/>
    <n v="7"/>
    <s v="Valorisables"/>
    <x v="6"/>
    <m/>
    <m/>
    <n v="0"/>
    <n v="0"/>
    <m/>
  </r>
  <r>
    <d v="2021-11-19T00:00:00"/>
    <n v="40"/>
    <x v="39"/>
    <x v="13"/>
    <e v="#REF!"/>
    <e v="#REF!"/>
    <n v="8"/>
    <s v="Valorisables"/>
    <x v="7"/>
    <n v="1.05"/>
    <n v="0.5"/>
    <n v="0.55000000000000004"/>
    <n v="1.1752136752136754E-2"/>
    <m/>
  </r>
  <r>
    <d v="2021-11-19T00:00:00"/>
    <n v="40"/>
    <x v="39"/>
    <x v="13"/>
    <e v="#REF!"/>
    <e v="#REF!"/>
    <n v="9"/>
    <s v="Valorisables"/>
    <x v="8"/>
    <n v="74.75"/>
    <n v="33.6"/>
    <n v="41.15"/>
    <n v="0.87927350427350426"/>
    <m/>
  </r>
  <r>
    <d v="2021-11-19T00:00:00"/>
    <n v="40"/>
    <x v="39"/>
    <x v="13"/>
    <e v="#REF!"/>
    <e v="#REF!"/>
    <n v="10"/>
    <s v="Valorisables"/>
    <x v="9"/>
    <n v="1.1000000000000001"/>
    <n v="0.55000000000000004"/>
    <n v="0.55000000000000004"/>
    <n v="1.1752136752136754E-2"/>
    <m/>
  </r>
  <r>
    <d v="2021-11-19T00:00:00"/>
    <n v="40"/>
    <x v="39"/>
    <x v="13"/>
    <e v="#REF!"/>
    <e v="#REF!"/>
    <n v="11"/>
    <s v="Valorisables"/>
    <x v="10"/>
    <n v="9.9500000000000011"/>
    <n v="9.1000000000000014"/>
    <n v="0.84999999999999964"/>
    <n v="1.8162393162393157E-2"/>
    <m/>
  </r>
  <r>
    <d v="2021-11-19T00:00:00"/>
    <n v="40"/>
    <x v="39"/>
    <x v="13"/>
    <e v="#REF!"/>
    <e v="#REF!"/>
    <n v="12"/>
    <s v="Refus"/>
    <x v="11"/>
    <n v="20"/>
    <n v="16.850000000000001"/>
    <n v="3.1499999999999986"/>
    <n v="6.7307692307692277E-2"/>
    <s v="plusieurs sacs non ouverts avec dechets divers / sachets croquettes / essuie-glace"/>
  </r>
  <r>
    <d v="2021-11-19T00:00:00"/>
    <n v="41"/>
    <x v="40"/>
    <x v="16"/>
    <n v="25.8"/>
    <n v="25.599999999999998"/>
    <n v="1"/>
    <s v="Valorisables"/>
    <x v="0"/>
    <m/>
    <m/>
    <n v="0"/>
    <n v="0"/>
    <m/>
  </r>
  <r>
    <d v="2021-11-19T00:00:00"/>
    <n v="41"/>
    <x v="40"/>
    <x v="16"/>
    <n v="25.8"/>
    <n v="-7.7519379844962341E-3"/>
    <n v="2"/>
    <s v="Valorisables"/>
    <x v="1"/>
    <n v="0.6"/>
    <n v="0.55000000000000004"/>
    <n v="4.9999999999999933E-2"/>
    <n v="1.9531249999999976E-3"/>
    <m/>
  </r>
  <r>
    <d v="2021-11-19T00:00:00"/>
    <n v="41"/>
    <x v="40"/>
    <x v="16"/>
    <e v="#REF!"/>
    <e v="#REF!"/>
    <n v="3"/>
    <s v="Valorisables"/>
    <x v="2"/>
    <n v="0.05"/>
    <n v="0"/>
    <n v="0.05"/>
    <n v="1.9531250000000004E-3"/>
    <m/>
  </r>
  <r>
    <d v="2021-11-19T00:00:00"/>
    <n v="41"/>
    <x v="40"/>
    <x v="16"/>
    <e v="#REF!"/>
    <e v="#REF!"/>
    <n v="4"/>
    <s v="Valorisables"/>
    <x v="3"/>
    <n v="0.05"/>
    <n v="0"/>
    <n v="0.05"/>
    <n v="1.9531250000000004E-3"/>
    <m/>
  </r>
  <r>
    <d v="2021-11-19T00:00:00"/>
    <n v="41"/>
    <x v="40"/>
    <x v="16"/>
    <e v="#REF!"/>
    <e v="#REF!"/>
    <n v="5"/>
    <s v="Valorisables"/>
    <x v="4"/>
    <n v="0.6"/>
    <n v="0.55000000000000004"/>
    <n v="4.9999999999999933E-2"/>
    <n v="1.9531249999999976E-3"/>
    <m/>
  </r>
  <r>
    <d v="2021-11-19T00:00:00"/>
    <n v="41"/>
    <x v="40"/>
    <x v="16"/>
    <e v="#REF!"/>
    <e v="#REF!"/>
    <n v="6"/>
    <s v="Valorisables"/>
    <x v="5"/>
    <m/>
    <m/>
    <n v="0"/>
    <n v="0"/>
    <m/>
  </r>
  <r>
    <d v="2021-11-19T00:00:00"/>
    <n v="41"/>
    <x v="40"/>
    <x v="16"/>
    <e v="#REF!"/>
    <e v="#REF!"/>
    <n v="7"/>
    <s v="Valorisables"/>
    <x v="6"/>
    <n v="7.7"/>
    <n v="6.05"/>
    <n v="1.6500000000000004"/>
    <n v="6.4453125000000014E-2"/>
    <s v="beaucoup de papiers broyés"/>
  </r>
  <r>
    <d v="2021-11-19T00:00:00"/>
    <n v="41"/>
    <x v="40"/>
    <x v="16"/>
    <e v="#REF!"/>
    <e v="#REF!"/>
    <n v="8"/>
    <s v="Valorisables"/>
    <x v="7"/>
    <n v="46.85"/>
    <n v="33.700000000000003"/>
    <n v="13.149999999999999"/>
    <n v="0.513671875"/>
    <m/>
  </r>
  <r>
    <d v="2021-11-19T00:00:00"/>
    <n v="41"/>
    <x v="40"/>
    <x v="16"/>
    <e v="#REF!"/>
    <e v="#REF!"/>
    <n v="9"/>
    <s v="Valorisables"/>
    <x v="8"/>
    <m/>
    <m/>
    <n v="0"/>
    <n v="0"/>
    <m/>
  </r>
  <r>
    <d v="2021-11-19T00:00:00"/>
    <n v="41"/>
    <x v="40"/>
    <x v="16"/>
    <e v="#REF!"/>
    <e v="#REF!"/>
    <n v="10"/>
    <s v="Valorisables"/>
    <x v="9"/>
    <n v="24.15"/>
    <n v="16.850000000000001"/>
    <n v="7.2999999999999972"/>
    <n v="0.28515624999999989"/>
    <m/>
  </r>
  <r>
    <d v="2021-11-19T00:00:00"/>
    <n v="41"/>
    <x v="40"/>
    <x v="16"/>
    <e v="#REF!"/>
    <e v="#REF!"/>
    <n v="11"/>
    <s v="Valorisables"/>
    <x v="10"/>
    <n v="0.6"/>
    <n v="0.55000000000000004"/>
    <n v="4.9999999999999933E-2"/>
    <n v="1.9531249999999976E-3"/>
    <m/>
  </r>
  <r>
    <d v="2021-11-19T00:00:00"/>
    <n v="41"/>
    <x v="40"/>
    <x v="16"/>
    <e v="#REF!"/>
    <e v="#REF!"/>
    <n v="12"/>
    <s v="Refus"/>
    <x v="11"/>
    <n v="20.100000000000001"/>
    <n v="16.850000000000001"/>
    <n v="3.25"/>
    <n v="0.126953125"/>
    <s v="gros sac jaune non ouvert plein de déchets, cables usb, plastiques aluminisés"/>
  </r>
  <r>
    <d v="2021-11-19T00:00:00"/>
    <n v="42"/>
    <x v="41"/>
    <x v="17"/>
    <n v="28.2"/>
    <n v="28.54999999999999"/>
    <n v="1"/>
    <s v="Valorisables"/>
    <x v="0"/>
    <n v="19.549999999999997"/>
    <n v="17.100000000000001"/>
    <n v="2.4499999999999957"/>
    <n v="8.5814360770577816E-2"/>
    <m/>
  </r>
  <r>
    <d v="2021-11-19T00:00:00"/>
    <n v="42"/>
    <x v="41"/>
    <x v="17"/>
    <n v="28.2"/>
    <n v="1.2411347517730169E-2"/>
    <n v="2"/>
    <s v="Valorisables"/>
    <x v="1"/>
    <n v="24.049999999999997"/>
    <n v="17.100000000000001"/>
    <n v="6.9499999999999957"/>
    <n v="0.24343257443082306"/>
    <m/>
  </r>
  <r>
    <d v="2021-11-19T00:00:00"/>
    <n v="42"/>
    <x v="41"/>
    <x v="17"/>
    <e v="#REF!"/>
    <e v="#REF!"/>
    <n v="3"/>
    <s v="Valorisables"/>
    <x v="2"/>
    <n v="19.850000000000001"/>
    <n v="16.75"/>
    <n v="3.1000000000000014"/>
    <n v="0.10858143607705788"/>
    <m/>
  </r>
  <r>
    <d v="2021-11-19T00:00:00"/>
    <n v="42"/>
    <x v="41"/>
    <x v="17"/>
    <e v="#REF!"/>
    <e v="#REF!"/>
    <n v="4"/>
    <s v="Valorisables"/>
    <x v="3"/>
    <n v="1.2"/>
    <n v="0.55000000000000004"/>
    <n v="0.64999999999999991"/>
    <n v="2.2767075306479864E-2"/>
    <m/>
  </r>
  <r>
    <d v="2021-11-19T00:00:00"/>
    <n v="42"/>
    <x v="41"/>
    <x v="17"/>
    <e v="#REF!"/>
    <e v="#REF!"/>
    <n v="5"/>
    <s v="Valorisables"/>
    <x v="4"/>
    <n v="1.1000000000000001"/>
    <n v="0.55000000000000004"/>
    <n v="0.55000000000000004"/>
    <n v="1.9264448336252196E-2"/>
    <m/>
  </r>
  <r>
    <d v="2021-11-19T00:00:00"/>
    <n v="42"/>
    <x v="41"/>
    <x v="17"/>
    <e v="#REF!"/>
    <e v="#REF!"/>
    <n v="6"/>
    <s v="Valorisables"/>
    <x v="5"/>
    <m/>
    <m/>
    <n v="0"/>
    <n v="0"/>
    <m/>
  </r>
  <r>
    <d v="2021-11-19T00:00:00"/>
    <n v="42"/>
    <x v="41"/>
    <x v="17"/>
    <e v="#REF!"/>
    <e v="#REF!"/>
    <n v="7"/>
    <s v="Valorisables"/>
    <x v="6"/>
    <n v="6.25"/>
    <n v="6.05"/>
    <n v="0.20000000000000018"/>
    <n v="7.0052539404553502E-3"/>
    <m/>
  </r>
  <r>
    <d v="2021-11-19T00:00:00"/>
    <n v="42"/>
    <x v="41"/>
    <x v="17"/>
    <e v="#REF!"/>
    <e v="#REF!"/>
    <n v="8"/>
    <s v="Valorisables"/>
    <x v="7"/>
    <n v="2.4500000000000002"/>
    <n v="0.55000000000000004"/>
    <n v="1.9000000000000001"/>
    <n v="6.6549912434325773E-2"/>
    <m/>
  </r>
  <r>
    <d v="2021-11-19T00:00:00"/>
    <n v="42"/>
    <x v="41"/>
    <x v="17"/>
    <e v="#REF!"/>
    <e v="#REF!"/>
    <n v="9"/>
    <s v="Valorisables"/>
    <x v="8"/>
    <n v="0.2"/>
    <n v="0"/>
    <n v="0.2"/>
    <n v="7.0052539404553442E-3"/>
    <m/>
  </r>
  <r>
    <d v="2021-11-19T00:00:00"/>
    <n v="42"/>
    <x v="41"/>
    <x v="17"/>
    <e v="#REF!"/>
    <e v="#REF!"/>
    <n v="10"/>
    <s v="Valorisables"/>
    <x v="9"/>
    <n v="4.5999999999999996"/>
    <n v="1.1000000000000001"/>
    <n v="3.4999999999999996"/>
    <n v="0.1225919439579685"/>
    <m/>
  </r>
  <r>
    <d v="2021-11-19T00:00:00"/>
    <n v="42"/>
    <x v="41"/>
    <x v="17"/>
    <e v="#REF!"/>
    <e v="#REF!"/>
    <n v="11"/>
    <s v="Valorisables"/>
    <x v="10"/>
    <n v="19.25"/>
    <n v="16.850000000000001"/>
    <n v="2.3999999999999986"/>
    <n v="8.4063047285464071E-2"/>
    <m/>
  </r>
  <r>
    <d v="2021-11-19T00:00:00"/>
    <n v="42"/>
    <x v="41"/>
    <x v="17"/>
    <e v="#REF!"/>
    <e v="#REF!"/>
    <n v="12"/>
    <s v="Refus"/>
    <x v="11"/>
    <n v="23.5"/>
    <n v="16.850000000000001"/>
    <n v="6.6499999999999986"/>
    <n v="0.23292469352014014"/>
    <s v="sac jaune non ouvert, sac avec textile, plastiques avec isolant, imbriqués divers, sachets de croquettes, plastiques aluminisés, films non valo"/>
  </r>
  <r>
    <d v="2021-11-19T00:00:00"/>
    <n v="43"/>
    <x v="42"/>
    <x v="18"/>
    <n v="12.8"/>
    <n v="12.599999999999994"/>
    <n v="1"/>
    <s v="Valorisables"/>
    <x v="0"/>
    <n v="0.65"/>
    <n v="0.5"/>
    <n v="0.15000000000000002"/>
    <n v="1.1904761904761911E-2"/>
    <m/>
  </r>
  <r>
    <d v="2021-11-19T00:00:00"/>
    <n v="43"/>
    <x v="42"/>
    <x v="18"/>
    <n v="12.8"/>
    <n v="-1.56250000000005E-2"/>
    <n v="2"/>
    <s v="Valorisables"/>
    <x v="1"/>
    <n v="0.75"/>
    <n v="0.5"/>
    <n v="0.25"/>
    <n v="1.9841269841269851E-2"/>
    <m/>
  </r>
  <r>
    <d v="2021-11-19T00:00:00"/>
    <n v="43"/>
    <x v="42"/>
    <x v="18"/>
    <e v="#REF!"/>
    <e v="#REF!"/>
    <n v="3"/>
    <s v="Valorisables"/>
    <x v="2"/>
    <n v="0.05"/>
    <n v="0"/>
    <n v="0.05"/>
    <n v="3.9682539682539706E-3"/>
    <m/>
  </r>
  <r>
    <d v="2021-11-19T00:00:00"/>
    <n v="43"/>
    <x v="42"/>
    <x v="18"/>
    <e v="#REF!"/>
    <e v="#REF!"/>
    <n v="4"/>
    <s v="Valorisables"/>
    <x v="3"/>
    <n v="0.6"/>
    <n v="0.55000000000000004"/>
    <n v="4.9999999999999933E-2"/>
    <n v="3.9682539682539646E-3"/>
    <m/>
  </r>
  <r>
    <d v="2021-11-19T00:00:00"/>
    <n v="43"/>
    <x v="42"/>
    <x v="18"/>
    <e v="#REF!"/>
    <e v="#REF!"/>
    <n v="5"/>
    <s v="Valorisables"/>
    <x v="4"/>
    <n v="0"/>
    <n v="0"/>
    <n v="0"/>
    <n v="0"/>
    <m/>
  </r>
  <r>
    <d v="2021-11-19T00:00:00"/>
    <n v="43"/>
    <x v="42"/>
    <x v="18"/>
    <e v="#REF!"/>
    <e v="#REF!"/>
    <n v="6"/>
    <s v="Valorisables"/>
    <x v="5"/>
    <n v="0"/>
    <n v="0"/>
    <n v="0"/>
    <n v="0"/>
    <m/>
  </r>
  <r>
    <d v="2021-11-19T00:00:00"/>
    <n v="43"/>
    <x v="42"/>
    <x v="18"/>
    <e v="#REF!"/>
    <e v="#REF!"/>
    <n v="7"/>
    <s v="Valorisables"/>
    <x v="6"/>
    <n v="0"/>
    <n v="0"/>
    <n v="0"/>
    <n v="0"/>
    <m/>
  </r>
  <r>
    <d v="2021-11-19T00:00:00"/>
    <n v="43"/>
    <x v="42"/>
    <x v="18"/>
    <e v="#REF!"/>
    <e v="#REF!"/>
    <n v="8"/>
    <s v="Valorisables"/>
    <x v="7"/>
    <n v="18.25"/>
    <n v="17.100000000000001"/>
    <n v="1.1499999999999986"/>
    <n v="9.1269841269841195E-2"/>
    <m/>
  </r>
  <r>
    <d v="2021-11-19T00:00:00"/>
    <n v="43"/>
    <x v="42"/>
    <x v="18"/>
    <e v="#REF!"/>
    <e v="#REF!"/>
    <n v="9"/>
    <s v="Valorisables"/>
    <x v="8"/>
    <n v="0.55000000000000004"/>
    <n v="0.5"/>
    <n v="5.0000000000000044E-2"/>
    <n v="3.9682539682539732E-3"/>
    <m/>
  </r>
  <r>
    <d v="2021-11-19T00:00:00"/>
    <n v="43"/>
    <x v="42"/>
    <x v="18"/>
    <e v="#REF!"/>
    <e v="#REF!"/>
    <n v="10"/>
    <s v="Valorisables"/>
    <x v="9"/>
    <n v="43.5"/>
    <n v="33.700000000000003"/>
    <n v="9.7999999999999972"/>
    <n v="0.7777777777777779"/>
    <m/>
  </r>
  <r>
    <d v="2021-11-19T00:00:00"/>
    <n v="43"/>
    <x v="42"/>
    <x v="18"/>
    <e v="#REF!"/>
    <e v="#REF!"/>
    <n v="11"/>
    <s v="Valorisables"/>
    <x v="10"/>
    <n v="8.6"/>
    <n v="8.5500000000000007"/>
    <n v="4.9999999999998934E-2"/>
    <n v="3.9682539682538856E-3"/>
    <m/>
  </r>
  <r>
    <d v="2021-11-19T00:00:00"/>
    <n v="43"/>
    <x v="42"/>
    <x v="18"/>
    <e v="#REF!"/>
    <e v="#REF!"/>
    <n v="12"/>
    <s v="Refus"/>
    <x v="11"/>
    <n v="9.35"/>
    <n v="8.3000000000000007"/>
    <n v="1.0499999999999989"/>
    <n v="8.3333333333333287E-2"/>
    <m/>
  </r>
  <r>
    <d v="2021-11-19T00:00:00"/>
    <n v="44"/>
    <x v="43"/>
    <x v="19"/>
    <n v="32.799999999999997"/>
    <n v="32.6"/>
    <n v="1"/>
    <s v="Valorisables"/>
    <x v="0"/>
    <m/>
    <m/>
    <n v="0"/>
    <n v="0"/>
    <m/>
  </r>
  <r>
    <d v="2021-11-19T00:00:00"/>
    <n v="44"/>
    <x v="43"/>
    <x v="19"/>
    <n v="32.799999999999997"/>
    <n v="-6.0975609756096271E-3"/>
    <n v="2"/>
    <s v="Valorisables"/>
    <x v="1"/>
    <n v="0.7"/>
    <n v="0.55000000000000004"/>
    <n v="0.14999999999999991"/>
    <n v="4.6012269938650275E-3"/>
    <m/>
  </r>
  <r>
    <d v="2021-11-19T00:00:00"/>
    <n v="44"/>
    <x v="43"/>
    <x v="19"/>
    <e v="#REF!"/>
    <e v="#REF!"/>
    <n v="3"/>
    <s v="Valorisables"/>
    <x v="2"/>
    <m/>
    <m/>
    <n v="0"/>
    <n v="0"/>
    <m/>
  </r>
  <r>
    <d v="2021-11-19T00:00:00"/>
    <n v="44"/>
    <x v="43"/>
    <x v="19"/>
    <e v="#REF!"/>
    <e v="#REF!"/>
    <n v="4"/>
    <s v="Valorisables"/>
    <x v="3"/>
    <n v="0.6"/>
    <n v="0.55000000000000004"/>
    <n v="4.9999999999999933E-2"/>
    <n v="1.5337423312883414E-3"/>
    <m/>
  </r>
  <r>
    <d v="2021-11-19T00:00:00"/>
    <n v="44"/>
    <x v="43"/>
    <x v="19"/>
    <e v="#REF!"/>
    <e v="#REF!"/>
    <n v="5"/>
    <s v="Valorisables"/>
    <x v="4"/>
    <n v="0.6"/>
    <n v="0.55000000000000004"/>
    <n v="4.9999999999999933E-2"/>
    <n v="1.5337423312883414E-3"/>
    <m/>
  </r>
  <r>
    <d v="2021-11-19T00:00:00"/>
    <n v="44"/>
    <x v="43"/>
    <x v="19"/>
    <e v="#REF!"/>
    <e v="#REF!"/>
    <n v="6"/>
    <s v="Valorisables"/>
    <x v="5"/>
    <m/>
    <m/>
    <n v="0"/>
    <n v="0"/>
    <m/>
  </r>
  <r>
    <d v="2021-11-19T00:00:00"/>
    <n v="44"/>
    <x v="43"/>
    <x v="19"/>
    <e v="#REF!"/>
    <e v="#REF!"/>
    <n v="7"/>
    <s v="Valorisables"/>
    <x v="6"/>
    <n v="6.8"/>
    <n v="6.05"/>
    <n v="0.75"/>
    <n v="2.3006134969325152E-2"/>
    <m/>
  </r>
  <r>
    <d v="2021-11-19T00:00:00"/>
    <n v="44"/>
    <x v="43"/>
    <x v="19"/>
    <e v="#REF!"/>
    <e v="#REF!"/>
    <n v="8"/>
    <s v="Valorisables"/>
    <x v="7"/>
    <n v="55.850000000000009"/>
    <n v="33.6"/>
    <n v="22.250000000000007"/>
    <n v="0.68251533742331305"/>
    <m/>
  </r>
  <r>
    <d v="2021-11-19T00:00:00"/>
    <n v="44"/>
    <x v="43"/>
    <x v="19"/>
    <e v="#REF!"/>
    <e v="#REF!"/>
    <n v="9"/>
    <s v="Valorisables"/>
    <x v="8"/>
    <n v="0.85"/>
    <n v="0.5"/>
    <n v="0.35"/>
    <n v="1.0736196319018404E-2"/>
    <m/>
  </r>
  <r>
    <d v="2021-11-19T00:00:00"/>
    <n v="44"/>
    <x v="43"/>
    <x v="19"/>
    <e v="#REF!"/>
    <e v="#REF!"/>
    <n v="10"/>
    <s v="Valorisables"/>
    <x v="9"/>
    <n v="23.049999999999997"/>
    <n v="16.850000000000001"/>
    <n v="6.1999999999999957"/>
    <n v="0.19018404907975447"/>
    <m/>
  </r>
  <r>
    <d v="2021-11-19T00:00:00"/>
    <n v="44"/>
    <x v="43"/>
    <x v="19"/>
    <e v="#REF!"/>
    <e v="#REF!"/>
    <n v="11"/>
    <s v="Valorisables"/>
    <x v="10"/>
    <n v="0.65"/>
    <n v="0.55000000000000004"/>
    <n v="9.9999999999999978E-2"/>
    <n v="3.0674846625766863E-3"/>
    <m/>
  </r>
  <r>
    <d v="2021-11-19T00:00:00"/>
    <n v="44"/>
    <x v="43"/>
    <x v="19"/>
    <e v="#REF!"/>
    <e v="#REF!"/>
    <n v="12"/>
    <s v="Refus"/>
    <x v="11"/>
    <n v="19.799999999999997"/>
    <n v="17.100000000000001"/>
    <n v="2.6999999999999957"/>
    <n v="8.2822085889570421E-2"/>
    <s v="tuyaux, chaussures, textiles, petite planche bois, revue encore sous plastique"/>
  </r>
  <r>
    <d v="2021-11-19T00:00:00"/>
    <n v="45"/>
    <x v="44"/>
    <x v="20"/>
    <n v="3.8"/>
    <n v="3.6999999999999926"/>
    <n v="1"/>
    <s v="Valorisables"/>
    <x v="0"/>
    <n v="0.9"/>
    <n v="0.55000000000000004"/>
    <n v="0.35"/>
    <n v="9.459459459459478E-2"/>
    <m/>
  </r>
  <r>
    <d v="2021-11-19T00:00:00"/>
    <n v="45"/>
    <x v="44"/>
    <x v="20"/>
    <n v="3.8"/>
    <n v="-2.6315789473686103E-2"/>
    <n v="2"/>
    <s v="Valorisables"/>
    <x v="1"/>
    <n v="9.4"/>
    <n v="8.5500000000000007"/>
    <n v="0.84999999999999964"/>
    <n v="0.2297297297297301"/>
    <m/>
  </r>
  <r>
    <d v="2021-11-19T00:00:00"/>
    <n v="45"/>
    <x v="44"/>
    <x v="20"/>
    <e v="#REF!"/>
    <e v="#REF!"/>
    <n v="3"/>
    <s v="Valorisables"/>
    <x v="2"/>
    <n v="0.55000000000000004"/>
    <n v="0.5"/>
    <n v="5.0000000000000044E-2"/>
    <n v="1.3513513513513552E-2"/>
    <m/>
  </r>
  <r>
    <d v="2021-11-19T00:00:00"/>
    <n v="45"/>
    <x v="44"/>
    <x v="20"/>
    <e v="#REF!"/>
    <e v="#REF!"/>
    <n v="4"/>
    <s v="Valorisables"/>
    <x v="3"/>
    <m/>
    <m/>
    <n v="0"/>
    <n v="0"/>
    <m/>
  </r>
  <r>
    <d v="2021-11-19T00:00:00"/>
    <n v="45"/>
    <x v="44"/>
    <x v="20"/>
    <e v="#REF!"/>
    <e v="#REF!"/>
    <n v="5"/>
    <s v="Valorisables"/>
    <x v="4"/>
    <m/>
    <m/>
    <n v="0"/>
    <n v="0"/>
    <m/>
  </r>
  <r>
    <d v="2021-11-19T00:00:00"/>
    <n v="45"/>
    <x v="44"/>
    <x v="20"/>
    <e v="#REF!"/>
    <e v="#REF!"/>
    <n v="6"/>
    <s v="Valorisables"/>
    <x v="5"/>
    <n v="0.6"/>
    <n v="0.55000000000000004"/>
    <n v="4.9999999999999933E-2"/>
    <n v="1.3513513513513523E-2"/>
    <m/>
  </r>
  <r>
    <d v="2021-11-19T00:00:00"/>
    <n v="45"/>
    <x v="44"/>
    <x v="20"/>
    <e v="#REF!"/>
    <e v="#REF!"/>
    <n v="7"/>
    <s v="Valorisables"/>
    <x v="6"/>
    <n v="9.15"/>
    <n v="8.8500000000000014"/>
    <n v="0.29999999999999893"/>
    <n v="8.1081081081080961E-2"/>
    <m/>
  </r>
  <r>
    <d v="2021-11-19T00:00:00"/>
    <n v="45"/>
    <x v="44"/>
    <x v="20"/>
    <e v="#REF!"/>
    <e v="#REF!"/>
    <n v="8"/>
    <s v="Valorisables"/>
    <x v="7"/>
    <n v="9.6"/>
    <n v="9.1000000000000014"/>
    <n v="0.49999999999999822"/>
    <n v="0.13513513513513492"/>
    <m/>
  </r>
  <r>
    <d v="2021-11-19T00:00:00"/>
    <n v="45"/>
    <x v="44"/>
    <x v="20"/>
    <e v="#REF!"/>
    <e v="#REF!"/>
    <n v="9"/>
    <s v="Valorisables"/>
    <x v="8"/>
    <m/>
    <m/>
    <n v="0"/>
    <n v="0"/>
    <m/>
  </r>
  <r>
    <d v="2021-11-19T00:00:00"/>
    <n v="45"/>
    <x v="44"/>
    <x v="20"/>
    <e v="#REF!"/>
    <e v="#REF!"/>
    <n v="10"/>
    <s v="Valorisables"/>
    <x v="9"/>
    <m/>
    <m/>
    <n v="0"/>
    <n v="0"/>
    <m/>
  </r>
  <r>
    <d v="2021-11-19T00:00:00"/>
    <n v="45"/>
    <x v="44"/>
    <x v="20"/>
    <e v="#REF!"/>
    <e v="#REF!"/>
    <n v="11"/>
    <s v="Valorisables"/>
    <x v="10"/>
    <n v="0.15"/>
    <n v="0"/>
    <n v="0.15"/>
    <n v="4.0540540540540619E-2"/>
    <m/>
  </r>
  <r>
    <d v="2021-11-19T00:00:00"/>
    <n v="45"/>
    <x v="44"/>
    <x v="20"/>
    <e v="#REF!"/>
    <e v="#REF!"/>
    <n v="12"/>
    <s v="Refus"/>
    <x v="11"/>
    <n v="35.15"/>
    <n v="33.700000000000003"/>
    <n v="1.4499999999999957"/>
    <n v="0.3918918918918915"/>
    <m/>
  </r>
  <r>
    <d v="2021-11-19T00:00:00"/>
    <n v="46"/>
    <x v="45"/>
    <x v="21"/>
    <n v="1.5999999999999999"/>
    <n v="1.5499999999999983"/>
    <n v="1"/>
    <s v="Valorisables"/>
    <x v="0"/>
    <m/>
    <m/>
    <n v="0"/>
    <n v="0"/>
    <m/>
  </r>
  <r>
    <d v="2021-11-19T00:00:00"/>
    <n v="46"/>
    <x v="45"/>
    <x v="21"/>
    <n v="1.5999999999999999"/>
    <n v="-3.1250000000000999E-2"/>
    <n v="2"/>
    <s v="Valorisables"/>
    <x v="1"/>
    <n v="0.7"/>
    <n v="0.5"/>
    <n v="0.19999999999999996"/>
    <n v="0.12903225806451624"/>
    <m/>
  </r>
  <r>
    <d v="2021-11-19T00:00:00"/>
    <n v="46"/>
    <x v="45"/>
    <x v="21"/>
    <e v="#REF!"/>
    <e v="#REF!"/>
    <n v="3"/>
    <s v="Valorisables"/>
    <x v="2"/>
    <m/>
    <m/>
    <n v="0"/>
    <n v="0"/>
    <m/>
  </r>
  <r>
    <d v="2021-11-19T00:00:00"/>
    <n v="46"/>
    <x v="45"/>
    <x v="21"/>
    <e v="#REF!"/>
    <e v="#REF!"/>
    <n v="4"/>
    <s v="Valorisables"/>
    <x v="3"/>
    <m/>
    <m/>
    <n v="0"/>
    <n v="0"/>
    <m/>
  </r>
  <r>
    <d v="2021-11-19T00:00:00"/>
    <n v="46"/>
    <x v="45"/>
    <x v="21"/>
    <e v="#REF!"/>
    <e v="#REF!"/>
    <n v="5"/>
    <s v="Valorisables"/>
    <x v="4"/>
    <n v="0.05"/>
    <n v="0"/>
    <n v="0.05"/>
    <n v="3.2258064516129073E-2"/>
    <m/>
  </r>
  <r>
    <d v="2021-11-19T00:00:00"/>
    <n v="46"/>
    <x v="45"/>
    <x v="21"/>
    <e v="#REF!"/>
    <e v="#REF!"/>
    <n v="6"/>
    <s v="Valorisables"/>
    <x v="5"/>
    <m/>
    <m/>
    <n v="0"/>
    <n v="0"/>
    <m/>
  </r>
  <r>
    <d v="2021-11-19T00:00:00"/>
    <n v="46"/>
    <x v="45"/>
    <x v="21"/>
    <e v="#REF!"/>
    <e v="#REF!"/>
    <n v="7"/>
    <s v="Valorisables"/>
    <x v="6"/>
    <m/>
    <m/>
    <n v="0"/>
    <n v="0"/>
    <m/>
  </r>
  <r>
    <d v="2021-11-19T00:00:00"/>
    <n v="46"/>
    <x v="45"/>
    <x v="21"/>
    <e v="#REF!"/>
    <e v="#REF!"/>
    <n v="8"/>
    <s v="Valorisables"/>
    <x v="7"/>
    <n v="0.55000000000000004"/>
    <n v="0.5"/>
    <n v="5.0000000000000044E-2"/>
    <n v="3.2258064516129094E-2"/>
    <m/>
  </r>
  <r>
    <d v="2021-11-19T00:00:00"/>
    <n v="46"/>
    <x v="45"/>
    <x v="21"/>
    <e v="#REF!"/>
    <e v="#REF!"/>
    <n v="9"/>
    <s v="Valorisables"/>
    <x v="8"/>
    <m/>
    <m/>
    <n v="0"/>
    <n v="0"/>
    <m/>
  </r>
  <r>
    <d v="2021-11-19T00:00:00"/>
    <n v="46"/>
    <x v="45"/>
    <x v="21"/>
    <e v="#REF!"/>
    <e v="#REF!"/>
    <n v="10"/>
    <s v="Valorisables"/>
    <x v="9"/>
    <m/>
    <m/>
    <n v="0"/>
    <n v="0"/>
    <m/>
  </r>
  <r>
    <d v="2021-11-19T00:00:00"/>
    <n v="46"/>
    <x v="45"/>
    <x v="21"/>
    <e v="#REF!"/>
    <e v="#REF!"/>
    <n v="11"/>
    <s v="Valorisables"/>
    <x v="10"/>
    <n v="26.85"/>
    <n v="25.900000000000002"/>
    <n v="0.94999999999999929"/>
    <n v="0.61290322580645185"/>
    <m/>
  </r>
  <r>
    <d v="2021-11-19T00:00:00"/>
    <n v="46"/>
    <x v="45"/>
    <x v="21"/>
    <e v="#REF!"/>
    <e v="#REF!"/>
    <n v="12"/>
    <s v="Refus"/>
    <x v="11"/>
    <n v="8.85"/>
    <n v="8.5500000000000007"/>
    <n v="0.29999999999999893"/>
    <n v="0.19354838709677372"/>
    <m/>
  </r>
  <r>
    <d v="2021-11-23T00:00:00"/>
    <n v="47"/>
    <x v="46"/>
    <x v="22"/>
    <n v="12.200000000000001"/>
    <n v="12.199999999999992"/>
    <n v="1"/>
    <s v="Valorisables"/>
    <x v="0"/>
    <n v="0.9"/>
    <n v="0.55000000000000004"/>
    <n v="0.35"/>
    <n v="2.8688524590163952E-2"/>
    <m/>
  </r>
  <r>
    <d v="2021-11-23T00:00:00"/>
    <n v="47"/>
    <x v="46"/>
    <x v="22"/>
    <n v="12.200000000000001"/>
    <n v="-7.2801509811485667E-16"/>
    <n v="2"/>
    <s v="Valorisables"/>
    <x v="1"/>
    <n v="18.05"/>
    <n v="16.8"/>
    <n v="1.25"/>
    <n v="0.1024590163934427"/>
    <m/>
  </r>
  <r>
    <d v="2021-11-23T00:00:00"/>
    <n v="47"/>
    <x v="46"/>
    <x v="22"/>
    <e v="#REF!"/>
    <e v="#REF!"/>
    <n v="3"/>
    <s v="Valorisables"/>
    <x v="2"/>
    <n v="28.05"/>
    <n v="25.1"/>
    <n v="2.9499999999999993"/>
    <n v="0.24180327868852469"/>
    <m/>
  </r>
  <r>
    <d v="2021-11-23T00:00:00"/>
    <n v="47"/>
    <x v="46"/>
    <x v="22"/>
    <e v="#REF!"/>
    <e v="#REF!"/>
    <n v="4"/>
    <s v="Valorisables"/>
    <x v="3"/>
    <n v="19.45"/>
    <n v="17.100000000000001"/>
    <n v="2.3499999999999979"/>
    <n v="0.19262295081967207"/>
    <m/>
  </r>
  <r>
    <d v="2021-11-23T00:00:00"/>
    <n v="47"/>
    <x v="46"/>
    <x v="22"/>
    <e v="#REF!"/>
    <e v="#REF!"/>
    <n v="5"/>
    <s v="Valorisables"/>
    <x v="4"/>
    <n v="0.65"/>
    <n v="0.55000000000000004"/>
    <n v="9.9999999999999978E-2"/>
    <n v="8.1967213114754137E-3"/>
    <m/>
  </r>
  <r>
    <d v="2021-11-23T00:00:00"/>
    <n v="47"/>
    <x v="46"/>
    <x v="22"/>
    <e v="#REF!"/>
    <e v="#REF!"/>
    <n v="6"/>
    <s v="Valorisables"/>
    <x v="5"/>
    <m/>
    <m/>
    <n v="0"/>
    <n v="0"/>
    <m/>
  </r>
  <r>
    <d v="2021-11-23T00:00:00"/>
    <n v="47"/>
    <x v="46"/>
    <x v="22"/>
    <e v="#REF!"/>
    <e v="#REF!"/>
    <n v="7"/>
    <s v="Valorisables"/>
    <x v="6"/>
    <m/>
    <m/>
    <n v="0"/>
    <n v="0"/>
    <m/>
  </r>
  <r>
    <d v="2021-11-23T00:00:00"/>
    <n v="47"/>
    <x v="46"/>
    <x v="22"/>
    <e v="#REF!"/>
    <e v="#REF!"/>
    <n v="8"/>
    <s v="Valorisables"/>
    <x v="7"/>
    <n v="2.2000000000000002"/>
    <n v="0.5"/>
    <n v="1.7000000000000002"/>
    <n v="0.13934426229508207"/>
    <m/>
  </r>
  <r>
    <d v="2021-11-23T00:00:00"/>
    <n v="47"/>
    <x v="46"/>
    <x v="22"/>
    <e v="#REF!"/>
    <e v="#REF!"/>
    <n v="9"/>
    <s v="Valorisables"/>
    <x v="8"/>
    <m/>
    <m/>
    <n v="0"/>
    <n v="0"/>
    <m/>
  </r>
  <r>
    <d v="2021-11-23T00:00:00"/>
    <n v="47"/>
    <x v="46"/>
    <x v="22"/>
    <e v="#REF!"/>
    <e v="#REF!"/>
    <n v="10"/>
    <s v="Valorisables"/>
    <x v="9"/>
    <n v="1.35"/>
    <n v="0.55000000000000004"/>
    <n v="0.8"/>
    <n v="6.5573770491803324E-2"/>
    <m/>
  </r>
  <r>
    <d v="2021-11-23T00:00:00"/>
    <n v="47"/>
    <x v="46"/>
    <x v="22"/>
    <e v="#REF!"/>
    <e v="#REF!"/>
    <n v="11"/>
    <s v="Valorisables"/>
    <x v="10"/>
    <n v="8.9499999999999993"/>
    <n v="8.5500000000000007"/>
    <n v="0.39999999999999858"/>
    <n v="3.2786885245901544E-2"/>
    <m/>
  </r>
  <r>
    <d v="2021-11-23T00:00:00"/>
    <n v="47"/>
    <x v="46"/>
    <x v="22"/>
    <e v="#REF!"/>
    <e v="#REF!"/>
    <n v="12"/>
    <s v="Refus"/>
    <x v="11"/>
    <n v="19.149999999999999"/>
    <n v="16.850000000000001"/>
    <n v="2.2999999999999972"/>
    <n v="0.1885245901639343"/>
    <s v="dont un gros jouet PP de 450g avec autres matériaux / plastiques souples non valo"/>
  </r>
  <r>
    <d v="2021-11-23T00:00:00"/>
    <n v="48"/>
    <x v="47"/>
    <x v="23"/>
    <n v="3.5999999999999996"/>
    <n v="3.6999999999999975"/>
    <n v="1"/>
    <s v="Valorisables"/>
    <x v="0"/>
    <n v="28.6"/>
    <n v="25.6"/>
    <n v="3"/>
    <n v="0.81081081081081141"/>
    <m/>
  </r>
  <r>
    <d v="2021-11-23T00:00:00"/>
    <n v="48"/>
    <x v="47"/>
    <x v="23"/>
    <n v="3.5999999999999996"/>
    <n v="2.777777777777719E-2"/>
    <n v="2"/>
    <s v="Valorisables"/>
    <x v="1"/>
    <n v="17.2"/>
    <n v="16.850000000000001"/>
    <n v="0.34999999999999787"/>
    <n v="9.4594594594594086E-2"/>
    <m/>
  </r>
  <r>
    <d v="2021-11-23T00:00:00"/>
    <n v="48"/>
    <x v="47"/>
    <x v="23"/>
    <e v="#REF!"/>
    <e v="#REF!"/>
    <n v="3"/>
    <s v="Valorisables"/>
    <x v="2"/>
    <m/>
    <m/>
    <n v="0"/>
    <n v="0"/>
    <m/>
  </r>
  <r>
    <d v="2021-11-23T00:00:00"/>
    <n v="48"/>
    <x v="47"/>
    <x v="23"/>
    <e v="#REF!"/>
    <e v="#REF!"/>
    <n v="4"/>
    <s v="Valorisables"/>
    <x v="3"/>
    <m/>
    <m/>
    <n v="0"/>
    <n v="0"/>
    <m/>
  </r>
  <r>
    <d v="2021-11-23T00:00:00"/>
    <n v="48"/>
    <x v="47"/>
    <x v="23"/>
    <e v="#REF!"/>
    <e v="#REF!"/>
    <n v="5"/>
    <s v="Valorisables"/>
    <x v="4"/>
    <n v="0.6"/>
    <n v="0.55000000000000004"/>
    <n v="4.9999999999999933E-2"/>
    <n v="1.3513513513513504E-2"/>
    <m/>
  </r>
  <r>
    <d v="2021-11-23T00:00:00"/>
    <n v="48"/>
    <x v="47"/>
    <x v="23"/>
    <e v="#REF!"/>
    <e v="#REF!"/>
    <n v="6"/>
    <s v="Valorisables"/>
    <x v="5"/>
    <m/>
    <m/>
    <n v="0"/>
    <n v="0"/>
    <m/>
  </r>
  <r>
    <d v="2021-11-23T00:00:00"/>
    <n v="48"/>
    <x v="47"/>
    <x v="23"/>
    <e v="#REF!"/>
    <e v="#REF!"/>
    <n v="7"/>
    <s v="Valorisables"/>
    <x v="6"/>
    <m/>
    <m/>
    <n v="0"/>
    <n v="0"/>
    <m/>
  </r>
  <r>
    <d v="2021-11-23T00:00:00"/>
    <n v="48"/>
    <x v="47"/>
    <x v="23"/>
    <e v="#REF!"/>
    <e v="#REF!"/>
    <n v="8"/>
    <s v="Valorisables"/>
    <x v="7"/>
    <m/>
    <m/>
    <n v="0"/>
    <n v="0"/>
    <m/>
  </r>
  <r>
    <d v="2021-11-23T00:00:00"/>
    <n v="48"/>
    <x v="47"/>
    <x v="23"/>
    <e v="#REF!"/>
    <e v="#REF!"/>
    <n v="9"/>
    <s v="Valorisables"/>
    <x v="8"/>
    <m/>
    <m/>
    <n v="0"/>
    <n v="0"/>
    <m/>
  </r>
  <r>
    <d v="2021-11-23T00:00:00"/>
    <n v="48"/>
    <x v="47"/>
    <x v="23"/>
    <e v="#REF!"/>
    <e v="#REF!"/>
    <n v="10"/>
    <s v="Valorisables"/>
    <x v="9"/>
    <n v="0.05"/>
    <n v="0"/>
    <n v="0.05"/>
    <n v="1.3513513513513523E-2"/>
    <m/>
  </r>
  <r>
    <d v="2021-11-23T00:00:00"/>
    <n v="48"/>
    <x v="47"/>
    <x v="23"/>
    <e v="#REF!"/>
    <e v="#REF!"/>
    <n v="11"/>
    <s v="Valorisables"/>
    <x v="10"/>
    <m/>
    <m/>
    <n v="0"/>
    <n v="0"/>
    <m/>
  </r>
  <r>
    <d v="2021-11-23T00:00:00"/>
    <n v="48"/>
    <x v="47"/>
    <x v="23"/>
    <e v="#REF!"/>
    <e v="#REF!"/>
    <n v="12"/>
    <s v="Refus"/>
    <x v="11"/>
    <n v="8.5500000000000007"/>
    <n v="8.3000000000000007"/>
    <n v="0.25"/>
    <n v="6.7567567567567613E-2"/>
    <s v="dont couverture de survie"/>
  </r>
  <r>
    <d v="2021-11-23T00:00:00"/>
    <n v="49"/>
    <x v="48"/>
    <x v="24"/>
    <n v="31.2"/>
    <n v="31.099999999999987"/>
    <n v="1"/>
    <s v="Valorisables"/>
    <x v="0"/>
    <n v="11.299999999999999"/>
    <n v="8.8000000000000007"/>
    <n v="2.4999999999999982"/>
    <n v="8.0385852090032128E-2"/>
    <m/>
  </r>
  <r>
    <d v="2021-11-23T00:00:00"/>
    <n v="49"/>
    <x v="48"/>
    <x v="24"/>
    <n v="31.2"/>
    <n v="-3.2051282051285923E-3"/>
    <n v="2"/>
    <s v="Valorisables"/>
    <x v="1"/>
    <n v="38.799999999999997"/>
    <n v="33.950000000000003"/>
    <n v="4.8499999999999943"/>
    <n v="0.15594855305466226"/>
    <m/>
  </r>
  <r>
    <d v="2021-11-23T00:00:00"/>
    <n v="49"/>
    <x v="48"/>
    <x v="24"/>
    <e v="#REF!"/>
    <e v="#REF!"/>
    <n v="3"/>
    <s v="Valorisables"/>
    <x v="2"/>
    <n v="19.850000000000001"/>
    <n v="16.55"/>
    <n v="3.3000000000000007"/>
    <n v="0.10610932475884251"/>
    <m/>
  </r>
  <r>
    <d v="2021-11-23T00:00:00"/>
    <n v="49"/>
    <x v="48"/>
    <x v="24"/>
    <e v="#REF!"/>
    <e v="#REF!"/>
    <n v="4"/>
    <s v="Valorisables"/>
    <x v="3"/>
    <n v="0.9"/>
    <n v="0.55000000000000004"/>
    <n v="0.35"/>
    <n v="1.1254019292604505E-2"/>
    <m/>
  </r>
  <r>
    <d v="2021-11-23T00:00:00"/>
    <n v="49"/>
    <x v="48"/>
    <x v="24"/>
    <e v="#REF!"/>
    <e v="#REF!"/>
    <n v="5"/>
    <s v="Valorisables"/>
    <x v="4"/>
    <n v="1.1000000000000001"/>
    <n v="0.55000000000000004"/>
    <n v="0.55000000000000004"/>
    <n v="1.7684887459807081E-2"/>
    <m/>
  </r>
  <r>
    <d v="2021-11-23T00:00:00"/>
    <n v="49"/>
    <x v="48"/>
    <x v="24"/>
    <e v="#REF!"/>
    <e v="#REF!"/>
    <n v="6"/>
    <s v="Valorisables"/>
    <x v="5"/>
    <m/>
    <m/>
    <n v="0"/>
    <n v="0"/>
    <m/>
  </r>
  <r>
    <d v="2021-11-23T00:00:00"/>
    <n v="49"/>
    <x v="48"/>
    <x v="24"/>
    <e v="#REF!"/>
    <e v="#REF!"/>
    <n v="7"/>
    <s v="Valorisables"/>
    <x v="6"/>
    <n v="0.5"/>
    <n v="0"/>
    <n v="0.5"/>
    <n v="1.6077170418006437E-2"/>
    <m/>
  </r>
  <r>
    <d v="2021-11-23T00:00:00"/>
    <n v="49"/>
    <x v="48"/>
    <x v="24"/>
    <e v="#REF!"/>
    <e v="#REF!"/>
    <n v="8"/>
    <s v="Valorisables"/>
    <x v="7"/>
    <n v="5.05"/>
    <n v="1.1000000000000001"/>
    <n v="3.9499999999999997"/>
    <n v="0.12700964630225084"/>
    <m/>
  </r>
  <r>
    <d v="2021-11-23T00:00:00"/>
    <n v="49"/>
    <x v="48"/>
    <x v="24"/>
    <e v="#REF!"/>
    <e v="#REF!"/>
    <n v="9"/>
    <s v="Valorisables"/>
    <x v="8"/>
    <m/>
    <m/>
    <n v="0"/>
    <n v="0"/>
    <m/>
  </r>
  <r>
    <d v="2021-11-23T00:00:00"/>
    <n v="49"/>
    <x v="48"/>
    <x v="24"/>
    <e v="#REF!"/>
    <e v="#REF!"/>
    <n v="10"/>
    <s v="Valorisables"/>
    <x v="9"/>
    <n v="17.8"/>
    <n v="9.65"/>
    <n v="8.15"/>
    <n v="0.26205787781350492"/>
    <m/>
  </r>
  <r>
    <d v="2021-11-23T00:00:00"/>
    <n v="49"/>
    <x v="48"/>
    <x v="24"/>
    <e v="#REF!"/>
    <e v="#REF!"/>
    <n v="11"/>
    <s v="Valorisables"/>
    <x v="10"/>
    <n v="0.75"/>
    <n v="0.55000000000000004"/>
    <n v="0.19999999999999996"/>
    <n v="6.4308681672025731E-3"/>
    <m/>
  </r>
  <r>
    <d v="2021-11-23T00:00:00"/>
    <n v="49"/>
    <x v="48"/>
    <x v="24"/>
    <e v="#REF!"/>
    <e v="#REF!"/>
    <n v="12"/>
    <s v="Refus"/>
    <x v="11"/>
    <n v="23.799999999999997"/>
    <n v="17.05"/>
    <n v="6.7499999999999964"/>
    <n v="0.21704180064308679"/>
    <s v="dont plusieurs sacs non ouverts avec dechets divers / plusieurs gros textiles / emballages avec aliments encore présents"/>
  </r>
  <r>
    <d v="2021-11-23T00:00:00"/>
    <n v="50"/>
    <x v="49"/>
    <x v="25"/>
    <n v="10.200000000000001"/>
    <n v="10.249999999999998"/>
    <n v="1"/>
    <s v="Valorisables"/>
    <x v="0"/>
    <n v="0.95"/>
    <n v="0.55000000000000004"/>
    <n v="0.39999999999999991"/>
    <n v="3.9024390243902439E-2"/>
    <m/>
  </r>
  <r>
    <d v="2021-11-23T00:00:00"/>
    <n v="50"/>
    <x v="49"/>
    <x v="25"/>
    <n v="10.200000000000001"/>
    <n v="4.9019607843134461E-3"/>
    <n v="2"/>
    <s v="Valorisables"/>
    <x v="1"/>
    <n v="18.55"/>
    <n v="16.8"/>
    <n v="1.75"/>
    <n v="0.17073170731707321"/>
    <m/>
  </r>
  <r>
    <d v="2021-11-23T00:00:00"/>
    <n v="50"/>
    <x v="49"/>
    <x v="25"/>
    <e v="#REF!"/>
    <e v="#REF!"/>
    <n v="3"/>
    <s v="Valorisables"/>
    <x v="2"/>
    <n v="18.350000000000001"/>
    <n v="16.850000000000001"/>
    <n v="1.5"/>
    <n v="0.14634146341463417"/>
    <m/>
  </r>
  <r>
    <d v="2021-11-23T00:00:00"/>
    <n v="50"/>
    <x v="49"/>
    <x v="25"/>
    <e v="#REF!"/>
    <e v="#REF!"/>
    <n v="4"/>
    <s v="Valorisables"/>
    <x v="3"/>
    <n v="0.75"/>
    <n v="0.55000000000000004"/>
    <n v="0.19999999999999996"/>
    <n v="1.9512195121951219E-2"/>
    <m/>
  </r>
  <r>
    <d v="2021-11-23T00:00:00"/>
    <n v="50"/>
    <x v="49"/>
    <x v="25"/>
    <e v="#REF!"/>
    <e v="#REF!"/>
    <n v="5"/>
    <s v="Valorisables"/>
    <x v="4"/>
    <n v="0.05"/>
    <n v="0"/>
    <n v="0.05"/>
    <n v="4.8780487804878057E-3"/>
    <m/>
  </r>
  <r>
    <d v="2021-11-23T00:00:00"/>
    <n v="50"/>
    <x v="49"/>
    <x v="25"/>
    <e v="#REF!"/>
    <e v="#REF!"/>
    <n v="6"/>
    <s v="Valorisables"/>
    <x v="5"/>
    <m/>
    <m/>
    <n v="0"/>
    <n v="0"/>
    <m/>
  </r>
  <r>
    <d v="2021-11-23T00:00:00"/>
    <n v="50"/>
    <x v="49"/>
    <x v="25"/>
    <e v="#REF!"/>
    <e v="#REF!"/>
    <n v="7"/>
    <s v="Valorisables"/>
    <x v="6"/>
    <m/>
    <m/>
    <n v="0"/>
    <n v="0"/>
    <m/>
  </r>
  <r>
    <d v="2021-11-23T00:00:00"/>
    <n v="50"/>
    <x v="49"/>
    <x v="25"/>
    <e v="#REF!"/>
    <e v="#REF!"/>
    <n v="8"/>
    <s v="Valorisables"/>
    <x v="7"/>
    <n v="0.85"/>
    <n v="0.55000000000000004"/>
    <n v="0.29999999999999993"/>
    <n v="2.9268292682926828E-2"/>
    <m/>
  </r>
  <r>
    <d v="2021-11-23T00:00:00"/>
    <n v="50"/>
    <x v="49"/>
    <x v="25"/>
    <e v="#REF!"/>
    <e v="#REF!"/>
    <n v="9"/>
    <s v="Valorisables"/>
    <x v="8"/>
    <m/>
    <m/>
    <n v="0"/>
    <n v="0"/>
    <m/>
  </r>
  <r>
    <d v="2021-11-23T00:00:00"/>
    <n v="50"/>
    <x v="49"/>
    <x v="25"/>
    <e v="#REF!"/>
    <e v="#REF!"/>
    <n v="10"/>
    <s v="Valorisables"/>
    <x v="9"/>
    <n v="0.95"/>
    <n v="0.55000000000000004"/>
    <n v="0.39999999999999991"/>
    <n v="3.9024390243902439E-2"/>
    <m/>
  </r>
  <r>
    <d v="2021-11-23T00:00:00"/>
    <n v="50"/>
    <x v="49"/>
    <x v="25"/>
    <e v="#REF!"/>
    <e v="#REF!"/>
    <n v="11"/>
    <s v="Valorisables"/>
    <x v="10"/>
    <n v="26.8"/>
    <n v="25.400000000000002"/>
    <n v="1.3999999999999986"/>
    <n v="0.13658536585365841"/>
    <m/>
  </r>
  <r>
    <d v="2021-11-23T00:00:00"/>
    <n v="50"/>
    <x v="49"/>
    <x v="25"/>
    <e v="#REF!"/>
    <e v="#REF!"/>
    <n v="12"/>
    <s v="Refus"/>
    <x v="11"/>
    <n v="21.35"/>
    <n v="17.100000000000001"/>
    <n v="4.25"/>
    <n v="0.41463414634146351"/>
    <s v="dont 2 gros sac jaune non ouvert avec déchets divers + bouteille en verre + cables électriques neufs"/>
  </r>
  <r>
    <d v="2021-11-23T00:00:00"/>
    <n v="51"/>
    <x v="50"/>
    <x v="26"/>
    <n v="9.4"/>
    <n v="9.5000000000000018"/>
    <n v="1"/>
    <s v="Valorisables"/>
    <x v="0"/>
    <n v="0.65"/>
    <n v="0.55000000000000004"/>
    <n v="9.9999999999999978E-2"/>
    <n v="1.0526315789473681E-2"/>
    <m/>
  </r>
  <r>
    <d v="2021-11-23T00:00:00"/>
    <n v="51"/>
    <x v="50"/>
    <x v="26"/>
    <n v="9.4"/>
    <n v="1.0638297872340576E-2"/>
    <n v="2"/>
    <s v="Valorisables"/>
    <x v="1"/>
    <n v="0.1"/>
    <n v="0"/>
    <n v="0.1"/>
    <n v="1.0526315789473682E-2"/>
    <m/>
  </r>
  <r>
    <d v="2021-11-23T00:00:00"/>
    <n v="51"/>
    <x v="50"/>
    <x v="26"/>
    <e v="#REF!"/>
    <e v="#REF!"/>
    <n v="3"/>
    <s v="Valorisables"/>
    <x v="2"/>
    <n v="1"/>
    <n v="0.55000000000000004"/>
    <n v="0.44999999999999996"/>
    <n v="4.7368421052631567E-2"/>
    <m/>
  </r>
  <r>
    <d v="2021-11-23T00:00:00"/>
    <n v="51"/>
    <x v="50"/>
    <x v="26"/>
    <e v="#REF!"/>
    <e v="#REF!"/>
    <n v="4"/>
    <s v="Valorisables"/>
    <x v="3"/>
    <m/>
    <m/>
    <n v="0"/>
    <n v="0"/>
    <m/>
  </r>
  <r>
    <d v="2021-11-23T00:00:00"/>
    <n v="51"/>
    <x v="50"/>
    <x v="26"/>
    <e v="#REF!"/>
    <e v="#REF!"/>
    <n v="5"/>
    <s v="Valorisables"/>
    <x v="4"/>
    <m/>
    <m/>
    <n v="0"/>
    <n v="0"/>
    <m/>
  </r>
  <r>
    <d v="2021-11-23T00:00:00"/>
    <n v="51"/>
    <x v="50"/>
    <x v="26"/>
    <e v="#REF!"/>
    <e v="#REF!"/>
    <n v="6"/>
    <s v="Valorisables"/>
    <x v="5"/>
    <m/>
    <m/>
    <n v="0"/>
    <n v="0"/>
    <m/>
  </r>
  <r>
    <d v="2021-11-23T00:00:00"/>
    <n v="51"/>
    <x v="50"/>
    <x v="26"/>
    <e v="#REF!"/>
    <e v="#REF!"/>
    <n v="7"/>
    <s v="Valorisables"/>
    <x v="6"/>
    <m/>
    <m/>
    <n v="0"/>
    <n v="0"/>
    <m/>
  </r>
  <r>
    <d v="2021-11-23T00:00:00"/>
    <n v="51"/>
    <x v="50"/>
    <x v="26"/>
    <e v="#REF!"/>
    <e v="#REF!"/>
    <n v="8"/>
    <s v="Valorisables"/>
    <x v="7"/>
    <n v="19.55"/>
    <n v="17.100000000000001"/>
    <n v="2.4499999999999993"/>
    <n v="0.25789473684210512"/>
    <m/>
  </r>
  <r>
    <d v="2021-11-23T00:00:00"/>
    <n v="51"/>
    <x v="50"/>
    <x v="26"/>
    <e v="#REF!"/>
    <e v="#REF!"/>
    <n v="9"/>
    <s v="Valorisables"/>
    <x v="8"/>
    <m/>
    <m/>
    <n v="0"/>
    <n v="0"/>
    <m/>
  </r>
  <r>
    <d v="2021-11-23T00:00:00"/>
    <n v="51"/>
    <x v="50"/>
    <x v="26"/>
    <e v="#REF!"/>
    <e v="#REF!"/>
    <n v="10"/>
    <s v="Valorisables"/>
    <x v="9"/>
    <n v="30.650000000000002"/>
    <n v="25.1"/>
    <n v="5.5500000000000007"/>
    <n v="0.5842105263157894"/>
    <m/>
  </r>
  <r>
    <d v="2021-11-23T00:00:00"/>
    <n v="51"/>
    <x v="50"/>
    <x v="26"/>
    <e v="#REF!"/>
    <e v="#REF!"/>
    <n v="11"/>
    <s v="Valorisables"/>
    <x v="10"/>
    <m/>
    <m/>
    <n v="0"/>
    <n v="0"/>
    <m/>
  </r>
  <r>
    <d v="2021-11-23T00:00:00"/>
    <n v="51"/>
    <x v="50"/>
    <x v="26"/>
    <e v="#REF!"/>
    <e v="#REF!"/>
    <n v="12"/>
    <s v="Refus"/>
    <x v="11"/>
    <n v="17.700000000000003"/>
    <n v="16.850000000000001"/>
    <n v="0.85000000000000142"/>
    <n v="8.9473684210526455E-2"/>
    <m/>
  </r>
  <r>
    <d v="2021-11-23T00:00:00"/>
    <n v="52"/>
    <x v="51"/>
    <x v="27"/>
    <n v="24.6"/>
    <n v="24.399999999999984"/>
    <n v="1"/>
    <s v="Valorisables"/>
    <x v="0"/>
    <n v="2.65"/>
    <n v="0.5"/>
    <n v="2.15"/>
    <n v="8.8114754098360712E-2"/>
    <s v="ensemble de bouteilles PET clair compactées"/>
  </r>
  <r>
    <d v="2021-11-23T00:00:00"/>
    <n v="52"/>
    <x v="51"/>
    <x v="27"/>
    <n v="24.6"/>
    <n v="-8.1300813008137011E-3"/>
    <n v="2"/>
    <s v="Valorisables"/>
    <x v="1"/>
    <n v="1.75"/>
    <n v="0.55000000000000004"/>
    <n v="1.2"/>
    <n v="4.9180327868852486E-2"/>
    <m/>
  </r>
  <r>
    <d v="2021-11-23T00:00:00"/>
    <n v="52"/>
    <x v="51"/>
    <x v="27"/>
    <e v="#REF!"/>
    <e v="#REF!"/>
    <n v="3"/>
    <s v="Valorisables"/>
    <x v="2"/>
    <n v="21"/>
    <n v="16.55"/>
    <n v="4.4499999999999993"/>
    <n v="0.18237704918032796"/>
    <m/>
  </r>
  <r>
    <d v="2021-11-23T00:00:00"/>
    <n v="52"/>
    <x v="51"/>
    <x v="27"/>
    <e v="#REF!"/>
    <e v="#REF!"/>
    <n v="4"/>
    <s v="Valorisables"/>
    <x v="3"/>
    <n v="0.6"/>
    <n v="0.55000000000000004"/>
    <n v="4.9999999999999933E-2"/>
    <n v="2.0491803278688508E-3"/>
    <m/>
  </r>
  <r>
    <d v="2021-11-23T00:00:00"/>
    <n v="52"/>
    <x v="51"/>
    <x v="27"/>
    <e v="#REF!"/>
    <e v="#REF!"/>
    <n v="5"/>
    <s v="Valorisables"/>
    <x v="4"/>
    <n v="0.8"/>
    <n v="0.55000000000000004"/>
    <n v="0.25"/>
    <n v="1.0245901639344268E-2"/>
    <m/>
  </r>
  <r>
    <d v="2021-11-23T00:00:00"/>
    <n v="52"/>
    <x v="51"/>
    <x v="27"/>
    <e v="#REF!"/>
    <e v="#REF!"/>
    <n v="6"/>
    <s v="Valorisables"/>
    <x v="5"/>
    <m/>
    <m/>
    <n v="0"/>
    <n v="0"/>
    <m/>
  </r>
  <r>
    <d v="2021-11-23T00:00:00"/>
    <n v="52"/>
    <x v="51"/>
    <x v="27"/>
    <e v="#REF!"/>
    <e v="#REF!"/>
    <n v="7"/>
    <s v="Valorisables"/>
    <x v="6"/>
    <m/>
    <m/>
    <n v="0"/>
    <n v="0"/>
    <m/>
  </r>
  <r>
    <d v="2021-11-23T00:00:00"/>
    <n v="52"/>
    <x v="51"/>
    <x v="27"/>
    <e v="#REF!"/>
    <e v="#REF!"/>
    <n v="8"/>
    <s v="Valorisables"/>
    <x v="7"/>
    <n v="3"/>
    <n v="0.55000000000000004"/>
    <n v="2.4500000000000002"/>
    <n v="0.10040983606557384"/>
    <m/>
  </r>
  <r>
    <d v="2021-11-23T00:00:00"/>
    <n v="52"/>
    <x v="51"/>
    <x v="27"/>
    <e v="#REF!"/>
    <e v="#REF!"/>
    <n v="9"/>
    <s v="Valorisables"/>
    <x v="8"/>
    <m/>
    <m/>
    <n v="0"/>
    <n v="0"/>
    <m/>
  </r>
  <r>
    <d v="2021-11-23T00:00:00"/>
    <n v="52"/>
    <x v="51"/>
    <x v="27"/>
    <e v="#REF!"/>
    <e v="#REF!"/>
    <n v="10"/>
    <s v="Valorisables"/>
    <x v="9"/>
    <n v="25.299999999999997"/>
    <n v="17.100000000000001"/>
    <n v="8.1999999999999957"/>
    <n v="0.33606557377049184"/>
    <m/>
  </r>
  <r>
    <d v="2021-11-23T00:00:00"/>
    <n v="52"/>
    <x v="51"/>
    <x v="27"/>
    <e v="#REF!"/>
    <e v="#REF!"/>
    <n v="11"/>
    <s v="Valorisables"/>
    <x v="10"/>
    <n v="0.7"/>
    <n v="0.55000000000000004"/>
    <n v="0.14999999999999991"/>
    <n v="6.1475409836065573E-3"/>
    <m/>
  </r>
  <r>
    <d v="2021-11-23T00:00:00"/>
    <n v="52"/>
    <x v="51"/>
    <x v="27"/>
    <e v="#REF!"/>
    <e v="#REF!"/>
    <n v="12"/>
    <s v="Refus"/>
    <x v="11"/>
    <n v="39.15"/>
    <n v="33.650000000000006"/>
    <n v="5.4999999999999929"/>
    <n v="0.22540983606557363"/>
    <m/>
  </r>
  <r>
    <d v="2021-11-23T00:00:00"/>
    <n v="53"/>
    <x v="52"/>
    <x v="28"/>
    <n v="1.8"/>
    <n v="1.6999999999999997"/>
    <n v="1"/>
    <s v="Valorisables"/>
    <x v="0"/>
    <m/>
    <m/>
    <n v="0"/>
    <n v="0"/>
    <m/>
  </r>
  <r>
    <d v="2021-11-23T00:00:00"/>
    <n v="53"/>
    <x v="52"/>
    <x v="28"/>
    <n v="1.8"/>
    <n v="-5.5555555555555726E-2"/>
    <n v="2"/>
    <s v="Valorisables"/>
    <x v="1"/>
    <n v="0.05"/>
    <n v="0"/>
    <n v="0.05"/>
    <n v="2.9411764705882359E-2"/>
    <m/>
  </r>
  <r>
    <d v="2021-11-23T00:00:00"/>
    <n v="53"/>
    <x v="52"/>
    <x v="28"/>
    <e v="#REF!"/>
    <e v="#REF!"/>
    <n v="3"/>
    <s v="Valorisables"/>
    <x v="2"/>
    <n v="0.6"/>
    <n v="0.55000000000000004"/>
    <n v="4.9999999999999933E-2"/>
    <n v="2.9411764705882318E-2"/>
    <m/>
  </r>
  <r>
    <d v="2021-11-23T00:00:00"/>
    <n v="53"/>
    <x v="52"/>
    <x v="28"/>
    <e v="#REF!"/>
    <e v="#REF!"/>
    <n v="4"/>
    <s v="Valorisables"/>
    <x v="3"/>
    <n v="1.8"/>
    <n v="0.55000000000000004"/>
    <n v="1.25"/>
    <n v="0.73529411764705899"/>
    <m/>
  </r>
  <r>
    <d v="2021-11-23T00:00:00"/>
    <n v="53"/>
    <x v="52"/>
    <x v="28"/>
    <e v="#REF!"/>
    <e v="#REF!"/>
    <n v="5"/>
    <s v="Valorisables"/>
    <x v="4"/>
    <m/>
    <m/>
    <n v="0"/>
    <n v="0"/>
    <m/>
  </r>
  <r>
    <d v="2021-11-23T00:00:00"/>
    <n v="53"/>
    <x v="52"/>
    <x v="28"/>
    <e v="#REF!"/>
    <e v="#REF!"/>
    <n v="6"/>
    <s v="Valorisables"/>
    <x v="5"/>
    <m/>
    <m/>
    <n v="0"/>
    <n v="0"/>
    <m/>
  </r>
  <r>
    <d v="2021-11-23T00:00:00"/>
    <n v="53"/>
    <x v="52"/>
    <x v="28"/>
    <e v="#REF!"/>
    <e v="#REF!"/>
    <n v="7"/>
    <s v="Valorisables"/>
    <x v="6"/>
    <m/>
    <m/>
    <n v="0"/>
    <n v="0"/>
    <m/>
  </r>
  <r>
    <d v="2021-11-23T00:00:00"/>
    <n v="53"/>
    <x v="52"/>
    <x v="28"/>
    <e v="#REF!"/>
    <e v="#REF!"/>
    <n v="8"/>
    <s v="Valorisables"/>
    <x v="7"/>
    <n v="0.6"/>
    <n v="0.55000000000000004"/>
    <n v="4.9999999999999933E-2"/>
    <n v="2.9411764705882318E-2"/>
    <m/>
  </r>
  <r>
    <d v="2021-11-23T00:00:00"/>
    <n v="53"/>
    <x v="52"/>
    <x v="28"/>
    <e v="#REF!"/>
    <e v="#REF!"/>
    <n v="9"/>
    <s v="Valorisables"/>
    <x v="8"/>
    <m/>
    <m/>
    <n v="0"/>
    <n v="0"/>
    <m/>
  </r>
  <r>
    <d v="2021-11-23T00:00:00"/>
    <n v="53"/>
    <x v="52"/>
    <x v="28"/>
    <e v="#REF!"/>
    <e v="#REF!"/>
    <n v="10"/>
    <s v="Valorisables"/>
    <x v="9"/>
    <n v="0.7"/>
    <n v="0.5"/>
    <n v="0.19999999999999996"/>
    <n v="0.11764705882352941"/>
    <m/>
  </r>
  <r>
    <d v="2021-11-23T00:00:00"/>
    <n v="53"/>
    <x v="52"/>
    <x v="28"/>
    <e v="#REF!"/>
    <e v="#REF!"/>
    <n v="11"/>
    <s v="Valorisables"/>
    <x v="10"/>
    <m/>
    <m/>
    <n v="0"/>
    <n v="0"/>
    <m/>
  </r>
  <r>
    <d v="2021-11-23T00:00:00"/>
    <n v="53"/>
    <x v="52"/>
    <x v="28"/>
    <e v="#REF!"/>
    <e v="#REF!"/>
    <n v="12"/>
    <s v="Refus"/>
    <x v="11"/>
    <n v="0.65"/>
    <n v="0.55000000000000004"/>
    <n v="9.9999999999999978E-2"/>
    <n v="5.8823529411764705E-2"/>
    <m/>
  </r>
  <r>
    <d v="2021-11-23T00:00:00"/>
    <n v="54"/>
    <x v="53"/>
    <x v="29"/>
    <n v="2.5"/>
    <n v="2.3499999999999996"/>
    <n v="1"/>
    <s v="Valorisables"/>
    <x v="0"/>
    <n v="0.75"/>
    <n v="0.55000000000000004"/>
    <n v="0.19999999999999996"/>
    <n v="8.5106382978723402E-2"/>
    <m/>
  </r>
  <r>
    <d v="2021-11-23T00:00:00"/>
    <n v="54"/>
    <x v="53"/>
    <x v="29"/>
    <n v="2.5"/>
    <n v="-6.0000000000000143E-2"/>
    <n v="2"/>
    <s v="Valorisables"/>
    <x v="1"/>
    <n v="0.75"/>
    <n v="0.5"/>
    <n v="0.25"/>
    <n v="0.10638297872340427"/>
    <m/>
  </r>
  <r>
    <d v="2021-11-23T00:00:00"/>
    <n v="54"/>
    <x v="53"/>
    <x v="29"/>
    <e v="#REF!"/>
    <e v="#REF!"/>
    <n v="3"/>
    <s v="Valorisables"/>
    <x v="2"/>
    <n v="1.05"/>
    <n v="0.55000000000000004"/>
    <n v="0.5"/>
    <n v="0.21276595744680854"/>
    <m/>
  </r>
  <r>
    <d v="2021-11-23T00:00:00"/>
    <n v="54"/>
    <x v="53"/>
    <x v="29"/>
    <e v="#REF!"/>
    <e v="#REF!"/>
    <n v="4"/>
    <s v="Valorisables"/>
    <x v="3"/>
    <n v="0.65"/>
    <n v="0.55000000000000004"/>
    <n v="9.9999999999999978E-2"/>
    <n v="4.2553191489361701E-2"/>
    <m/>
  </r>
  <r>
    <d v="2021-11-23T00:00:00"/>
    <n v="54"/>
    <x v="53"/>
    <x v="29"/>
    <e v="#REF!"/>
    <e v="#REF!"/>
    <n v="5"/>
    <s v="Valorisables"/>
    <x v="4"/>
    <m/>
    <m/>
    <n v="0"/>
    <n v="0"/>
    <m/>
  </r>
  <r>
    <d v="2021-11-23T00:00:00"/>
    <n v="54"/>
    <x v="53"/>
    <x v="29"/>
    <e v="#REF!"/>
    <e v="#REF!"/>
    <n v="6"/>
    <s v="Valorisables"/>
    <x v="5"/>
    <m/>
    <m/>
    <n v="0"/>
    <n v="0"/>
    <m/>
  </r>
  <r>
    <d v="2021-11-23T00:00:00"/>
    <n v="54"/>
    <x v="53"/>
    <x v="29"/>
    <e v="#REF!"/>
    <e v="#REF!"/>
    <n v="7"/>
    <s v="Valorisables"/>
    <x v="6"/>
    <m/>
    <m/>
    <n v="0"/>
    <n v="0"/>
    <m/>
  </r>
  <r>
    <d v="2021-11-23T00:00:00"/>
    <n v="54"/>
    <x v="53"/>
    <x v="29"/>
    <e v="#REF!"/>
    <e v="#REF!"/>
    <n v="8"/>
    <s v="Valorisables"/>
    <x v="7"/>
    <n v="1.25"/>
    <n v="0.55000000000000004"/>
    <n v="0.7"/>
    <n v="0.29787234042553196"/>
    <m/>
  </r>
  <r>
    <d v="2021-11-23T00:00:00"/>
    <n v="54"/>
    <x v="53"/>
    <x v="29"/>
    <e v="#REF!"/>
    <e v="#REF!"/>
    <n v="9"/>
    <s v="Valorisables"/>
    <x v="8"/>
    <m/>
    <m/>
    <n v="0"/>
    <n v="0"/>
    <m/>
  </r>
  <r>
    <d v="2021-11-23T00:00:00"/>
    <n v="54"/>
    <x v="53"/>
    <x v="29"/>
    <e v="#REF!"/>
    <e v="#REF!"/>
    <n v="10"/>
    <s v="Valorisables"/>
    <x v="9"/>
    <n v="1"/>
    <n v="0.55000000000000004"/>
    <n v="0.44999999999999996"/>
    <n v="0.19148936170212766"/>
    <m/>
  </r>
  <r>
    <d v="2021-11-23T00:00:00"/>
    <n v="54"/>
    <x v="53"/>
    <x v="29"/>
    <e v="#REF!"/>
    <e v="#REF!"/>
    <n v="11"/>
    <s v="Valorisables"/>
    <x v="10"/>
    <m/>
    <m/>
    <n v="0"/>
    <n v="0"/>
    <m/>
  </r>
  <r>
    <d v="2021-11-23T00:00:00"/>
    <n v="54"/>
    <x v="53"/>
    <x v="29"/>
    <e v="#REF!"/>
    <e v="#REF!"/>
    <n v="12"/>
    <s v="Refus"/>
    <x v="11"/>
    <n v="0.7"/>
    <n v="0.55000000000000004"/>
    <n v="0.14999999999999991"/>
    <n v="6.382978723404252E-2"/>
    <m/>
  </r>
  <r>
    <d v="2021-11-23T00:00:00"/>
    <n v="55"/>
    <x v="54"/>
    <x v="30"/>
    <n v="5.3"/>
    <n v="5.1499999999999977"/>
    <n v="1"/>
    <s v="Valorisables"/>
    <x v="0"/>
    <n v="2.8"/>
    <n v="1.1000000000000001"/>
    <n v="1.6999999999999997"/>
    <n v="0.33009708737864085"/>
    <m/>
  </r>
  <r>
    <d v="2021-11-23T00:00:00"/>
    <n v="55"/>
    <x v="54"/>
    <x v="30"/>
    <n v="5.3"/>
    <n v="-2.8301886792453233E-2"/>
    <n v="2"/>
    <s v="Valorisables"/>
    <x v="1"/>
    <n v="4.3499999999999996"/>
    <n v="1.6500000000000001"/>
    <n v="2.6999999999999993"/>
    <n v="0.52427184466019428"/>
    <m/>
  </r>
  <r>
    <d v="2021-11-23T00:00:00"/>
    <n v="55"/>
    <x v="54"/>
    <x v="30"/>
    <e v="#REF!"/>
    <e v="#REF!"/>
    <n v="3"/>
    <s v="Valorisables"/>
    <x v="2"/>
    <n v="0.85"/>
    <n v="0.55000000000000004"/>
    <n v="0.29999999999999993"/>
    <n v="5.8252427184466035E-2"/>
    <m/>
  </r>
  <r>
    <d v="2021-11-23T00:00:00"/>
    <n v="55"/>
    <x v="54"/>
    <x v="30"/>
    <e v="#REF!"/>
    <e v="#REF!"/>
    <n v="4"/>
    <s v="Valorisables"/>
    <x v="3"/>
    <m/>
    <m/>
    <n v="0"/>
    <n v="0"/>
    <m/>
  </r>
  <r>
    <d v="2021-11-23T00:00:00"/>
    <n v="55"/>
    <x v="54"/>
    <x v="30"/>
    <e v="#REF!"/>
    <e v="#REF!"/>
    <n v="5"/>
    <s v="Valorisables"/>
    <x v="4"/>
    <n v="0.05"/>
    <n v="0"/>
    <n v="0.05"/>
    <n v="9.7087378640776743E-3"/>
    <m/>
  </r>
  <r>
    <d v="2021-11-23T00:00:00"/>
    <n v="55"/>
    <x v="54"/>
    <x v="30"/>
    <e v="#REF!"/>
    <e v="#REF!"/>
    <n v="6"/>
    <s v="Valorisables"/>
    <x v="5"/>
    <m/>
    <m/>
    <n v="0"/>
    <n v="0"/>
    <m/>
  </r>
  <r>
    <d v="2021-11-23T00:00:00"/>
    <n v="55"/>
    <x v="54"/>
    <x v="30"/>
    <e v="#REF!"/>
    <e v="#REF!"/>
    <n v="7"/>
    <s v="Valorisables"/>
    <x v="6"/>
    <m/>
    <m/>
    <n v="0"/>
    <n v="0"/>
    <m/>
  </r>
  <r>
    <d v="2021-11-23T00:00:00"/>
    <n v="55"/>
    <x v="54"/>
    <x v="30"/>
    <e v="#REF!"/>
    <e v="#REF!"/>
    <n v="8"/>
    <s v="Valorisables"/>
    <x v="7"/>
    <n v="0.05"/>
    <m/>
    <n v="0.05"/>
    <n v="9.7087378640776743E-3"/>
    <m/>
  </r>
  <r>
    <d v="2021-11-23T00:00:00"/>
    <n v="55"/>
    <x v="54"/>
    <x v="30"/>
    <e v="#REF!"/>
    <e v="#REF!"/>
    <n v="9"/>
    <s v="Valorisables"/>
    <x v="8"/>
    <m/>
    <m/>
    <n v="0"/>
    <n v="0"/>
    <m/>
  </r>
  <r>
    <d v="2021-11-23T00:00:00"/>
    <n v="55"/>
    <x v="54"/>
    <x v="30"/>
    <e v="#REF!"/>
    <e v="#REF!"/>
    <n v="10"/>
    <s v="Valorisables"/>
    <x v="9"/>
    <m/>
    <m/>
    <n v="0"/>
    <n v="0"/>
    <m/>
  </r>
  <r>
    <d v="2021-11-23T00:00:00"/>
    <n v="55"/>
    <x v="54"/>
    <x v="30"/>
    <e v="#REF!"/>
    <e v="#REF!"/>
    <n v="11"/>
    <s v="Valorisables"/>
    <x v="10"/>
    <m/>
    <m/>
    <n v="0"/>
    <n v="0"/>
    <m/>
  </r>
  <r>
    <d v="2021-11-23T00:00:00"/>
    <n v="55"/>
    <x v="54"/>
    <x v="30"/>
    <e v="#REF!"/>
    <e v="#REF!"/>
    <n v="12"/>
    <s v="Refus"/>
    <x v="11"/>
    <n v="0.85"/>
    <n v="0.5"/>
    <n v="0.35"/>
    <n v="6.7961165048543715E-2"/>
    <m/>
  </r>
  <r>
    <d v="2021-11-23T00:00:00"/>
    <n v="56"/>
    <x v="55"/>
    <x v="31"/>
    <n v="5.3"/>
    <n v="5.05"/>
    <n v="1"/>
    <s v="Valorisables"/>
    <x v="0"/>
    <m/>
    <m/>
    <n v="0"/>
    <n v="0"/>
    <m/>
  </r>
  <r>
    <d v="2021-11-23T00:00:00"/>
    <n v="56"/>
    <x v="55"/>
    <x v="31"/>
    <n v="5.3"/>
    <n v="-4.716981132075472E-2"/>
    <n v="2"/>
    <s v="Valorisables"/>
    <x v="1"/>
    <n v="1"/>
    <n v="0.55000000000000004"/>
    <n v="0.44999999999999996"/>
    <n v="8.9108910891089105E-2"/>
    <m/>
  </r>
  <r>
    <d v="2021-11-23T00:00:00"/>
    <n v="56"/>
    <x v="55"/>
    <x v="31"/>
    <e v="#REF!"/>
    <e v="#REF!"/>
    <n v="3"/>
    <s v="Valorisables"/>
    <x v="2"/>
    <n v="6.0500000000000007"/>
    <n v="2.1500000000000004"/>
    <n v="3.9000000000000004"/>
    <n v="0.77227722772277241"/>
    <m/>
  </r>
  <r>
    <d v="2021-11-23T00:00:00"/>
    <n v="56"/>
    <x v="55"/>
    <x v="31"/>
    <e v="#REF!"/>
    <e v="#REF!"/>
    <n v="4"/>
    <s v="Valorisables"/>
    <x v="3"/>
    <n v="0.05"/>
    <n v="0"/>
    <n v="0.05"/>
    <n v="9.9009900990099011E-3"/>
    <m/>
  </r>
  <r>
    <d v="2021-11-23T00:00:00"/>
    <n v="56"/>
    <x v="55"/>
    <x v="31"/>
    <e v="#REF!"/>
    <e v="#REF!"/>
    <n v="5"/>
    <s v="Valorisables"/>
    <x v="4"/>
    <m/>
    <m/>
    <n v="0"/>
    <n v="0"/>
    <m/>
  </r>
  <r>
    <d v="2021-11-23T00:00:00"/>
    <n v="56"/>
    <x v="55"/>
    <x v="31"/>
    <e v="#REF!"/>
    <e v="#REF!"/>
    <n v="6"/>
    <s v="Valorisables"/>
    <x v="5"/>
    <m/>
    <m/>
    <n v="0"/>
    <n v="0"/>
    <m/>
  </r>
  <r>
    <d v="2021-11-23T00:00:00"/>
    <n v="56"/>
    <x v="55"/>
    <x v="31"/>
    <e v="#REF!"/>
    <e v="#REF!"/>
    <n v="7"/>
    <s v="Valorisables"/>
    <x v="6"/>
    <m/>
    <m/>
    <n v="0"/>
    <n v="0"/>
    <m/>
  </r>
  <r>
    <d v="2021-11-23T00:00:00"/>
    <n v="56"/>
    <x v="55"/>
    <x v="31"/>
    <e v="#REF!"/>
    <e v="#REF!"/>
    <n v="8"/>
    <s v="Valorisables"/>
    <x v="7"/>
    <m/>
    <m/>
    <n v="0"/>
    <n v="0"/>
    <m/>
  </r>
  <r>
    <d v="2021-11-23T00:00:00"/>
    <n v="56"/>
    <x v="55"/>
    <x v="31"/>
    <e v="#REF!"/>
    <e v="#REF!"/>
    <n v="9"/>
    <s v="Valorisables"/>
    <x v="8"/>
    <m/>
    <m/>
    <n v="0"/>
    <n v="0"/>
    <m/>
  </r>
  <r>
    <d v="2021-11-23T00:00:00"/>
    <n v="56"/>
    <x v="55"/>
    <x v="31"/>
    <e v="#REF!"/>
    <e v="#REF!"/>
    <n v="10"/>
    <s v="Valorisables"/>
    <x v="9"/>
    <n v="0.75"/>
    <n v="0.55000000000000004"/>
    <n v="0.19999999999999996"/>
    <n v="3.9603960396039598E-2"/>
    <m/>
  </r>
  <r>
    <d v="2021-11-23T00:00:00"/>
    <n v="56"/>
    <x v="55"/>
    <x v="31"/>
    <e v="#REF!"/>
    <e v="#REF!"/>
    <n v="11"/>
    <s v="Valorisables"/>
    <x v="10"/>
    <n v="0.7"/>
    <n v="0.55000000000000004"/>
    <n v="0.14999999999999991"/>
    <n v="2.9702970297029688E-2"/>
    <m/>
  </r>
  <r>
    <d v="2021-11-23T00:00:00"/>
    <n v="56"/>
    <x v="55"/>
    <x v="31"/>
    <e v="#REF!"/>
    <e v="#REF!"/>
    <n v="12"/>
    <s v="Refus"/>
    <x v="11"/>
    <n v="0.85"/>
    <n v="0.55000000000000004"/>
    <n v="0.29999999999999993"/>
    <n v="5.9405940594059396E-2"/>
    <m/>
  </r>
  <r>
    <d v="2021-11-23T00:00:00"/>
    <n v="57"/>
    <x v="56"/>
    <x v="32"/>
    <n v="17.600000000000001"/>
    <n v="17.549999999999997"/>
    <n v="1"/>
    <s v="Valorisables"/>
    <x v="0"/>
    <n v="0.75"/>
    <n v="0.55000000000000004"/>
    <n v="0.19999999999999996"/>
    <n v="1.1396011396011395E-2"/>
    <m/>
  </r>
  <r>
    <d v="2021-11-23T00:00:00"/>
    <n v="57"/>
    <x v="56"/>
    <x v="32"/>
    <n v="17.600000000000001"/>
    <n v="-2.840909090909333E-3"/>
    <n v="2"/>
    <s v="Valorisables"/>
    <x v="1"/>
    <n v="8.6999999999999993"/>
    <n v="8.3000000000000007"/>
    <n v="0.39999999999999858"/>
    <n v="2.2792022792022713E-2"/>
    <m/>
  </r>
  <r>
    <d v="2021-11-23T00:00:00"/>
    <n v="57"/>
    <x v="56"/>
    <x v="32"/>
    <e v="#REF!"/>
    <e v="#REF!"/>
    <n v="3"/>
    <s v="Valorisables"/>
    <x v="2"/>
    <n v="10.199999999999999"/>
    <n v="8.8000000000000007"/>
    <n v="1.3999999999999986"/>
    <n v="7.9772079772079701E-2"/>
    <m/>
  </r>
  <r>
    <d v="2021-11-23T00:00:00"/>
    <n v="57"/>
    <x v="56"/>
    <x v="32"/>
    <e v="#REF!"/>
    <e v="#REF!"/>
    <n v="4"/>
    <s v="Valorisables"/>
    <x v="3"/>
    <m/>
    <m/>
    <n v="0"/>
    <n v="0"/>
    <m/>
  </r>
  <r>
    <d v="2021-11-23T00:00:00"/>
    <n v="57"/>
    <x v="56"/>
    <x v="32"/>
    <e v="#REF!"/>
    <e v="#REF!"/>
    <n v="5"/>
    <s v="Valorisables"/>
    <x v="4"/>
    <n v="0.9"/>
    <n v="0.55000000000000004"/>
    <n v="0.35"/>
    <n v="1.9943019943019946E-2"/>
    <m/>
  </r>
  <r>
    <d v="2021-11-23T00:00:00"/>
    <n v="57"/>
    <x v="56"/>
    <x v="32"/>
    <e v="#REF!"/>
    <e v="#REF!"/>
    <n v="6"/>
    <s v="Valorisables"/>
    <x v="5"/>
    <m/>
    <m/>
    <n v="0"/>
    <n v="0"/>
    <m/>
  </r>
  <r>
    <d v="2021-11-23T00:00:00"/>
    <n v="57"/>
    <x v="56"/>
    <x v="32"/>
    <e v="#REF!"/>
    <e v="#REF!"/>
    <n v="7"/>
    <s v="Valorisables"/>
    <x v="6"/>
    <m/>
    <m/>
    <n v="0"/>
    <n v="0"/>
    <m/>
  </r>
  <r>
    <d v="2021-11-23T00:00:00"/>
    <n v="57"/>
    <x v="56"/>
    <x v="32"/>
    <e v="#REF!"/>
    <e v="#REF!"/>
    <n v="8"/>
    <s v="Valorisables"/>
    <x v="7"/>
    <n v="4.3"/>
    <n v="0.55000000000000004"/>
    <n v="3.75"/>
    <n v="0.21367521367521372"/>
    <m/>
  </r>
  <r>
    <d v="2021-11-23T00:00:00"/>
    <n v="57"/>
    <x v="56"/>
    <x v="32"/>
    <e v="#REF!"/>
    <e v="#REF!"/>
    <n v="9"/>
    <s v="Valorisables"/>
    <x v="8"/>
    <m/>
    <m/>
    <n v="0"/>
    <n v="0"/>
    <m/>
  </r>
  <r>
    <d v="2021-11-23T00:00:00"/>
    <n v="57"/>
    <x v="56"/>
    <x v="32"/>
    <e v="#REF!"/>
    <e v="#REF!"/>
    <n v="10"/>
    <s v="Valorisables"/>
    <x v="9"/>
    <n v="25.15"/>
    <n v="17.100000000000001"/>
    <n v="8.0499999999999972"/>
    <n v="0.4586894586894586"/>
    <m/>
  </r>
  <r>
    <d v="2021-11-23T00:00:00"/>
    <n v="57"/>
    <x v="56"/>
    <x v="32"/>
    <e v="#REF!"/>
    <e v="#REF!"/>
    <n v="11"/>
    <s v="Valorisables"/>
    <x v="10"/>
    <n v="9.5"/>
    <n v="9.0500000000000007"/>
    <n v="0.44999999999999929"/>
    <n v="2.5641025641025605E-2"/>
    <m/>
  </r>
  <r>
    <d v="2021-11-23T00:00:00"/>
    <n v="57"/>
    <x v="56"/>
    <x v="32"/>
    <e v="#REF!"/>
    <e v="#REF!"/>
    <n v="12"/>
    <s v="Refus"/>
    <x v="11"/>
    <n v="28.550000000000004"/>
    <n v="25.6"/>
    <n v="2.9500000000000028"/>
    <n v="0.16809116809116828"/>
    <m/>
  </r>
  <r>
    <d v="2021-11-23T00:00:00"/>
    <n v="58"/>
    <x v="57"/>
    <x v="33"/>
    <n v="4.5999999999999996"/>
    <n v="4.5500000000000007"/>
    <n v="1"/>
    <s v="Valorisables"/>
    <x v="0"/>
    <n v="21.35"/>
    <n v="17.05"/>
    <n v="4.3000000000000007"/>
    <n v="0.94505494505494503"/>
    <m/>
  </r>
  <r>
    <d v="2021-11-23T00:00:00"/>
    <n v="58"/>
    <x v="57"/>
    <x v="33"/>
    <n v="4.5999999999999996"/>
    <n v="-1.0869565217391073E-2"/>
    <n v="2"/>
    <s v="Valorisables"/>
    <x v="1"/>
    <n v="0.8"/>
    <n v="0.55000000000000004"/>
    <n v="0.25"/>
    <n v="5.4945054945054937E-2"/>
    <m/>
  </r>
  <r>
    <d v="2021-11-23T00:00:00"/>
    <n v="58"/>
    <x v="57"/>
    <x v="33"/>
    <e v="#REF!"/>
    <e v="#REF!"/>
    <n v="3"/>
    <s v="Valorisables"/>
    <x v="2"/>
    <m/>
    <m/>
    <n v="0"/>
    <n v="0"/>
    <m/>
  </r>
  <r>
    <d v="2021-11-23T00:00:00"/>
    <n v="58"/>
    <x v="57"/>
    <x v="33"/>
    <e v="#REF!"/>
    <e v="#REF!"/>
    <n v="4"/>
    <s v="Valorisables"/>
    <x v="3"/>
    <m/>
    <m/>
    <n v="0"/>
    <n v="0"/>
    <m/>
  </r>
  <r>
    <d v="2021-11-23T00:00:00"/>
    <n v="58"/>
    <x v="57"/>
    <x v="33"/>
    <e v="#REF!"/>
    <e v="#REF!"/>
    <n v="5"/>
    <s v="Valorisables"/>
    <x v="4"/>
    <m/>
    <m/>
    <n v="0"/>
    <n v="0"/>
    <m/>
  </r>
  <r>
    <d v="2021-11-23T00:00:00"/>
    <n v="58"/>
    <x v="57"/>
    <x v="33"/>
    <e v="#REF!"/>
    <e v="#REF!"/>
    <n v="6"/>
    <s v="Valorisables"/>
    <x v="5"/>
    <m/>
    <m/>
    <n v="0"/>
    <n v="0"/>
    <m/>
  </r>
  <r>
    <d v="2021-11-23T00:00:00"/>
    <n v="58"/>
    <x v="57"/>
    <x v="33"/>
    <e v="#REF!"/>
    <e v="#REF!"/>
    <n v="7"/>
    <s v="Valorisables"/>
    <x v="6"/>
    <m/>
    <m/>
    <n v="0"/>
    <n v="0"/>
    <m/>
  </r>
  <r>
    <d v="2021-11-23T00:00:00"/>
    <n v="58"/>
    <x v="57"/>
    <x v="33"/>
    <e v="#REF!"/>
    <e v="#REF!"/>
    <n v="8"/>
    <s v="Valorisables"/>
    <x v="7"/>
    <m/>
    <m/>
    <n v="0"/>
    <n v="0"/>
    <m/>
  </r>
  <r>
    <d v="2021-11-23T00:00:00"/>
    <n v="58"/>
    <x v="57"/>
    <x v="33"/>
    <e v="#REF!"/>
    <e v="#REF!"/>
    <n v="9"/>
    <s v="Valorisables"/>
    <x v="8"/>
    <m/>
    <m/>
    <n v="0"/>
    <n v="0"/>
    <m/>
  </r>
  <r>
    <d v="2021-11-23T00:00:00"/>
    <n v="58"/>
    <x v="57"/>
    <x v="33"/>
    <e v="#REF!"/>
    <e v="#REF!"/>
    <n v="10"/>
    <s v="Valorisables"/>
    <x v="9"/>
    <m/>
    <m/>
    <n v="0"/>
    <n v="0"/>
    <m/>
  </r>
  <r>
    <d v="2021-11-23T00:00:00"/>
    <n v="58"/>
    <x v="57"/>
    <x v="33"/>
    <e v="#REF!"/>
    <e v="#REF!"/>
    <n v="11"/>
    <s v="Valorisables"/>
    <x v="10"/>
    <m/>
    <m/>
    <n v="0"/>
    <n v="0"/>
    <m/>
  </r>
  <r>
    <d v="2021-11-23T00:00:00"/>
    <n v="58"/>
    <x v="57"/>
    <x v="33"/>
    <e v="#REF!"/>
    <e v="#REF!"/>
    <n v="12"/>
    <s v="Refus"/>
    <x v="11"/>
    <m/>
    <m/>
    <n v="0"/>
    <n v="0"/>
    <m/>
  </r>
  <r>
    <d v="2021-11-23T00:00:00"/>
    <n v="59"/>
    <x v="58"/>
    <x v="34"/>
    <n v="3.8"/>
    <n v="3.6999999999999984"/>
    <n v="1"/>
    <s v="Valorisables"/>
    <x v="0"/>
    <m/>
    <m/>
    <n v="0"/>
    <n v="0"/>
    <m/>
  </r>
  <r>
    <d v="2021-11-23T00:00:00"/>
    <n v="59"/>
    <x v="58"/>
    <x v="34"/>
    <n v="3.8"/>
    <n v="-2.6315789473684587E-2"/>
    <n v="2"/>
    <s v="Valorisables"/>
    <x v="1"/>
    <n v="0.6"/>
    <n v="0.55000000000000004"/>
    <n v="4.9999999999999933E-2"/>
    <n v="1.3513513513513502E-2"/>
    <m/>
  </r>
  <r>
    <d v="2021-11-23T00:00:00"/>
    <n v="59"/>
    <x v="58"/>
    <x v="34"/>
    <e v="#REF!"/>
    <e v="#REF!"/>
    <n v="3"/>
    <s v="Valorisables"/>
    <x v="2"/>
    <m/>
    <m/>
    <n v="0"/>
    <n v="0"/>
    <m/>
  </r>
  <r>
    <d v="2021-11-23T00:00:00"/>
    <n v="59"/>
    <x v="58"/>
    <x v="34"/>
    <e v="#REF!"/>
    <e v="#REF!"/>
    <n v="4"/>
    <s v="Valorisables"/>
    <x v="3"/>
    <m/>
    <m/>
    <n v="0"/>
    <n v="0"/>
    <m/>
  </r>
  <r>
    <d v="2021-11-23T00:00:00"/>
    <n v="59"/>
    <x v="58"/>
    <x v="34"/>
    <e v="#REF!"/>
    <e v="#REF!"/>
    <n v="5"/>
    <s v="Valorisables"/>
    <x v="4"/>
    <m/>
    <m/>
    <n v="0"/>
    <n v="0"/>
    <m/>
  </r>
  <r>
    <d v="2021-11-23T00:00:00"/>
    <n v="59"/>
    <x v="58"/>
    <x v="34"/>
    <e v="#REF!"/>
    <e v="#REF!"/>
    <n v="6"/>
    <s v="Valorisables"/>
    <x v="5"/>
    <m/>
    <m/>
    <n v="0"/>
    <n v="0"/>
    <m/>
  </r>
  <r>
    <d v="2021-11-23T00:00:00"/>
    <n v="59"/>
    <x v="58"/>
    <x v="34"/>
    <e v="#REF!"/>
    <e v="#REF!"/>
    <n v="7"/>
    <s v="Valorisables"/>
    <x v="6"/>
    <n v="7.35"/>
    <n v="6.05"/>
    <n v="1.2999999999999998"/>
    <n v="0.35135135135135148"/>
    <m/>
  </r>
  <r>
    <d v="2021-11-23T00:00:00"/>
    <n v="59"/>
    <x v="58"/>
    <x v="34"/>
    <e v="#REF!"/>
    <e v="#REF!"/>
    <n v="8"/>
    <s v="Valorisables"/>
    <x v="7"/>
    <n v="1.6"/>
    <n v="1.05"/>
    <n v="0.55000000000000004"/>
    <n v="0.14864864864864871"/>
    <m/>
  </r>
  <r>
    <d v="2021-11-23T00:00:00"/>
    <n v="59"/>
    <x v="58"/>
    <x v="34"/>
    <e v="#REF!"/>
    <e v="#REF!"/>
    <n v="9"/>
    <s v="Valorisables"/>
    <x v="8"/>
    <m/>
    <m/>
    <n v="0"/>
    <n v="0"/>
    <m/>
  </r>
  <r>
    <d v="2021-11-23T00:00:00"/>
    <n v="59"/>
    <x v="58"/>
    <x v="34"/>
    <e v="#REF!"/>
    <e v="#REF!"/>
    <n v="10"/>
    <s v="Valorisables"/>
    <x v="9"/>
    <n v="9.5"/>
    <n v="8.5500000000000007"/>
    <n v="0.94999999999999929"/>
    <n v="0.25675675675675669"/>
    <m/>
  </r>
  <r>
    <d v="2021-11-23T00:00:00"/>
    <n v="59"/>
    <x v="58"/>
    <x v="34"/>
    <e v="#REF!"/>
    <e v="#REF!"/>
    <n v="11"/>
    <s v="Valorisables"/>
    <x v="10"/>
    <m/>
    <m/>
    <n v="0"/>
    <n v="0"/>
    <m/>
  </r>
  <r>
    <d v="2021-11-23T00:00:00"/>
    <n v="59"/>
    <x v="58"/>
    <x v="34"/>
    <e v="#REF!"/>
    <e v="#REF!"/>
    <n v="12"/>
    <s v="Refus"/>
    <x v="11"/>
    <n v="9.15"/>
    <n v="8.3000000000000007"/>
    <n v="0.84999999999999964"/>
    <n v="0.22972972972972974"/>
    <m/>
  </r>
  <r>
    <d v="2021-11-23T00:00:00"/>
    <n v="60"/>
    <x v="59"/>
    <x v="35"/>
    <n v="0.60000000000000009"/>
    <n v="0.49999999999999989"/>
    <n v="1"/>
    <s v="Valorisables"/>
    <x v="0"/>
    <m/>
    <m/>
    <n v="0"/>
    <n v="0"/>
    <m/>
  </r>
  <r>
    <d v="2021-11-23T00:00:00"/>
    <n v="60"/>
    <x v="59"/>
    <x v="35"/>
    <n v="0.60000000000000009"/>
    <n v="-0.16666666666666696"/>
    <n v="2"/>
    <s v="Valorisables"/>
    <x v="1"/>
    <m/>
    <m/>
    <n v="0"/>
    <n v="0"/>
    <m/>
  </r>
  <r>
    <d v="2021-11-23T00:00:00"/>
    <n v="60"/>
    <x v="59"/>
    <x v="35"/>
    <e v="#REF!"/>
    <e v="#REF!"/>
    <n v="3"/>
    <s v="Valorisables"/>
    <x v="2"/>
    <m/>
    <m/>
    <n v="0"/>
    <n v="0"/>
    <m/>
  </r>
  <r>
    <d v="2021-11-23T00:00:00"/>
    <n v="60"/>
    <x v="59"/>
    <x v="35"/>
    <e v="#REF!"/>
    <e v="#REF!"/>
    <n v="4"/>
    <s v="Valorisables"/>
    <x v="3"/>
    <m/>
    <m/>
    <n v="0"/>
    <n v="0"/>
    <m/>
  </r>
  <r>
    <d v="2021-11-23T00:00:00"/>
    <n v="60"/>
    <x v="59"/>
    <x v="35"/>
    <e v="#REF!"/>
    <e v="#REF!"/>
    <n v="5"/>
    <s v="Valorisables"/>
    <x v="4"/>
    <m/>
    <m/>
    <n v="0"/>
    <n v="0"/>
    <m/>
  </r>
  <r>
    <d v="2021-11-23T00:00:00"/>
    <n v="60"/>
    <x v="59"/>
    <x v="35"/>
    <e v="#REF!"/>
    <e v="#REF!"/>
    <n v="6"/>
    <s v="Valorisables"/>
    <x v="5"/>
    <m/>
    <m/>
    <n v="0"/>
    <n v="0"/>
    <m/>
  </r>
  <r>
    <d v="2021-11-23T00:00:00"/>
    <n v="60"/>
    <x v="59"/>
    <x v="35"/>
    <e v="#REF!"/>
    <e v="#REF!"/>
    <n v="7"/>
    <s v="Valorisables"/>
    <x v="6"/>
    <n v="0.6"/>
    <n v="0.55000000000000004"/>
    <n v="4.9999999999999933E-2"/>
    <n v="9.9999999999999895E-2"/>
    <m/>
  </r>
  <r>
    <d v="2021-11-23T00:00:00"/>
    <n v="60"/>
    <x v="59"/>
    <x v="35"/>
    <e v="#REF!"/>
    <e v="#REF!"/>
    <n v="8"/>
    <s v="Valorisables"/>
    <x v="7"/>
    <n v="0.85"/>
    <n v="0.5"/>
    <n v="0.35"/>
    <n v="0.70000000000000007"/>
    <m/>
  </r>
  <r>
    <d v="2021-11-23T00:00:00"/>
    <n v="60"/>
    <x v="59"/>
    <x v="35"/>
    <e v="#REF!"/>
    <e v="#REF!"/>
    <n v="9"/>
    <s v="Valorisables"/>
    <x v="8"/>
    <m/>
    <m/>
    <n v="0"/>
    <n v="0"/>
    <m/>
  </r>
  <r>
    <d v="2021-11-23T00:00:00"/>
    <n v="60"/>
    <x v="59"/>
    <x v="35"/>
    <e v="#REF!"/>
    <e v="#REF!"/>
    <n v="10"/>
    <s v="Valorisables"/>
    <x v="9"/>
    <n v="0.55000000000000004"/>
    <n v="0.5"/>
    <n v="5.0000000000000044E-2"/>
    <n v="0.10000000000000012"/>
    <m/>
  </r>
  <r>
    <d v="2021-11-23T00:00:00"/>
    <n v="60"/>
    <x v="59"/>
    <x v="35"/>
    <e v="#REF!"/>
    <e v="#REF!"/>
    <n v="11"/>
    <s v="Valorisables"/>
    <x v="10"/>
    <m/>
    <m/>
    <n v="0"/>
    <n v="0"/>
    <m/>
  </r>
  <r>
    <d v="2021-11-23T00:00:00"/>
    <n v="60"/>
    <x v="59"/>
    <x v="35"/>
    <e v="#REF!"/>
    <e v="#REF!"/>
    <n v="12"/>
    <s v="Refus"/>
    <x v="11"/>
    <n v="0.6"/>
    <n v="0.55000000000000004"/>
    <n v="4.9999999999999933E-2"/>
    <n v="9.9999999999999895E-2"/>
    <m/>
  </r>
  <r>
    <d v="2021-11-23T00:00:00"/>
    <n v="61"/>
    <x v="60"/>
    <x v="36"/>
    <n v="1.0000000000000002"/>
    <n v="0.94999999999999973"/>
    <n v="1"/>
    <s v="Valorisables"/>
    <x v="0"/>
    <n v="0.05"/>
    <n v="0"/>
    <n v="0.05"/>
    <n v="5.2631578947368439E-2"/>
    <m/>
  </r>
  <r>
    <d v="2021-11-23T00:00:00"/>
    <n v="61"/>
    <x v="60"/>
    <x v="36"/>
    <n v="1.0000000000000002"/>
    <n v="-5.0000000000000475E-2"/>
    <n v="2"/>
    <s v="Valorisables"/>
    <x v="1"/>
    <n v="0.6"/>
    <n v="0.55000000000000004"/>
    <n v="4.9999999999999933E-2"/>
    <n v="5.2631578947368363E-2"/>
    <m/>
  </r>
  <r>
    <d v="2021-11-23T00:00:00"/>
    <n v="61"/>
    <x v="60"/>
    <x v="36"/>
    <e v="#REF!"/>
    <e v="#REF!"/>
    <n v="3"/>
    <s v="Valorisables"/>
    <x v="2"/>
    <n v="0.65"/>
    <n v="0.55000000000000004"/>
    <n v="9.9999999999999978E-2"/>
    <n v="0.10526315789473685"/>
    <m/>
  </r>
  <r>
    <d v="2021-11-23T00:00:00"/>
    <n v="61"/>
    <x v="60"/>
    <x v="36"/>
    <e v="#REF!"/>
    <e v="#REF!"/>
    <n v="4"/>
    <s v="Valorisables"/>
    <x v="3"/>
    <m/>
    <m/>
    <n v="0"/>
    <n v="0"/>
    <m/>
  </r>
  <r>
    <d v="2021-11-23T00:00:00"/>
    <n v="61"/>
    <x v="60"/>
    <x v="36"/>
    <e v="#REF!"/>
    <e v="#REF!"/>
    <n v="5"/>
    <s v="Valorisables"/>
    <x v="4"/>
    <m/>
    <m/>
    <n v="0"/>
    <n v="0"/>
    <m/>
  </r>
  <r>
    <d v="2021-11-23T00:00:00"/>
    <n v="61"/>
    <x v="60"/>
    <x v="36"/>
    <e v="#REF!"/>
    <e v="#REF!"/>
    <n v="6"/>
    <s v="Valorisables"/>
    <x v="5"/>
    <m/>
    <m/>
    <n v="0"/>
    <n v="0"/>
    <m/>
  </r>
  <r>
    <d v="2021-11-23T00:00:00"/>
    <n v="61"/>
    <x v="60"/>
    <x v="36"/>
    <e v="#REF!"/>
    <e v="#REF!"/>
    <n v="7"/>
    <s v="Valorisables"/>
    <x v="6"/>
    <m/>
    <m/>
    <n v="0"/>
    <n v="0"/>
    <m/>
  </r>
  <r>
    <d v="2021-11-23T00:00:00"/>
    <n v="61"/>
    <x v="60"/>
    <x v="36"/>
    <e v="#REF!"/>
    <e v="#REF!"/>
    <n v="8"/>
    <s v="Valorisables"/>
    <x v="7"/>
    <m/>
    <m/>
    <n v="0"/>
    <n v="0"/>
    <m/>
  </r>
  <r>
    <d v="2021-11-23T00:00:00"/>
    <n v="61"/>
    <x v="60"/>
    <x v="36"/>
    <e v="#REF!"/>
    <e v="#REF!"/>
    <n v="9"/>
    <s v="Valorisables"/>
    <x v="8"/>
    <m/>
    <m/>
    <n v="0"/>
    <n v="0"/>
    <m/>
  </r>
  <r>
    <d v="2021-11-23T00:00:00"/>
    <n v="61"/>
    <x v="60"/>
    <x v="36"/>
    <e v="#REF!"/>
    <e v="#REF!"/>
    <n v="10"/>
    <s v="Valorisables"/>
    <x v="9"/>
    <n v="0.65"/>
    <n v="0.5"/>
    <n v="0.15000000000000002"/>
    <n v="0.15789473684210534"/>
    <m/>
  </r>
  <r>
    <d v="2021-11-23T00:00:00"/>
    <n v="61"/>
    <x v="60"/>
    <x v="36"/>
    <e v="#REF!"/>
    <e v="#REF!"/>
    <n v="11"/>
    <s v="Valorisables"/>
    <x v="10"/>
    <n v="0.6"/>
    <n v="0.55000000000000004"/>
    <n v="4.9999999999999933E-2"/>
    <n v="5.2631578947368363E-2"/>
    <m/>
  </r>
  <r>
    <d v="2021-11-23T00:00:00"/>
    <n v="61"/>
    <x v="60"/>
    <x v="36"/>
    <e v="#REF!"/>
    <e v="#REF!"/>
    <n v="12"/>
    <s v="Refus"/>
    <x v="11"/>
    <n v="1.65"/>
    <n v="1.1000000000000001"/>
    <n v="0.54999999999999982"/>
    <n v="0.57894736842105265"/>
    <m/>
  </r>
  <r>
    <d v="2021-11-23T00:00:00"/>
    <n v="62"/>
    <x v="61"/>
    <x v="37"/>
    <n v="10.8"/>
    <n v="10.549999999999997"/>
    <n v="1"/>
    <s v="Valorisables"/>
    <x v="0"/>
    <m/>
    <m/>
    <n v="0"/>
    <n v="0"/>
    <m/>
  </r>
  <r>
    <d v="2021-11-23T00:00:00"/>
    <n v="62"/>
    <x v="61"/>
    <x v="37"/>
    <n v="10.8"/>
    <n v="-2.3148148148148476E-2"/>
    <n v="2"/>
    <s v="Valorisables"/>
    <x v="1"/>
    <m/>
    <m/>
    <n v="0"/>
    <n v="0"/>
    <m/>
  </r>
  <r>
    <d v="2021-11-23T00:00:00"/>
    <n v="62"/>
    <x v="61"/>
    <x v="37"/>
    <e v="#REF!"/>
    <e v="#REF!"/>
    <n v="3"/>
    <s v="Valorisables"/>
    <x v="2"/>
    <m/>
    <m/>
    <n v="0"/>
    <n v="0"/>
    <m/>
  </r>
  <r>
    <d v="2021-11-23T00:00:00"/>
    <n v="62"/>
    <x v="61"/>
    <x v="37"/>
    <e v="#REF!"/>
    <e v="#REF!"/>
    <n v="4"/>
    <s v="Valorisables"/>
    <x v="3"/>
    <m/>
    <m/>
    <n v="0"/>
    <n v="0"/>
    <m/>
  </r>
  <r>
    <d v="2021-11-23T00:00:00"/>
    <n v="62"/>
    <x v="61"/>
    <x v="37"/>
    <e v="#REF!"/>
    <e v="#REF!"/>
    <n v="5"/>
    <s v="Valorisables"/>
    <x v="4"/>
    <m/>
    <m/>
    <n v="0"/>
    <n v="0"/>
    <m/>
  </r>
  <r>
    <d v="2021-11-23T00:00:00"/>
    <n v="62"/>
    <x v="61"/>
    <x v="37"/>
    <e v="#REF!"/>
    <e v="#REF!"/>
    <n v="6"/>
    <s v="Valorisables"/>
    <x v="5"/>
    <m/>
    <m/>
    <n v="0"/>
    <n v="0"/>
    <m/>
  </r>
  <r>
    <d v="2021-11-23T00:00:00"/>
    <n v="62"/>
    <x v="61"/>
    <x v="37"/>
    <e v="#REF!"/>
    <e v="#REF!"/>
    <n v="7"/>
    <s v="Valorisables"/>
    <x v="6"/>
    <m/>
    <m/>
    <n v="0"/>
    <n v="0"/>
    <m/>
  </r>
  <r>
    <d v="2021-11-23T00:00:00"/>
    <n v="62"/>
    <x v="61"/>
    <x v="37"/>
    <e v="#REF!"/>
    <e v="#REF!"/>
    <n v="8"/>
    <s v="Valorisables"/>
    <x v="7"/>
    <n v="9"/>
    <n v="8.3000000000000007"/>
    <n v="0.69999999999999929"/>
    <n v="6.6350710900473883E-2"/>
    <m/>
  </r>
  <r>
    <d v="2021-11-23T00:00:00"/>
    <n v="62"/>
    <x v="61"/>
    <x v="37"/>
    <e v="#REF!"/>
    <e v="#REF!"/>
    <n v="9"/>
    <s v="Valorisables"/>
    <x v="8"/>
    <m/>
    <m/>
    <n v="0"/>
    <n v="0"/>
    <m/>
  </r>
  <r>
    <d v="2021-11-23T00:00:00"/>
    <n v="62"/>
    <x v="61"/>
    <x v="37"/>
    <e v="#REF!"/>
    <e v="#REF!"/>
    <n v="10"/>
    <s v="Valorisables"/>
    <x v="9"/>
    <n v="25.45"/>
    <n v="16.600000000000001"/>
    <n v="8.8499999999999979"/>
    <n v="0.83886255924170616"/>
    <m/>
  </r>
  <r>
    <d v="2021-11-23T00:00:00"/>
    <n v="62"/>
    <x v="61"/>
    <x v="37"/>
    <e v="#REF!"/>
    <e v="#REF!"/>
    <n v="11"/>
    <s v="Valorisables"/>
    <x v="10"/>
    <m/>
    <m/>
    <n v="0"/>
    <n v="0"/>
    <m/>
  </r>
  <r>
    <d v="2021-11-23T00:00:00"/>
    <n v="62"/>
    <x v="61"/>
    <x v="37"/>
    <e v="#REF!"/>
    <e v="#REF!"/>
    <n v="12"/>
    <s v="Refus"/>
    <x v="11"/>
    <n v="9.5500000000000007"/>
    <n v="8.5500000000000007"/>
    <n v="1"/>
    <n v="9.4786729857819926E-2"/>
    <m/>
  </r>
  <r>
    <d v="2021-12-07T00:00:00"/>
    <n v="63"/>
    <x v="62"/>
    <x v="38"/>
    <n v="48.600000000000009"/>
    <n v="49.099999999999994"/>
    <n v="1"/>
    <s v="Valorisables"/>
    <x v="0"/>
    <n v="11.8"/>
    <n v="8.6"/>
    <n v="3.2000000000000011"/>
    <n v="6.517311608961307E-2"/>
    <m/>
  </r>
  <r>
    <d v="2021-12-07T00:00:00"/>
    <n v="63"/>
    <x v="62"/>
    <x v="38"/>
    <n v="48.600000000000009"/>
    <n v="1.0288065843621104E-2"/>
    <n v="2"/>
    <s v="Valorisables"/>
    <x v="1"/>
    <n v="16.3"/>
    <n v="9.1000000000000014"/>
    <n v="7.1999999999999993"/>
    <n v="0.14663951120162932"/>
    <m/>
  </r>
  <r>
    <d v="2021-12-07T00:00:00"/>
    <n v="63"/>
    <x v="62"/>
    <x v="38"/>
    <e v="#REF!"/>
    <e v="#REF!"/>
    <n v="3"/>
    <s v="Valorisables"/>
    <x v="2"/>
    <n v="17.2"/>
    <n v="8.8000000000000007"/>
    <n v="8.3999999999999986"/>
    <n v="0.17107942973523421"/>
    <m/>
  </r>
  <r>
    <d v="2021-12-07T00:00:00"/>
    <n v="63"/>
    <x v="62"/>
    <x v="38"/>
    <e v="#REF!"/>
    <e v="#REF!"/>
    <n v="4"/>
    <s v="Valorisables"/>
    <x v="3"/>
    <n v="1.2"/>
    <n v="0.55000000000000004"/>
    <n v="0.64999999999999991"/>
    <n v="1.3238289205702648E-2"/>
    <m/>
  </r>
  <r>
    <d v="2021-12-07T00:00:00"/>
    <n v="63"/>
    <x v="62"/>
    <x v="38"/>
    <e v="#REF!"/>
    <e v="#REF!"/>
    <n v="5"/>
    <s v="Valorisables"/>
    <x v="4"/>
    <n v="0.85"/>
    <n v="0.55000000000000004"/>
    <n v="0.29999999999999993"/>
    <n v="6.109979633401221E-3"/>
    <m/>
  </r>
  <r>
    <d v="2021-12-07T00:00:00"/>
    <n v="63"/>
    <x v="62"/>
    <x v="38"/>
    <e v="#REF!"/>
    <e v="#REF!"/>
    <n v="6"/>
    <s v="Valorisables"/>
    <x v="5"/>
    <n v="0.55000000000000004"/>
    <n v="0.5"/>
    <n v="5.0000000000000044E-2"/>
    <n v="1.0183299389002047E-3"/>
    <m/>
  </r>
  <r>
    <d v="2021-12-07T00:00:00"/>
    <n v="63"/>
    <x v="62"/>
    <x v="38"/>
    <e v="#REF!"/>
    <e v="#REF!"/>
    <n v="7"/>
    <s v="Valorisables"/>
    <x v="6"/>
    <n v="6.65"/>
    <n v="6.05"/>
    <n v="0.60000000000000053"/>
    <n v="1.2219959266802456E-2"/>
    <m/>
  </r>
  <r>
    <d v="2021-12-07T00:00:00"/>
    <n v="63"/>
    <x v="62"/>
    <x v="38"/>
    <e v="#REF!"/>
    <e v="#REF!"/>
    <n v="8"/>
    <s v="Valorisables"/>
    <x v="7"/>
    <n v="28.25"/>
    <n v="16.8"/>
    <n v="11.45"/>
    <n v="0.23319755600814665"/>
    <m/>
  </r>
  <r>
    <d v="2021-12-07T00:00:00"/>
    <n v="63"/>
    <x v="62"/>
    <x v="38"/>
    <e v="#REF!"/>
    <e v="#REF!"/>
    <n v="9"/>
    <s v="Valorisables"/>
    <x v="8"/>
    <n v="1.65"/>
    <n v="0.5"/>
    <n v="1.1499999999999999"/>
    <n v="2.3421588594704685E-2"/>
    <m/>
  </r>
  <r>
    <d v="2021-12-07T00:00:00"/>
    <n v="63"/>
    <x v="62"/>
    <x v="38"/>
    <e v="#REF!"/>
    <e v="#REF!"/>
    <n v="10"/>
    <s v="Valorisables"/>
    <x v="9"/>
    <n v="25.8"/>
    <n v="16.850000000000001"/>
    <n v="8.9499999999999993"/>
    <n v="0.18228105906313646"/>
    <m/>
  </r>
  <r>
    <d v="2021-12-07T00:00:00"/>
    <n v="63"/>
    <x v="62"/>
    <x v="38"/>
    <e v="#REF!"/>
    <e v="#REF!"/>
    <n v="11"/>
    <s v="Valorisables"/>
    <x v="10"/>
    <n v="9.1"/>
    <n v="8.3000000000000007"/>
    <n v="0.79999999999999893"/>
    <n v="1.629327902240324E-2"/>
    <m/>
  </r>
  <r>
    <d v="2021-12-07T00:00:00"/>
    <n v="63"/>
    <x v="62"/>
    <x v="38"/>
    <e v="#REF!"/>
    <e v="#REF!"/>
    <n v="12"/>
    <s v="Refus"/>
    <x v="11"/>
    <n v="23.45"/>
    <n v="17.100000000000001"/>
    <n v="6.3499999999999979"/>
    <n v="0.12932790224032584"/>
    <m/>
  </r>
  <r>
    <d v="2021-12-07T00:00:00"/>
    <n v="64"/>
    <x v="63"/>
    <x v="38"/>
    <n v="51.600000000000009"/>
    <n v="52.9"/>
    <n v="1"/>
    <s v="Valorisables"/>
    <x v="0"/>
    <n v="10.85"/>
    <n v="8.6"/>
    <n v="2.25"/>
    <n v="4.2533081285444238E-2"/>
    <m/>
  </r>
  <r>
    <d v="2021-12-07T00:00:00"/>
    <n v="64"/>
    <x v="63"/>
    <x v="38"/>
    <n v="3"/>
    <n v="2.5193798449612205E-2"/>
    <n v="2"/>
    <s v="Valorisables"/>
    <x v="1"/>
    <n v="11.15"/>
    <n v="8.5500000000000007"/>
    <n v="2.5999999999999996"/>
    <n v="4.9149338374291113E-2"/>
    <m/>
  </r>
  <r>
    <d v="2021-12-07T00:00:00"/>
    <n v="64"/>
    <x v="63"/>
    <x v="38"/>
    <e v="#REF!"/>
    <e v="#REF!"/>
    <n v="3"/>
    <s v="Valorisables"/>
    <x v="2"/>
    <n v="12.05"/>
    <n v="8.3000000000000007"/>
    <n v="3.75"/>
    <n v="7.0888468809073721E-2"/>
    <m/>
  </r>
  <r>
    <d v="2021-12-07T00:00:00"/>
    <n v="64"/>
    <x v="63"/>
    <x v="38"/>
    <e v="#REF!"/>
    <e v="#REF!"/>
    <n v="4"/>
    <s v="Valorisables"/>
    <x v="3"/>
    <n v="1.75"/>
    <n v="0.55000000000000004"/>
    <n v="1.2"/>
    <n v="2.2684310018903593E-2"/>
    <m/>
  </r>
  <r>
    <d v="2021-12-07T00:00:00"/>
    <n v="64"/>
    <x v="63"/>
    <x v="38"/>
    <e v="#REF!"/>
    <e v="#REF!"/>
    <n v="5"/>
    <s v="Valorisables"/>
    <x v="4"/>
    <n v="0.85"/>
    <n v="0.55000000000000004"/>
    <n v="0.29999999999999993"/>
    <n v="5.6710775047258966E-3"/>
    <m/>
  </r>
  <r>
    <d v="2021-12-07T00:00:00"/>
    <n v="64"/>
    <x v="63"/>
    <x v="38"/>
    <e v="#REF!"/>
    <e v="#REF!"/>
    <n v="6"/>
    <s v="Valorisables"/>
    <x v="5"/>
    <n v="0.6"/>
    <n v="0.55000000000000004"/>
    <n v="4.9999999999999933E-2"/>
    <n v="9.4517958412098171E-4"/>
    <m/>
  </r>
  <r>
    <d v="2021-12-07T00:00:00"/>
    <n v="64"/>
    <x v="63"/>
    <x v="38"/>
    <e v="#REF!"/>
    <e v="#REF!"/>
    <n v="7"/>
    <s v="Valorisables"/>
    <x v="6"/>
    <n v="6.7"/>
    <n v="6.05"/>
    <n v="0.65000000000000036"/>
    <n v="1.2287334593572785E-2"/>
    <m/>
  </r>
  <r>
    <d v="2021-12-07T00:00:00"/>
    <n v="64"/>
    <x v="63"/>
    <x v="38"/>
    <e v="#REF!"/>
    <e v="#REF!"/>
    <n v="8"/>
    <s v="Valorisables"/>
    <x v="7"/>
    <n v="33.950000000000003"/>
    <n v="16.850000000000001"/>
    <n v="17.100000000000001"/>
    <n v="0.32325141776937621"/>
    <m/>
  </r>
  <r>
    <d v="2021-12-07T00:00:00"/>
    <n v="64"/>
    <x v="63"/>
    <x v="38"/>
    <e v="#REF!"/>
    <e v="#REF!"/>
    <n v="9"/>
    <s v="Valorisables"/>
    <x v="8"/>
    <n v="2"/>
    <n v="0.5"/>
    <n v="1.5"/>
    <n v="2.835538752362949E-2"/>
    <m/>
  </r>
  <r>
    <d v="2021-12-07T00:00:00"/>
    <n v="64"/>
    <x v="63"/>
    <x v="38"/>
    <e v="#REF!"/>
    <e v="#REF!"/>
    <n v="10"/>
    <s v="Valorisables"/>
    <x v="9"/>
    <n v="31.2"/>
    <n v="16.600000000000001"/>
    <n v="14.599999999999998"/>
    <n v="0.275992438563327"/>
    <m/>
  </r>
  <r>
    <d v="2021-12-07T00:00:00"/>
    <n v="64"/>
    <x v="63"/>
    <x v="38"/>
    <e v="#REF!"/>
    <e v="#REF!"/>
    <n v="11"/>
    <s v="Valorisables"/>
    <x v="10"/>
    <n v="9.6999999999999993"/>
    <n v="8.5500000000000007"/>
    <n v="1.1499999999999986"/>
    <n v="2.1739130434782584E-2"/>
    <m/>
  </r>
  <r>
    <d v="2021-12-07T00:00:00"/>
    <n v="64"/>
    <x v="63"/>
    <x v="38"/>
    <e v="#REF!"/>
    <e v="#REF!"/>
    <n v="12"/>
    <s v="Refus"/>
    <x v="11"/>
    <n v="24.85"/>
    <n v="17.100000000000001"/>
    <n v="7.75"/>
    <n v="0.14650283553875237"/>
    <s v="verre, 1 sac OM, restes alimentaires"/>
  </r>
  <r>
    <d v="2021-12-07T00:00:00"/>
    <n v="65"/>
    <x v="64"/>
    <x v="38"/>
    <n v="58.2"/>
    <n v="59.45"/>
    <n v="1"/>
    <s v="Valorisables"/>
    <x v="0"/>
    <n v="10.8"/>
    <n v="8.3000000000000007"/>
    <n v="2.5"/>
    <n v="4.2052144659377629E-2"/>
    <m/>
  </r>
  <r>
    <d v="2021-12-07T00:00:00"/>
    <n v="65"/>
    <x v="64"/>
    <x v="38"/>
    <n v="58.2"/>
    <n v="2.147766323024055E-2"/>
    <n v="2"/>
    <s v="Valorisables"/>
    <x v="1"/>
    <n v="11.95"/>
    <n v="8.3000000000000007"/>
    <n v="3.6499999999999986"/>
    <n v="6.1396131202691308E-2"/>
    <m/>
  </r>
  <r>
    <d v="2021-12-07T00:00:00"/>
    <n v="65"/>
    <x v="64"/>
    <x v="38"/>
    <e v="#REF!"/>
    <e v="#REF!"/>
    <n v="3"/>
    <s v="Valorisables"/>
    <x v="2"/>
    <n v="13.5"/>
    <n v="8.3000000000000007"/>
    <n v="5.1999999999999993"/>
    <n v="8.7468460891505451E-2"/>
    <m/>
  </r>
  <r>
    <d v="2021-12-07T00:00:00"/>
    <n v="65"/>
    <x v="64"/>
    <x v="38"/>
    <e v="#REF!"/>
    <e v="#REF!"/>
    <n v="4"/>
    <s v="Valorisables"/>
    <x v="3"/>
    <n v="2.0499999999999998"/>
    <n v="0.55000000000000004"/>
    <n v="1.4999999999999998"/>
    <n v="2.5231286795626574E-2"/>
    <m/>
  </r>
  <r>
    <d v="2021-12-07T00:00:00"/>
    <n v="65"/>
    <x v="64"/>
    <x v="38"/>
    <e v="#REF!"/>
    <e v="#REF!"/>
    <n v="5"/>
    <s v="Valorisables"/>
    <x v="4"/>
    <n v="1.05"/>
    <n v="0.55000000000000004"/>
    <n v="0.5"/>
    <n v="8.4104289318755257E-3"/>
    <m/>
  </r>
  <r>
    <d v="2021-12-07T00:00:00"/>
    <n v="65"/>
    <x v="64"/>
    <x v="38"/>
    <e v="#REF!"/>
    <e v="#REF!"/>
    <n v="6"/>
    <s v="Valorisables"/>
    <x v="5"/>
    <n v="0.6"/>
    <n v="0.5"/>
    <n v="9.9999999999999978E-2"/>
    <n v="1.6820857863751046E-3"/>
    <m/>
  </r>
  <r>
    <d v="2021-12-07T00:00:00"/>
    <n v="65"/>
    <x v="64"/>
    <x v="38"/>
    <e v="#REF!"/>
    <e v="#REF!"/>
    <n v="7"/>
    <s v="Valorisables"/>
    <x v="6"/>
    <n v="7.2"/>
    <n v="6.05"/>
    <n v="1.1500000000000004"/>
    <n v="1.9343986543313714E-2"/>
    <m/>
  </r>
  <r>
    <d v="2021-12-07T00:00:00"/>
    <n v="65"/>
    <x v="64"/>
    <x v="38"/>
    <e v="#REF!"/>
    <e v="#REF!"/>
    <n v="8"/>
    <s v="Valorisables"/>
    <x v="7"/>
    <n v="36.450000000000003"/>
    <n v="17.100000000000001"/>
    <n v="19.350000000000001"/>
    <n v="0.32548359966358287"/>
    <m/>
  </r>
  <r>
    <d v="2021-12-07T00:00:00"/>
    <n v="65"/>
    <x v="64"/>
    <x v="38"/>
    <e v="#REF!"/>
    <e v="#REF!"/>
    <n v="9"/>
    <s v="Valorisables"/>
    <x v="8"/>
    <n v="2.2999999999999998"/>
    <n v="0.5"/>
    <n v="1.7999999999999998"/>
    <n v="3.0277544154751888E-2"/>
    <m/>
  </r>
  <r>
    <d v="2021-12-07T00:00:00"/>
    <n v="65"/>
    <x v="64"/>
    <x v="38"/>
    <e v="#REF!"/>
    <e v="#REF!"/>
    <n v="10"/>
    <s v="Valorisables"/>
    <x v="9"/>
    <n v="30.1"/>
    <n v="16.850000000000001"/>
    <n v="13.25"/>
    <n v="0.22287636669470143"/>
    <m/>
  </r>
  <r>
    <d v="2021-12-07T00:00:00"/>
    <n v="65"/>
    <x v="64"/>
    <x v="38"/>
    <e v="#REF!"/>
    <e v="#REF!"/>
    <n v="11"/>
    <s v="Valorisables"/>
    <x v="10"/>
    <n v="9.9"/>
    <n v="8.3000000000000007"/>
    <n v="1.5999999999999996"/>
    <n v="2.6913372582001674E-2"/>
    <m/>
  </r>
  <r>
    <d v="2021-12-07T00:00:00"/>
    <n v="65"/>
    <x v="64"/>
    <x v="38"/>
    <e v="#REF!"/>
    <e v="#REF!"/>
    <n v="12"/>
    <s v="Refus"/>
    <x v="11"/>
    <n v="26"/>
    <n v="17.149999999999999"/>
    <n v="8.8500000000000014"/>
    <n v="0.14886459209419681"/>
    <m/>
  </r>
  <r>
    <d v="2021-12-07T00:00:00"/>
    <n v="66"/>
    <x v="65"/>
    <x v="7"/>
    <n v="52.599999999999994"/>
    <n v="52.5"/>
    <n v="1"/>
    <s v="Valorisables"/>
    <x v="0"/>
    <m/>
    <m/>
    <n v="0"/>
    <n v="0"/>
    <m/>
  </r>
  <r>
    <d v="2021-12-07T00:00:00"/>
    <n v="66"/>
    <x v="65"/>
    <x v="7"/>
    <n v="52.599999999999994"/>
    <n v="-1.9011406844105386E-3"/>
    <n v="2"/>
    <s v="Valorisables"/>
    <x v="1"/>
    <n v="0.65"/>
    <n v="0.55000000000000004"/>
    <n v="9.9999999999999978E-2"/>
    <n v="1.9047619047619043E-3"/>
    <m/>
  </r>
  <r>
    <d v="2021-12-07T00:00:00"/>
    <n v="66"/>
    <x v="65"/>
    <x v="7"/>
    <e v="#REF!"/>
    <e v="#REF!"/>
    <n v="3"/>
    <s v="Valorisables"/>
    <x v="2"/>
    <n v="0.65"/>
    <n v="0.55000000000000004"/>
    <n v="9.9999999999999978E-2"/>
    <n v="1.9047619047619043E-3"/>
    <m/>
  </r>
  <r>
    <d v="2021-12-07T00:00:00"/>
    <n v="66"/>
    <x v="65"/>
    <x v="7"/>
    <e v="#REF!"/>
    <e v="#REF!"/>
    <n v="4"/>
    <s v="Valorisables"/>
    <x v="3"/>
    <n v="0.6"/>
    <n v="0.55000000000000004"/>
    <n v="4.9999999999999933E-2"/>
    <n v="9.5238095238095108E-4"/>
    <m/>
  </r>
  <r>
    <d v="2021-12-07T00:00:00"/>
    <n v="66"/>
    <x v="65"/>
    <x v="7"/>
    <e v="#REF!"/>
    <e v="#REF!"/>
    <n v="5"/>
    <s v="Valorisables"/>
    <x v="4"/>
    <m/>
    <m/>
    <n v="0"/>
    <n v="0"/>
    <m/>
  </r>
  <r>
    <d v="2021-12-07T00:00:00"/>
    <n v="66"/>
    <x v="65"/>
    <x v="7"/>
    <e v="#REF!"/>
    <e v="#REF!"/>
    <n v="6"/>
    <s v="Valorisables"/>
    <x v="5"/>
    <m/>
    <m/>
    <n v="0"/>
    <n v="0"/>
    <m/>
  </r>
  <r>
    <d v="2021-12-07T00:00:00"/>
    <n v="66"/>
    <x v="65"/>
    <x v="7"/>
    <e v="#REF!"/>
    <e v="#REF!"/>
    <n v="7"/>
    <s v="Valorisables"/>
    <x v="6"/>
    <m/>
    <m/>
    <n v="0"/>
    <n v="0"/>
    <m/>
  </r>
  <r>
    <d v="2021-12-07T00:00:00"/>
    <n v="66"/>
    <x v="65"/>
    <x v="7"/>
    <e v="#REF!"/>
    <e v="#REF!"/>
    <n v="8"/>
    <s v="Valorisables"/>
    <x v="7"/>
    <n v="62.6"/>
    <n v="25.7"/>
    <n v="36.900000000000006"/>
    <n v="0.70285714285714296"/>
    <m/>
  </r>
  <r>
    <d v="2021-12-07T00:00:00"/>
    <n v="66"/>
    <x v="65"/>
    <x v="7"/>
    <e v="#REF!"/>
    <e v="#REF!"/>
    <n v="9"/>
    <s v="Valorisables"/>
    <x v="8"/>
    <n v="0.6"/>
    <n v="0.55000000000000004"/>
    <n v="4.9999999999999933E-2"/>
    <n v="9.5238095238095108E-4"/>
    <m/>
  </r>
  <r>
    <d v="2021-12-07T00:00:00"/>
    <n v="66"/>
    <x v="65"/>
    <x v="7"/>
    <e v="#REF!"/>
    <e v="#REF!"/>
    <n v="10"/>
    <s v="Valorisables"/>
    <x v="9"/>
    <n v="30.9"/>
    <n v="17.149999999999999"/>
    <n v="13.75"/>
    <n v="0.26190476190476192"/>
    <m/>
  </r>
  <r>
    <d v="2021-12-07T00:00:00"/>
    <n v="66"/>
    <x v="65"/>
    <x v="7"/>
    <e v="#REF!"/>
    <e v="#REF!"/>
    <n v="11"/>
    <s v="Valorisables"/>
    <x v="10"/>
    <m/>
    <m/>
    <n v="0"/>
    <n v="0"/>
    <m/>
  </r>
  <r>
    <d v="2021-12-07T00:00:00"/>
    <n v="66"/>
    <x v="65"/>
    <x v="7"/>
    <e v="#REF!"/>
    <e v="#REF!"/>
    <n v="12"/>
    <s v="Refus"/>
    <x v="11"/>
    <n v="18.149999999999999"/>
    <n v="16.600000000000001"/>
    <n v="1.5499999999999972"/>
    <n v="2.952380952380947E-2"/>
    <m/>
  </r>
  <r>
    <d v="2021-12-07T00:00:00"/>
    <n v="67"/>
    <x v="66"/>
    <x v="7"/>
    <n v="46"/>
    <n v="45.54999999999999"/>
    <n v="1"/>
    <s v="Valorisables"/>
    <x v="0"/>
    <m/>
    <m/>
    <n v="0"/>
    <n v="0"/>
    <m/>
  </r>
  <r>
    <d v="2021-12-07T00:00:00"/>
    <n v="67"/>
    <x v="66"/>
    <x v="7"/>
    <n v="46"/>
    <n v="-9.7826086956523898E-3"/>
    <n v="2"/>
    <s v="Valorisables"/>
    <x v="1"/>
    <n v="0.6"/>
    <n v="0.55000000000000004"/>
    <n v="4.9999999999999933E-2"/>
    <n v="1.0976948408342468E-3"/>
    <m/>
  </r>
  <r>
    <d v="2021-12-07T00:00:00"/>
    <n v="67"/>
    <x v="66"/>
    <x v="7"/>
    <e v="#REF!"/>
    <e v="#REF!"/>
    <n v="3"/>
    <s v="Valorisables"/>
    <x v="2"/>
    <n v="0.6"/>
    <n v="0.55000000000000004"/>
    <n v="4.9999999999999933E-2"/>
    <n v="1.0976948408342468E-3"/>
    <m/>
  </r>
  <r>
    <d v="2021-12-07T00:00:00"/>
    <n v="67"/>
    <x v="66"/>
    <x v="7"/>
    <e v="#REF!"/>
    <e v="#REF!"/>
    <n v="4"/>
    <s v="Valorisables"/>
    <x v="3"/>
    <n v="0.6"/>
    <n v="0.55000000000000004"/>
    <n v="4.9999999999999933E-2"/>
    <n v="1.0976948408342468E-3"/>
    <m/>
  </r>
  <r>
    <d v="2021-12-07T00:00:00"/>
    <n v="67"/>
    <x v="66"/>
    <x v="7"/>
    <e v="#REF!"/>
    <e v="#REF!"/>
    <n v="5"/>
    <s v="Valorisables"/>
    <x v="4"/>
    <m/>
    <m/>
    <n v="0"/>
    <n v="0"/>
    <m/>
  </r>
  <r>
    <d v="2021-12-07T00:00:00"/>
    <n v="67"/>
    <x v="66"/>
    <x v="7"/>
    <e v="#REF!"/>
    <e v="#REF!"/>
    <n v="6"/>
    <s v="Valorisables"/>
    <x v="5"/>
    <m/>
    <m/>
    <n v="0"/>
    <n v="0"/>
    <m/>
  </r>
  <r>
    <d v="2021-12-07T00:00:00"/>
    <n v="67"/>
    <x v="66"/>
    <x v="7"/>
    <e v="#REF!"/>
    <e v="#REF!"/>
    <n v="7"/>
    <s v="Valorisables"/>
    <x v="6"/>
    <m/>
    <m/>
    <n v="0"/>
    <n v="0"/>
    <m/>
  </r>
  <r>
    <d v="2021-12-07T00:00:00"/>
    <n v="67"/>
    <x v="66"/>
    <x v="7"/>
    <e v="#REF!"/>
    <e v="#REF!"/>
    <n v="8"/>
    <s v="Valorisables"/>
    <x v="7"/>
    <n v="68.349999999999994"/>
    <n v="33.950000000000003"/>
    <n v="34.399999999999991"/>
    <n v="0.75521405049396262"/>
    <m/>
  </r>
  <r>
    <d v="2021-12-07T00:00:00"/>
    <n v="67"/>
    <x v="66"/>
    <x v="7"/>
    <e v="#REF!"/>
    <e v="#REF!"/>
    <n v="9"/>
    <s v="Valorisables"/>
    <x v="8"/>
    <m/>
    <m/>
    <n v="0"/>
    <n v="0"/>
    <m/>
  </r>
  <r>
    <d v="2021-12-07T00:00:00"/>
    <n v="67"/>
    <x v="66"/>
    <x v="7"/>
    <e v="#REF!"/>
    <e v="#REF!"/>
    <n v="10"/>
    <s v="Valorisables"/>
    <x v="9"/>
    <n v="26.6"/>
    <n v="16.850000000000001"/>
    <n v="9.75"/>
    <n v="0.21405049396267842"/>
    <m/>
  </r>
  <r>
    <d v="2021-12-07T00:00:00"/>
    <n v="67"/>
    <x v="66"/>
    <x v="7"/>
    <e v="#REF!"/>
    <e v="#REF!"/>
    <n v="11"/>
    <s v="Valorisables"/>
    <x v="10"/>
    <m/>
    <m/>
    <n v="0"/>
    <n v="0"/>
    <m/>
  </r>
  <r>
    <d v="2021-12-07T00:00:00"/>
    <n v="67"/>
    <x v="66"/>
    <x v="7"/>
    <e v="#REF!"/>
    <e v="#REF!"/>
    <n v="12"/>
    <s v="Refus"/>
    <x v="11"/>
    <n v="18.100000000000001"/>
    <n v="16.850000000000001"/>
    <n v="1.25"/>
    <n v="2.7442371020856209E-2"/>
    <m/>
  </r>
  <r>
    <d v="2021-12-07T00:00:00"/>
    <n v="68"/>
    <x v="67"/>
    <x v="7"/>
    <n v="26.400000000000002"/>
    <n v="26.300000000000004"/>
    <n v="1"/>
    <s v="Valorisables"/>
    <x v="0"/>
    <m/>
    <m/>
    <n v="0"/>
    <n v="0"/>
    <m/>
  </r>
  <r>
    <d v="2021-12-07T00:00:00"/>
    <n v="68"/>
    <x v="67"/>
    <x v="7"/>
    <n v="26.400000000000002"/>
    <n v="-3.7878787878787069E-3"/>
    <n v="2"/>
    <s v="Valorisables"/>
    <x v="1"/>
    <n v="0.6"/>
    <n v="0.55000000000000004"/>
    <n v="4.9999999999999933E-2"/>
    <n v="1.9011406844106436E-3"/>
    <m/>
  </r>
  <r>
    <d v="2021-12-07T00:00:00"/>
    <n v="68"/>
    <x v="67"/>
    <x v="7"/>
    <e v="#REF!"/>
    <e v="#REF!"/>
    <n v="3"/>
    <s v="Valorisables"/>
    <x v="2"/>
    <m/>
    <m/>
    <n v="0"/>
    <n v="0"/>
    <m/>
  </r>
  <r>
    <d v="2021-12-07T00:00:00"/>
    <n v="68"/>
    <x v="67"/>
    <x v="7"/>
    <e v="#REF!"/>
    <e v="#REF!"/>
    <n v="4"/>
    <s v="Valorisables"/>
    <x v="3"/>
    <m/>
    <m/>
    <n v="0"/>
    <n v="0"/>
    <m/>
  </r>
  <r>
    <d v="2021-12-07T00:00:00"/>
    <n v="68"/>
    <x v="67"/>
    <x v="7"/>
    <e v="#REF!"/>
    <e v="#REF!"/>
    <n v="5"/>
    <s v="Valorisables"/>
    <x v="4"/>
    <m/>
    <m/>
    <n v="0"/>
    <n v="0"/>
    <m/>
  </r>
  <r>
    <d v="2021-12-07T00:00:00"/>
    <n v="68"/>
    <x v="67"/>
    <x v="7"/>
    <e v="#REF!"/>
    <e v="#REF!"/>
    <n v="6"/>
    <s v="Valorisables"/>
    <x v="5"/>
    <m/>
    <m/>
    <n v="0"/>
    <n v="0"/>
    <m/>
  </r>
  <r>
    <d v="2021-12-07T00:00:00"/>
    <n v="68"/>
    <x v="67"/>
    <x v="7"/>
    <e v="#REF!"/>
    <e v="#REF!"/>
    <n v="7"/>
    <s v="Valorisables"/>
    <x v="6"/>
    <m/>
    <m/>
    <n v="0"/>
    <n v="0"/>
    <m/>
  </r>
  <r>
    <d v="2021-12-07T00:00:00"/>
    <n v="68"/>
    <x v="67"/>
    <x v="7"/>
    <e v="#REF!"/>
    <e v="#REF!"/>
    <n v="8"/>
    <s v="Valorisables"/>
    <x v="7"/>
    <n v="59.1"/>
    <n v="34"/>
    <n v="25.1"/>
    <n v="0.95437262357414443"/>
    <m/>
  </r>
  <r>
    <d v="2021-12-07T00:00:00"/>
    <n v="68"/>
    <x v="67"/>
    <x v="7"/>
    <e v="#REF!"/>
    <e v="#REF!"/>
    <n v="9"/>
    <s v="Valorisables"/>
    <x v="8"/>
    <m/>
    <m/>
    <n v="0"/>
    <n v="0"/>
    <m/>
  </r>
  <r>
    <d v="2021-12-07T00:00:00"/>
    <n v="68"/>
    <x v="67"/>
    <x v="7"/>
    <e v="#REF!"/>
    <e v="#REF!"/>
    <n v="10"/>
    <s v="Valorisables"/>
    <x v="9"/>
    <n v="17.950000000000003"/>
    <n v="17.149999999999999"/>
    <n v="0.80000000000000426"/>
    <n v="3.0418250950570498E-2"/>
    <m/>
  </r>
  <r>
    <d v="2021-12-07T00:00:00"/>
    <n v="68"/>
    <x v="67"/>
    <x v="7"/>
    <e v="#REF!"/>
    <e v="#REF!"/>
    <n v="11"/>
    <s v="Valorisables"/>
    <x v="10"/>
    <m/>
    <m/>
    <n v="0"/>
    <n v="0"/>
    <m/>
  </r>
  <r>
    <d v="2021-12-07T00:00:00"/>
    <n v="68"/>
    <x v="67"/>
    <x v="7"/>
    <e v="#REF!"/>
    <e v="#REF!"/>
    <n v="12"/>
    <s v="Refus"/>
    <x v="11"/>
    <n v="8.65"/>
    <n v="8.3000000000000007"/>
    <n v="0.34999999999999964"/>
    <n v="1.3307984790874508E-2"/>
    <m/>
  </r>
  <r>
    <d v="2021-12-07T00:00:00"/>
    <n v="69"/>
    <x v="68"/>
    <x v="5"/>
    <n v="31.7"/>
    <n v="30.049999999999997"/>
    <n v="1"/>
    <s v="Valorisables"/>
    <x v="0"/>
    <m/>
    <m/>
    <n v="0"/>
    <n v="0"/>
    <m/>
  </r>
  <r>
    <d v="2021-12-07T00:00:00"/>
    <n v="69"/>
    <x v="68"/>
    <x v="5"/>
    <n v="31.7"/>
    <n v="-5.2050473186119939E-2"/>
    <n v="2"/>
    <s v="Valorisables"/>
    <x v="1"/>
    <n v="0.6"/>
    <n v="0.55000000000000004"/>
    <n v="4.9999999999999933E-2"/>
    <n v="1.6638935108153057E-3"/>
    <m/>
  </r>
  <r>
    <d v="2021-12-07T00:00:00"/>
    <n v="69"/>
    <x v="68"/>
    <x v="5"/>
    <e v="#REF!"/>
    <e v="#REF!"/>
    <n v="3"/>
    <s v="Valorisables"/>
    <x v="2"/>
    <n v="0.6"/>
    <n v="0.55000000000000004"/>
    <n v="4.9999999999999933E-2"/>
    <n v="1.6638935108153057E-3"/>
    <m/>
  </r>
  <r>
    <d v="2021-12-07T00:00:00"/>
    <n v="69"/>
    <x v="68"/>
    <x v="5"/>
    <e v="#REF!"/>
    <e v="#REF!"/>
    <n v="4"/>
    <s v="Valorisables"/>
    <x v="3"/>
    <n v="0.6"/>
    <n v="0.55000000000000004"/>
    <n v="4.9999999999999933E-2"/>
    <n v="1.6638935108153057E-3"/>
    <m/>
  </r>
  <r>
    <d v="2021-12-07T00:00:00"/>
    <n v="69"/>
    <x v="68"/>
    <x v="5"/>
    <e v="#REF!"/>
    <e v="#REF!"/>
    <n v="5"/>
    <s v="Valorisables"/>
    <x v="4"/>
    <m/>
    <m/>
    <n v="0"/>
    <n v="0"/>
    <m/>
  </r>
  <r>
    <d v="2021-12-07T00:00:00"/>
    <n v="69"/>
    <x v="68"/>
    <x v="5"/>
    <e v="#REF!"/>
    <e v="#REF!"/>
    <n v="6"/>
    <s v="Valorisables"/>
    <x v="5"/>
    <m/>
    <m/>
    <n v="0"/>
    <n v="0"/>
    <m/>
  </r>
  <r>
    <d v="2021-12-07T00:00:00"/>
    <n v="69"/>
    <x v="68"/>
    <x v="5"/>
    <e v="#REF!"/>
    <e v="#REF!"/>
    <n v="7"/>
    <s v="Valorisables"/>
    <x v="6"/>
    <m/>
    <m/>
    <n v="0"/>
    <n v="0"/>
    <m/>
  </r>
  <r>
    <d v="2021-12-07T00:00:00"/>
    <n v="69"/>
    <x v="68"/>
    <x v="5"/>
    <e v="#REF!"/>
    <e v="#REF!"/>
    <n v="8"/>
    <s v="Valorisables"/>
    <x v="7"/>
    <n v="17.850000000000001"/>
    <n v="16.850000000000001"/>
    <n v="1"/>
    <n v="3.3277870216306162E-2"/>
    <m/>
  </r>
  <r>
    <d v="2021-12-07T00:00:00"/>
    <n v="69"/>
    <x v="68"/>
    <x v="5"/>
    <e v="#REF!"/>
    <e v="#REF!"/>
    <n v="9"/>
    <s v="Valorisables"/>
    <x v="8"/>
    <m/>
    <m/>
    <n v="0"/>
    <n v="0"/>
    <m/>
  </r>
  <r>
    <d v="2021-12-07T00:00:00"/>
    <n v="69"/>
    <x v="68"/>
    <x v="5"/>
    <e v="#REF!"/>
    <e v="#REF!"/>
    <n v="10"/>
    <s v="Valorisables"/>
    <x v="9"/>
    <n v="62.05"/>
    <n v="33.75"/>
    <n v="28.299999999999997"/>
    <n v="0.94176372712146417"/>
    <m/>
  </r>
  <r>
    <d v="2021-12-07T00:00:00"/>
    <n v="69"/>
    <x v="68"/>
    <x v="5"/>
    <e v="#REF!"/>
    <e v="#REF!"/>
    <n v="11"/>
    <s v="Valorisables"/>
    <x v="10"/>
    <m/>
    <m/>
    <n v="0"/>
    <n v="0"/>
    <m/>
  </r>
  <r>
    <d v="2021-12-07T00:00:00"/>
    <n v="69"/>
    <x v="68"/>
    <x v="5"/>
    <e v="#REF!"/>
    <e v="#REF!"/>
    <n v="12"/>
    <s v="Refus"/>
    <x v="11"/>
    <n v="17.700000000000003"/>
    <n v="17.100000000000001"/>
    <n v="0.60000000000000142"/>
    <n v="1.9966722129783742E-2"/>
    <m/>
  </r>
  <r>
    <d v="2021-12-10T00:00:00"/>
    <n v="70"/>
    <x v="69"/>
    <x v="5"/>
    <m/>
    <n v="45.2"/>
    <n v="1"/>
    <s v="Valorisables"/>
    <x v="0"/>
    <n v="0.7"/>
    <n v="0.5"/>
    <n v="0.19999999999999996"/>
    <n v="4.424778761061946E-3"/>
    <m/>
  </r>
  <r>
    <d v="2021-12-10T00:00:00"/>
    <n v="70"/>
    <x v="69"/>
    <x v="5"/>
    <n v="0"/>
    <e v="#DIV/0!"/>
    <n v="2"/>
    <s v="Valorisables"/>
    <x v="1"/>
    <n v="0.8"/>
    <n v="0.55000000000000004"/>
    <n v="0.25"/>
    <n v="5.5309734513274336E-3"/>
    <m/>
  </r>
  <r>
    <d v="2021-12-10T00:00:00"/>
    <n v="70"/>
    <x v="69"/>
    <x v="5"/>
    <e v="#REF!"/>
    <e v="#REF!"/>
    <n v="3"/>
    <s v="Valorisables"/>
    <x v="2"/>
    <n v="0.65"/>
    <n v="0.5"/>
    <n v="0.15000000000000002"/>
    <n v="3.3185840707964606E-3"/>
    <m/>
  </r>
  <r>
    <d v="2021-12-10T00:00:00"/>
    <n v="70"/>
    <x v="69"/>
    <x v="5"/>
    <e v="#REF!"/>
    <e v="#REF!"/>
    <n v="4"/>
    <s v="Valorisables"/>
    <x v="3"/>
    <n v="0.05"/>
    <n v="0"/>
    <n v="0.05"/>
    <n v="1.1061946902654867E-3"/>
    <m/>
  </r>
  <r>
    <d v="2021-12-10T00:00:00"/>
    <n v="70"/>
    <x v="69"/>
    <x v="5"/>
    <e v="#REF!"/>
    <e v="#REF!"/>
    <n v="5"/>
    <s v="Valorisables"/>
    <x v="4"/>
    <n v="0.05"/>
    <n v="0"/>
    <n v="0.05"/>
    <n v="1.1061946902654867E-3"/>
    <m/>
  </r>
  <r>
    <d v="2021-12-10T00:00:00"/>
    <n v="70"/>
    <x v="69"/>
    <x v="5"/>
    <e v="#REF!"/>
    <e v="#REF!"/>
    <n v="6"/>
    <s v="Valorisables"/>
    <x v="5"/>
    <m/>
    <m/>
    <n v="0"/>
    <n v="0"/>
    <m/>
  </r>
  <r>
    <d v="2021-12-10T00:00:00"/>
    <n v="70"/>
    <x v="69"/>
    <x v="5"/>
    <e v="#REF!"/>
    <e v="#REF!"/>
    <n v="7"/>
    <s v="Valorisables"/>
    <x v="6"/>
    <m/>
    <m/>
    <n v="0"/>
    <n v="0"/>
    <m/>
  </r>
  <r>
    <d v="2021-12-10T00:00:00"/>
    <n v="70"/>
    <x v="69"/>
    <x v="5"/>
    <e v="#REF!"/>
    <e v="#REF!"/>
    <n v="8"/>
    <s v="Valorisables"/>
    <x v="7"/>
    <n v="22.1"/>
    <n v="17.100000000000001"/>
    <n v="5"/>
    <n v="0.11061946902654866"/>
    <m/>
  </r>
  <r>
    <d v="2021-12-10T00:00:00"/>
    <n v="70"/>
    <x v="69"/>
    <x v="5"/>
    <e v="#REF!"/>
    <e v="#REF!"/>
    <n v="9"/>
    <s v="Valorisables"/>
    <x v="8"/>
    <n v="0.15"/>
    <n v="0"/>
    <n v="0.15"/>
    <n v="3.3185840707964597E-3"/>
    <m/>
  </r>
  <r>
    <d v="2021-12-10T00:00:00"/>
    <n v="70"/>
    <x v="69"/>
    <x v="5"/>
    <e v="#REF!"/>
    <e v="#REF!"/>
    <n v="10"/>
    <s v="Valorisables"/>
    <x v="9"/>
    <n v="70.95"/>
    <n v="33.700000000000003"/>
    <n v="37.25"/>
    <n v="0.82411504424778759"/>
    <m/>
  </r>
  <r>
    <d v="2021-12-10T00:00:00"/>
    <n v="70"/>
    <x v="69"/>
    <x v="5"/>
    <e v="#REF!"/>
    <e v="#REF!"/>
    <n v="11"/>
    <s v="Valorisables"/>
    <x v="10"/>
    <n v="0.6"/>
    <n v="0.55000000000000004"/>
    <n v="4.9999999999999933E-2"/>
    <n v="1.1061946902654852E-3"/>
    <m/>
  </r>
  <r>
    <d v="2021-12-10T00:00:00"/>
    <n v="70"/>
    <x v="69"/>
    <x v="5"/>
    <e v="#REF!"/>
    <e v="#REF!"/>
    <n v="12"/>
    <s v="Refus"/>
    <x v="11"/>
    <n v="18.950000000000003"/>
    <n v="16.899999999999999"/>
    <n v="2.0500000000000043"/>
    <n v="4.5353982300885047E-2"/>
    <s v="chaussettes, chiffons, papier filmé, films plastiques.."/>
  </r>
  <r>
    <d v="2021-12-10T00:00:00"/>
    <n v="71"/>
    <x v="70"/>
    <x v="6"/>
    <m/>
    <n v="34.949999999999996"/>
    <n v="1"/>
    <s v="Valorisables"/>
    <x v="0"/>
    <m/>
    <m/>
    <n v="0"/>
    <n v="0"/>
    <m/>
  </r>
  <r>
    <d v="2021-12-10T00:00:00"/>
    <n v="71"/>
    <x v="70"/>
    <x v="6"/>
    <n v="0"/>
    <e v="#DIV/0!"/>
    <n v="2"/>
    <s v="Valorisables"/>
    <x v="1"/>
    <n v="0.7"/>
    <n v="0.55000000000000004"/>
    <n v="0.14999999999999991"/>
    <n v="4.29184549356223E-3"/>
    <m/>
  </r>
  <r>
    <d v="2021-12-10T00:00:00"/>
    <n v="71"/>
    <x v="70"/>
    <x v="6"/>
    <e v="#REF!"/>
    <e v="#REF!"/>
    <n v="3"/>
    <s v="Valorisables"/>
    <x v="2"/>
    <m/>
    <m/>
    <n v="0"/>
    <n v="0"/>
    <m/>
  </r>
  <r>
    <d v="2021-12-10T00:00:00"/>
    <n v="71"/>
    <x v="70"/>
    <x v="6"/>
    <e v="#REF!"/>
    <e v="#REF!"/>
    <n v="4"/>
    <s v="Valorisables"/>
    <x v="3"/>
    <m/>
    <m/>
    <n v="0"/>
    <n v="0"/>
    <m/>
  </r>
  <r>
    <d v="2021-12-10T00:00:00"/>
    <n v="71"/>
    <x v="70"/>
    <x v="6"/>
    <e v="#REF!"/>
    <e v="#REF!"/>
    <n v="5"/>
    <s v="Valorisables"/>
    <x v="4"/>
    <m/>
    <m/>
    <n v="0"/>
    <n v="0"/>
    <m/>
  </r>
  <r>
    <d v="2021-12-10T00:00:00"/>
    <n v="71"/>
    <x v="70"/>
    <x v="6"/>
    <e v="#REF!"/>
    <e v="#REF!"/>
    <n v="6"/>
    <s v="Valorisables"/>
    <x v="5"/>
    <n v="0.05"/>
    <n v="0"/>
    <n v="0.05"/>
    <n v="1.4306151645207441E-3"/>
    <m/>
  </r>
  <r>
    <d v="2021-12-10T00:00:00"/>
    <n v="71"/>
    <x v="70"/>
    <x v="6"/>
    <e v="#REF!"/>
    <e v="#REF!"/>
    <n v="7"/>
    <s v="Valorisables"/>
    <x v="6"/>
    <n v="41.35"/>
    <n v="12.1"/>
    <n v="29.25"/>
    <n v="0.83690987124463534"/>
    <m/>
  </r>
  <r>
    <d v="2021-12-10T00:00:00"/>
    <n v="71"/>
    <x v="70"/>
    <x v="6"/>
    <e v="#REF!"/>
    <e v="#REF!"/>
    <n v="8"/>
    <s v="Valorisables"/>
    <x v="7"/>
    <n v="18.5"/>
    <n v="17.100000000000001"/>
    <n v="1.3999999999999986"/>
    <n v="4.0057224606580795E-2"/>
    <m/>
  </r>
  <r>
    <d v="2021-12-10T00:00:00"/>
    <n v="71"/>
    <x v="70"/>
    <x v="6"/>
    <e v="#REF!"/>
    <e v="#REF!"/>
    <n v="9"/>
    <s v="Valorisables"/>
    <x v="8"/>
    <m/>
    <m/>
    <n v="0"/>
    <n v="0"/>
    <m/>
  </r>
  <r>
    <d v="2021-12-10T00:00:00"/>
    <n v="71"/>
    <x v="70"/>
    <x v="6"/>
    <e v="#REF!"/>
    <e v="#REF!"/>
    <n v="10"/>
    <s v="Valorisables"/>
    <x v="9"/>
    <n v="27.349999999999998"/>
    <n v="25.150000000000002"/>
    <n v="2.1999999999999957"/>
    <n v="6.2947067238912621E-2"/>
    <m/>
  </r>
  <r>
    <d v="2021-12-10T00:00:00"/>
    <n v="71"/>
    <x v="70"/>
    <x v="6"/>
    <e v="#REF!"/>
    <e v="#REF!"/>
    <n v="11"/>
    <s v="Valorisables"/>
    <x v="10"/>
    <m/>
    <m/>
    <n v="0"/>
    <n v="0"/>
    <m/>
  </r>
  <r>
    <d v="2021-12-10T00:00:00"/>
    <n v="71"/>
    <x v="70"/>
    <x v="6"/>
    <e v="#REF!"/>
    <e v="#REF!"/>
    <n v="12"/>
    <s v="Refus"/>
    <x v="11"/>
    <n v="18.75"/>
    <n v="16.850000000000001"/>
    <n v="1.8999999999999986"/>
    <n v="5.4363376251788234E-2"/>
    <s v="petits morceaux de verre, de céramique, de pain, papier aluminisé…"/>
  </r>
  <r>
    <d v="2021-12-10T00:00:00"/>
    <n v="72"/>
    <x v="71"/>
    <x v="10"/>
    <n v="24.8"/>
    <n v="24.400000000000002"/>
    <n v="1"/>
    <s v="Valorisables"/>
    <x v="0"/>
    <m/>
    <m/>
    <n v="0"/>
    <n v="0"/>
    <m/>
  </r>
  <r>
    <d v="2021-12-10T00:00:00"/>
    <n v="72"/>
    <x v="71"/>
    <x v="10"/>
    <n v="24.8"/>
    <n v="-1.6129032258064457E-2"/>
    <n v="2"/>
    <s v="Valorisables"/>
    <x v="1"/>
    <n v="9.4"/>
    <n v="8.5500000000000007"/>
    <n v="0.84999999999999964"/>
    <n v="3.4836065573770475E-2"/>
    <m/>
  </r>
  <r>
    <d v="2021-12-10T00:00:00"/>
    <n v="72"/>
    <x v="71"/>
    <x v="10"/>
    <e v="#REF!"/>
    <e v="#REF!"/>
    <n v="3"/>
    <s v="Valorisables"/>
    <x v="2"/>
    <n v="54.35"/>
    <n v="33.75"/>
    <n v="20.6"/>
    <n v="0.84426229508196715"/>
    <m/>
  </r>
  <r>
    <d v="2021-12-10T00:00:00"/>
    <n v="72"/>
    <x v="71"/>
    <x v="10"/>
    <e v="#REF!"/>
    <e v="#REF!"/>
    <n v="4"/>
    <s v="Valorisables"/>
    <x v="3"/>
    <n v="1"/>
    <n v="0.5"/>
    <n v="0.5"/>
    <n v="2.0491803278688523E-2"/>
    <m/>
  </r>
  <r>
    <d v="2021-12-10T00:00:00"/>
    <n v="72"/>
    <x v="71"/>
    <x v="10"/>
    <e v="#REF!"/>
    <e v="#REF!"/>
    <n v="5"/>
    <s v="Valorisables"/>
    <x v="4"/>
    <n v="0.6"/>
    <n v="0.55000000000000004"/>
    <n v="4.9999999999999933E-2"/>
    <n v="2.0491803278688495E-3"/>
    <m/>
  </r>
  <r>
    <d v="2021-12-10T00:00:00"/>
    <n v="72"/>
    <x v="71"/>
    <x v="10"/>
    <e v="#REF!"/>
    <e v="#REF!"/>
    <n v="6"/>
    <s v="Valorisables"/>
    <x v="5"/>
    <m/>
    <m/>
    <n v="0"/>
    <n v="0"/>
    <m/>
  </r>
  <r>
    <d v="2021-12-10T00:00:00"/>
    <n v="72"/>
    <x v="71"/>
    <x v="10"/>
    <e v="#REF!"/>
    <e v="#REF!"/>
    <n v="7"/>
    <s v="Valorisables"/>
    <x v="6"/>
    <m/>
    <m/>
    <n v="0"/>
    <n v="0"/>
    <m/>
  </r>
  <r>
    <d v="2021-12-10T00:00:00"/>
    <n v="72"/>
    <x v="71"/>
    <x v="10"/>
    <e v="#REF!"/>
    <e v="#REF!"/>
    <n v="8"/>
    <s v="Valorisables"/>
    <x v="7"/>
    <n v="1.35"/>
    <n v="0.55000000000000004"/>
    <n v="0.8"/>
    <n v="3.2786885245901641E-2"/>
    <m/>
  </r>
  <r>
    <d v="2021-12-10T00:00:00"/>
    <n v="72"/>
    <x v="71"/>
    <x v="10"/>
    <e v="#REF!"/>
    <e v="#REF!"/>
    <n v="9"/>
    <s v="Valorisables"/>
    <x v="8"/>
    <m/>
    <m/>
    <n v="0"/>
    <n v="0"/>
    <m/>
  </r>
  <r>
    <d v="2021-12-10T00:00:00"/>
    <n v="72"/>
    <x v="71"/>
    <x v="10"/>
    <e v="#REF!"/>
    <e v="#REF!"/>
    <n v="10"/>
    <s v="Valorisables"/>
    <x v="9"/>
    <n v="0.75"/>
    <n v="0.55000000000000004"/>
    <n v="0.19999999999999996"/>
    <n v="8.1967213114754068E-3"/>
    <m/>
  </r>
  <r>
    <d v="2021-12-10T00:00:00"/>
    <n v="72"/>
    <x v="71"/>
    <x v="10"/>
    <e v="#REF!"/>
    <e v="#REF!"/>
    <n v="11"/>
    <s v="Valorisables"/>
    <x v="10"/>
    <m/>
    <m/>
    <n v="0"/>
    <n v="0"/>
    <m/>
  </r>
  <r>
    <d v="2021-12-10T00:00:00"/>
    <n v="72"/>
    <x v="71"/>
    <x v="10"/>
    <e v="#REF!"/>
    <e v="#REF!"/>
    <n v="12"/>
    <s v="Refus"/>
    <x v="11"/>
    <n v="18.5"/>
    <n v="17.100000000000001"/>
    <n v="1.3999999999999986"/>
    <n v="5.7377049180327808E-2"/>
    <m/>
  </r>
  <r>
    <d v="2021-12-10T00:00:00"/>
    <n v="73"/>
    <x v="72"/>
    <x v="10"/>
    <m/>
    <n v="27.2"/>
    <n v="1"/>
    <s v="Valorisables"/>
    <x v="0"/>
    <m/>
    <m/>
    <n v="0"/>
    <n v="0"/>
    <m/>
  </r>
  <r>
    <d v="2021-12-10T00:00:00"/>
    <n v="73"/>
    <x v="72"/>
    <x v="10"/>
    <n v="0"/>
    <e v="#DIV/0!"/>
    <n v="2"/>
    <s v="Valorisables"/>
    <x v="1"/>
    <n v="18.25"/>
    <n v="17.100000000000001"/>
    <n v="1.1499999999999986"/>
    <n v="4.2279411764705829E-2"/>
    <m/>
  </r>
  <r>
    <d v="2021-12-10T00:00:00"/>
    <n v="73"/>
    <x v="72"/>
    <x v="10"/>
    <e v="#REF!"/>
    <e v="#REF!"/>
    <n v="3"/>
    <s v="Valorisables"/>
    <x v="2"/>
    <n v="60.2"/>
    <n v="35"/>
    <n v="25.200000000000003"/>
    <n v="0.92647058823529427"/>
    <m/>
  </r>
  <r>
    <d v="2021-12-10T00:00:00"/>
    <n v="73"/>
    <x v="72"/>
    <x v="10"/>
    <e v="#REF!"/>
    <e v="#REF!"/>
    <n v="4"/>
    <s v="Valorisables"/>
    <x v="3"/>
    <n v="0.9"/>
    <n v="0.55000000000000004"/>
    <n v="0.35"/>
    <n v="1.2867647058823529E-2"/>
    <m/>
  </r>
  <r>
    <d v="2021-12-10T00:00:00"/>
    <n v="73"/>
    <x v="72"/>
    <x v="10"/>
    <e v="#REF!"/>
    <e v="#REF!"/>
    <n v="5"/>
    <s v="Valorisables"/>
    <x v="4"/>
    <m/>
    <m/>
    <n v="0"/>
    <n v="0"/>
    <m/>
  </r>
  <r>
    <d v="2021-12-10T00:00:00"/>
    <n v="73"/>
    <x v="72"/>
    <x v="10"/>
    <e v="#REF!"/>
    <e v="#REF!"/>
    <n v="6"/>
    <s v="Valorisables"/>
    <x v="5"/>
    <m/>
    <m/>
    <n v="0"/>
    <n v="0"/>
    <m/>
  </r>
  <r>
    <d v="2021-12-10T00:00:00"/>
    <n v="73"/>
    <x v="72"/>
    <x v="10"/>
    <e v="#REF!"/>
    <e v="#REF!"/>
    <n v="7"/>
    <s v="Valorisables"/>
    <x v="6"/>
    <m/>
    <m/>
    <n v="0"/>
    <n v="0"/>
    <m/>
  </r>
  <r>
    <d v="2021-12-10T00:00:00"/>
    <n v="73"/>
    <x v="72"/>
    <x v="10"/>
    <e v="#REF!"/>
    <e v="#REF!"/>
    <n v="8"/>
    <s v="Valorisables"/>
    <x v="7"/>
    <n v="0.55000000000000004"/>
    <n v="0.5"/>
    <n v="5.0000000000000044E-2"/>
    <n v="1.8382352941176488E-3"/>
    <m/>
  </r>
  <r>
    <d v="2021-12-10T00:00:00"/>
    <n v="73"/>
    <x v="72"/>
    <x v="10"/>
    <e v="#REF!"/>
    <e v="#REF!"/>
    <n v="9"/>
    <s v="Valorisables"/>
    <x v="8"/>
    <m/>
    <m/>
    <n v="0"/>
    <n v="0"/>
    <m/>
  </r>
  <r>
    <d v="2021-12-10T00:00:00"/>
    <n v="73"/>
    <x v="72"/>
    <x v="10"/>
    <e v="#REF!"/>
    <e v="#REF!"/>
    <n v="10"/>
    <s v="Valorisables"/>
    <x v="9"/>
    <n v="0.65"/>
    <n v="0.5"/>
    <n v="0.15000000000000002"/>
    <n v="5.5147058823529424E-3"/>
    <m/>
  </r>
  <r>
    <d v="2021-12-10T00:00:00"/>
    <n v="73"/>
    <x v="72"/>
    <x v="10"/>
    <e v="#REF!"/>
    <e v="#REF!"/>
    <n v="11"/>
    <s v="Valorisables"/>
    <x v="10"/>
    <m/>
    <m/>
    <n v="0"/>
    <n v="0"/>
    <m/>
  </r>
  <r>
    <d v="2021-12-10T00:00:00"/>
    <n v="73"/>
    <x v="72"/>
    <x v="10"/>
    <e v="#REF!"/>
    <e v="#REF!"/>
    <n v="12"/>
    <s v="Refus"/>
    <x v="11"/>
    <n v="16.899999999999999"/>
    <n v="16.600000000000001"/>
    <n v="0.29999999999999716"/>
    <n v="1.1029411764705779E-2"/>
    <m/>
  </r>
  <r>
    <d v="2021-12-10T00:00:00"/>
    <n v="74"/>
    <x v="73"/>
    <x v="10"/>
    <m/>
    <n v="37.049999999999997"/>
    <n v="1"/>
    <s v="Valorisables"/>
    <x v="0"/>
    <n v="0.05"/>
    <n v="0"/>
    <n v="0.05"/>
    <n v="1.3495276653171392E-3"/>
    <m/>
  </r>
  <r>
    <d v="2021-12-10T00:00:00"/>
    <n v="74"/>
    <x v="73"/>
    <x v="10"/>
    <n v="0"/>
    <e v="#DIV/0!"/>
    <n v="2"/>
    <s v="Valorisables"/>
    <x v="1"/>
    <n v="18.600000000000001"/>
    <n v="17.100000000000001"/>
    <n v="1.5"/>
    <n v="4.048582995951417E-2"/>
    <m/>
  </r>
  <r>
    <d v="2021-12-10T00:00:00"/>
    <n v="74"/>
    <x v="73"/>
    <x v="10"/>
    <e v="#REF!"/>
    <e v="#REF!"/>
    <n v="3"/>
    <s v="Valorisables"/>
    <x v="2"/>
    <n v="78.3"/>
    <n v="50.7"/>
    <n v="27.599999999999994"/>
    <n v="0.74493927125506065"/>
    <m/>
  </r>
  <r>
    <d v="2021-12-10T00:00:00"/>
    <n v="74"/>
    <x v="73"/>
    <x v="10"/>
    <e v="#REF!"/>
    <e v="#REF!"/>
    <n v="4"/>
    <s v="Valorisables"/>
    <x v="3"/>
    <n v="3.65"/>
    <n v="0.55000000000000004"/>
    <n v="3.0999999999999996"/>
    <n v="8.3670715249662617E-2"/>
    <m/>
  </r>
  <r>
    <d v="2021-12-10T00:00:00"/>
    <n v="74"/>
    <x v="73"/>
    <x v="10"/>
    <e v="#REF!"/>
    <e v="#REF!"/>
    <n v="5"/>
    <s v="Valorisables"/>
    <x v="4"/>
    <n v="0.85"/>
    <n v="0.5"/>
    <n v="0.35"/>
    <n v="9.4466936572199737E-3"/>
    <m/>
  </r>
  <r>
    <d v="2021-12-10T00:00:00"/>
    <n v="74"/>
    <x v="73"/>
    <x v="10"/>
    <e v="#REF!"/>
    <e v="#REF!"/>
    <n v="6"/>
    <s v="Valorisables"/>
    <x v="5"/>
    <m/>
    <m/>
    <n v="0"/>
    <n v="0"/>
    <m/>
  </r>
  <r>
    <d v="2021-12-10T00:00:00"/>
    <n v="74"/>
    <x v="73"/>
    <x v="10"/>
    <e v="#REF!"/>
    <e v="#REF!"/>
    <n v="7"/>
    <s v="Valorisables"/>
    <x v="6"/>
    <m/>
    <m/>
    <n v="0"/>
    <n v="0"/>
    <m/>
  </r>
  <r>
    <d v="2021-12-10T00:00:00"/>
    <n v="74"/>
    <x v="73"/>
    <x v="10"/>
    <e v="#REF!"/>
    <e v="#REF!"/>
    <n v="8"/>
    <s v="Valorisables"/>
    <x v="7"/>
    <n v="0.8"/>
    <n v="0.55000000000000004"/>
    <n v="0.25"/>
    <n v="6.7476383265856954E-3"/>
    <m/>
  </r>
  <r>
    <d v="2021-12-10T00:00:00"/>
    <n v="74"/>
    <x v="73"/>
    <x v="10"/>
    <e v="#REF!"/>
    <e v="#REF!"/>
    <n v="9"/>
    <s v="Valorisables"/>
    <x v="8"/>
    <m/>
    <m/>
    <n v="0"/>
    <n v="0"/>
    <m/>
  </r>
  <r>
    <d v="2021-12-10T00:00:00"/>
    <n v="74"/>
    <x v="73"/>
    <x v="10"/>
    <e v="#REF!"/>
    <e v="#REF!"/>
    <n v="10"/>
    <s v="Valorisables"/>
    <x v="9"/>
    <n v="1.4"/>
    <n v="0.55000000000000004"/>
    <n v="0.84999999999999987"/>
    <n v="2.2941970310391361E-2"/>
    <m/>
  </r>
  <r>
    <d v="2021-12-10T00:00:00"/>
    <n v="74"/>
    <x v="73"/>
    <x v="10"/>
    <e v="#REF!"/>
    <e v="#REF!"/>
    <n v="11"/>
    <s v="Valorisables"/>
    <x v="10"/>
    <n v="0.8"/>
    <n v="0.55000000000000004"/>
    <n v="0.25"/>
    <n v="6.7476383265856954E-3"/>
    <m/>
  </r>
  <r>
    <d v="2021-12-10T00:00:00"/>
    <n v="74"/>
    <x v="73"/>
    <x v="10"/>
    <e v="#REF!"/>
    <e v="#REF!"/>
    <n v="12"/>
    <s v="Refus"/>
    <x v="11"/>
    <n v="19.95"/>
    <n v="16.850000000000001"/>
    <n v="3.0999999999999979"/>
    <n v="8.3670715249662561E-2"/>
    <m/>
  </r>
  <r>
    <d v="2021-12-10T00:00:00"/>
    <n v="75"/>
    <x v="74"/>
    <x v="4"/>
    <m/>
    <n v="15.899999999999995"/>
    <n v="1"/>
    <s v="Valorisables"/>
    <x v="0"/>
    <n v="49.9"/>
    <n v="34.700000000000003"/>
    <n v="15.199999999999996"/>
    <n v="0.95597484276729561"/>
    <s v="dont 1,1 kg barqu monocouche PET"/>
  </r>
  <r>
    <d v="2021-12-10T00:00:00"/>
    <n v="75"/>
    <x v="74"/>
    <x v="4"/>
    <n v="0"/>
    <e v="#DIV/0!"/>
    <n v="2"/>
    <s v="Valorisables"/>
    <x v="1"/>
    <n v="9"/>
    <n v="8.5500000000000007"/>
    <n v="0.44999999999999929"/>
    <n v="2.8301886792452793E-2"/>
    <s v="PET couleur principalement"/>
  </r>
  <r>
    <d v="2021-12-10T00:00:00"/>
    <n v="75"/>
    <x v="74"/>
    <x v="4"/>
    <e v="#REF!"/>
    <e v="#REF!"/>
    <n v="3"/>
    <s v="Valorisables"/>
    <x v="2"/>
    <m/>
    <m/>
    <n v="0"/>
    <n v="0"/>
    <m/>
  </r>
  <r>
    <d v="2021-12-10T00:00:00"/>
    <n v="75"/>
    <x v="74"/>
    <x v="4"/>
    <e v="#REF!"/>
    <e v="#REF!"/>
    <n v="4"/>
    <s v="Valorisables"/>
    <x v="3"/>
    <m/>
    <m/>
    <n v="0"/>
    <n v="0"/>
    <m/>
  </r>
  <r>
    <d v="2021-12-10T00:00:00"/>
    <n v="75"/>
    <x v="74"/>
    <x v="4"/>
    <e v="#REF!"/>
    <e v="#REF!"/>
    <n v="5"/>
    <s v="Valorisables"/>
    <x v="4"/>
    <n v="0.6"/>
    <n v="0.55000000000000004"/>
    <n v="4.9999999999999933E-2"/>
    <n v="3.1446540880503112E-3"/>
    <m/>
  </r>
  <r>
    <d v="2021-12-10T00:00:00"/>
    <n v="75"/>
    <x v="74"/>
    <x v="4"/>
    <e v="#REF!"/>
    <e v="#REF!"/>
    <n v="6"/>
    <s v="Valorisables"/>
    <x v="5"/>
    <m/>
    <m/>
    <n v="0"/>
    <n v="0"/>
    <m/>
  </r>
  <r>
    <d v="2021-12-10T00:00:00"/>
    <n v="75"/>
    <x v="74"/>
    <x v="4"/>
    <e v="#REF!"/>
    <e v="#REF!"/>
    <n v="7"/>
    <s v="Valorisables"/>
    <x v="6"/>
    <m/>
    <m/>
    <n v="0"/>
    <n v="0"/>
    <m/>
  </r>
  <r>
    <d v="2021-12-10T00:00:00"/>
    <n v="75"/>
    <x v="74"/>
    <x v="4"/>
    <e v="#REF!"/>
    <e v="#REF!"/>
    <n v="8"/>
    <s v="Valorisables"/>
    <x v="7"/>
    <m/>
    <m/>
    <n v="0"/>
    <n v="0"/>
    <m/>
  </r>
  <r>
    <d v="2021-12-10T00:00:00"/>
    <n v="75"/>
    <x v="74"/>
    <x v="4"/>
    <e v="#REF!"/>
    <e v="#REF!"/>
    <n v="9"/>
    <s v="Valorisables"/>
    <x v="8"/>
    <m/>
    <m/>
    <n v="0"/>
    <n v="0"/>
    <m/>
  </r>
  <r>
    <d v="2021-12-10T00:00:00"/>
    <n v="75"/>
    <x v="74"/>
    <x v="4"/>
    <e v="#REF!"/>
    <e v="#REF!"/>
    <n v="10"/>
    <s v="Valorisables"/>
    <x v="9"/>
    <m/>
    <m/>
    <n v="0"/>
    <n v="0"/>
    <m/>
  </r>
  <r>
    <d v="2021-12-10T00:00:00"/>
    <n v="75"/>
    <x v="74"/>
    <x v="4"/>
    <e v="#REF!"/>
    <e v="#REF!"/>
    <n v="11"/>
    <s v="Valorisables"/>
    <x v="10"/>
    <m/>
    <m/>
    <n v="0"/>
    <n v="0"/>
    <m/>
  </r>
  <r>
    <d v="2021-12-10T00:00:00"/>
    <n v="75"/>
    <x v="74"/>
    <x v="4"/>
    <e v="#REF!"/>
    <e v="#REF!"/>
    <n v="12"/>
    <s v="Refus"/>
    <x v="11"/>
    <n v="8.6999999999999993"/>
    <n v="8.5"/>
    <n v="0.19999999999999929"/>
    <n v="1.2578616352201217E-2"/>
    <m/>
  </r>
  <r>
    <d v="2021-12-10T00:00:00"/>
    <n v="76"/>
    <x v="75"/>
    <x v="4"/>
    <m/>
    <n v="21.850000000000016"/>
    <n v="1"/>
    <s v="Valorisables"/>
    <x v="0"/>
    <n v="64.350000000000009"/>
    <n v="43.599999999999994"/>
    <n v="20.750000000000014"/>
    <n v="0.94965675057208232"/>
    <s v="dont 1,3 kg de barqu monocouche PET"/>
  </r>
  <r>
    <d v="2021-12-10T00:00:00"/>
    <n v="76"/>
    <x v="75"/>
    <x v="4"/>
    <n v="0"/>
    <e v="#DIV/0!"/>
    <n v="2"/>
    <s v="Valorisables"/>
    <x v="1"/>
    <n v="17.55"/>
    <n v="16.8"/>
    <n v="0.75"/>
    <n v="3.4324942791761986E-2"/>
    <s v="PET couleur principalement"/>
  </r>
  <r>
    <d v="2021-12-10T00:00:00"/>
    <n v="76"/>
    <x v="75"/>
    <x v="4"/>
    <e v="#REF!"/>
    <e v="#REF!"/>
    <n v="3"/>
    <s v="Valorisables"/>
    <x v="2"/>
    <m/>
    <m/>
    <n v="0"/>
    <n v="0"/>
    <m/>
  </r>
  <r>
    <d v="2021-12-10T00:00:00"/>
    <n v="76"/>
    <x v="75"/>
    <x v="4"/>
    <e v="#REF!"/>
    <e v="#REF!"/>
    <n v="4"/>
    <s v="Valorisables"/>
    <x v="3"/>
    <m/>
    <m/>
    <n v="0"/>
    <n v="0"/>
    <m/>
  </r>
  <r>
    <d v="2021-12-10T00:00:00"/>
    <n v="76"/>
    <x v="75"/>
    <x v="4"/>
    <e v="#REF!"/>
    <e v="#REF!"/>
    <n v="5"/>
    <s v="Valorisables"/>
    <x v="4"/>
    <m/>
    <m/>
    <n v="0"/>
    <n v="0"/>
    <m/>
  </r>
  <r>
    <d v="2021-12-10T00:00:00"/>
    <n v="76"/>
    <x v="75"/>
    <x v="4"/>
    <e v="#REF!"/>
    <e v="#REF!"/>
    <n v="6"/>
    <s v="Valorisables"/>
    <x v="5"/>
    <m/>
    <m/>
    <n v="0"/>
    <n v="0"/>
    <m/>
  </r>
  <r>
    <d v="2021-12-10T00:00:00"/>
    <n v="76"/>
    <x v="75"/>
    <x v="4"/>
    <e v="#REF!"/>
    <e v="#REF!"/>
    <n v="7"/>
    <s v="Valorisables"/>
    <x v="6"/>
    <m/>
    <m/>
    <n v="0"/>
    <n v="0"/>
    <m/>
  </r>
  <r>
    <d v="2021-12-10T00:00:00"/>
    <n v="76"/>
    <x v="75"/>
    <x v="4"/>
    <e v="#REF!"/>
    <e v="#REF!"/>
    <n v="8"/>
    <s v="Valorisables"/>
    <x v="7"/>
    <m/>
    <m/>
    <n v="0"/>
    <n v="0"/>
    <m/>
  </r>
  <r>
    <d v="2021-12-10T00:00:00"/>
    <n v="76"/>
    <x v="75"/>
    <x v="4"/>
    <e v="#REF!"/>
    <e v="#REF!"/>
    <n v="9"/>
    <s v="Valorisables"/>
    <x v="8"/>
    <m/>
    <m/>
    <n v="0"/>
    <n v="0"/>
    <m/>
  </r>
  <r>
    <d v="2021-12-10T00:00:00"/>
    <n v="76"/>
    <x v="75"/>
    <x v="4"/>
    <e v="#REF!"/>
    <e v="#REF!"/>
    <n v="10"/>
    <s v="Valorisables"/>
    <x v="9"/>
    <n v="0.05"/>
    <n v="0"/>
    <n v="0.05"/>
    <n v="2.2883295194507996E-3"/>
    <m/>
  </r>
  <r>
    <d v="2021-12-10T00:00:00"/>
    <n v="76"/>
    <x v="75"/>
    <x v="4"/>
    <e v="#REF!"/>
    <e v="#REF!"/>
    <n v="11"/>
    <s v="Valorisables"/>
    <x v="10"/>
    <m/>
    <m/>
    <n v="0"/>
    <n v="0"/>
    <m/>
  </r>
  <r>
    <d v="2021-12-10T00:00:00"/>
    <n v="76"/>
    <x v="75"/>
    <x v="4"/>
    <e v="#REF!"/>
    <e v="#REF!"/>
    <n v="12"/>
    <s v="Refus"/>
    <x v="11"/>
    <n v="17.350000000000001"/>
    <n v="17.05"/>
    <n v="0.30000000000000071"/>
    <n v="1.3729977116704829E-2"/>
    <m/>
  </r>
  <r>
    <d v="2021-12-10T00:00:00"/>
    <n v="77"/>
    <x v="76"/>
    <x v="4"/>
    <m/>
    <n v="16.349999999999994"/>
    <n v="1"/>
    <s v="Valorisables"/>
    <x v="0"/>
    <n v="60.849999999999994"/>
    <n v="45.75"/>
    <n v="15.099999999999994"/>
    <n v="0.92354740061162077"/>
    <s v="dont 1,45 kg de barqu monocouche PET"/>
  </r>
  <r>
    <d v="2021-12-10T00:00:00"/>
    <n v="77"/>
    <x v="76"/>
    <x v="4"/>
    <n v="0"/>
    <e v="#DIV/0!"/>
    <n v="2"/>
    <s v="Valorisables"/>
    <x v="1"/>
    <n v="17.8"/>
    <n v="16.899999999999999"/>
    <n v="0.90000000000000213"/>
    <n v="5.5045871559633176E-2"/>
    <s v="PET couleur principalement"/>
  </r>
  <r>
    <d v="2021-12-10T00:00:00"/>
    <n v="77"/>
    <x v="76"/>
    <x v="4"/>
    <e v="#REF!"/>
    <e v="#REF!"/>
    <n v="3"/>
    <s v="Valorisables"/>
    <x v="2"/>
    <m/>
    <m/>
    <n v="0"/>
    <n v="0"/>
    <m/>
  </r>
  <r>
    <d v="2021-12-10T00:00:00"/>
    <n v="77"/>
    <x v="76"/>
    <x v="4"/>
    <e v="#REF!"/>
    <e v="#REF!"/>
    <n v="4"/>
    <s v="Valorisables"/>
    <x v="3"/>
    <m/>
    <m/>
    <n v="0"/>
    <n v="0"/>
    <m/>
  </r>
  <r>
    <d v="2021-12-10T00:00:00"/>
    <n v="77"/>
    <x v="76"/>
    <x v="4"/>
    <e v="#REF!"/>
    <e v="#REF!"/>
    <n v="5"/>
    <s v="Valorisables"/>
    <x v="4"/>
    <m/>
    <m/>
    <n v="0"/>
    <n v="0"/>
    <m/>
  </r>
  <r>
    <d v="2021-12-10T00:00:00"/>
    <n v="77"/>
    <x v="76"/>
    <x v="4"/>
    <e v="#REF!"/>
    <e v="#REF!"/>
    <n v="6"/>
    <s v="Valorisables"/>
    <x v="5"/>
    <m/>
    <m/>
    <n v="0"/>
    <n v="0"/>
    <m/>
  </r>
  <r>
    <d v="2021-12-10T00:00:00"/>
    <n v="77"/>
    <x v="76"/>
    <x v="4"/>
    <e v="#REF!"/>
    <e v="#REF!"/>
    <n v="7"/>
    <s v="Valorisables"/>
    <x v="6"/>
    <m/>
    <m/>
    <n v="0"/>
    <n v="0"/>
    <m/>
  </r>
  <r>
    <d v="2021-12-10T00:00:00"/>
    <n v="77"/>
    <x v="76"/>
    <x v="4"/>
    <e v="#REF!"/>
    <e v="#REF!"/>
    <n v="8"/>
    <s v="Valorisables"/>
    <x v="7"/>
    <m/>
    <m/>
    <n v="0"/>
    <n v="0"/>
    <m/>
  </r>
  <r>
    <d v="2021-12-10T00:00:00"/>
    <n v="77"/>
    <x v="76"/>
    <x v="4"/>
    <e v="#REF!"/>
    <e v="#REF!"/>
    <n v="9"/>
    <s v="Valorisables"/>
    <x v="8"/>
    <m/>
    <m/>
    <n v="0"/>
    <n v="0"/>
    <m/>
  </r>
  <r>
    <d v="2021-12-10T00:00:00"/>
    <n v="77"/>
    <x v="76"/>
    <x v="4"/>
    <e v="#REF!"/>
    <e v="#REF!"/>
    <n v="10"/>
    <s v="Valorisables"/>
    <x v="9"/>
    <n v="0.05"/>
    <n v="0"/>
    <n v="0.05"/>
    <n v="3.0581039755351695E-3"/>
    <m/>
  </r>
  <r>
    <d v="2021-12-10T00:00:00"/>
    <n v="77"/>
    <x v="76"/>
    <x v="4"/>
    <e v="#REF!"/>
    <e v="#REF!"/>
    <n v="11"/>
    <s v="Valorisables"/>
    <x v="10"/>
    <m/>
    <m/>
    <n v="0"/>
    <n v="0"/>
    <m/>
  </r>
  <r>
    <d v="2021-12-10T00:00:00"/>
    <n v="77"/>
    <x v="76"/>
    <x v="4"/>
    <e v="#REF!"/>
    <e v="#REF!"/>
    <n v="12"/>
    <s v="Refus"/>
    <x v="11"/>
    <n v="17.399999999999999"/>
    <n v="17.100000000000001"/>
    <n v="0.29999999999999716"/>
    <n v="1.834862385321084E-2"/>
    <m/>
  </r>
  <r>
    <d v="2021-12-10T00:00:00"/>
    <n v="78"/>
    <x v="77"/>
    <x v="5"/>
    <m/>
    <n v="43.29999999999999"/>
    <n v="1"/>
    <s v="Valorisables"/>
    <x v="0"/>
    <n v="0.1"/>
    <n v="0"/>
    <n v="0.1"/>
    <n v="2.3094688221709015E-3"/>
    <m/>
  </r>
  <r>
    <d v="2021-12-10T00:00:00"/>
    <n v="78"/>
    <x v="77"/>
    <x v="5"/>
    <n v="0"/>
    <e v="#DIV/0!"/>
    <n v="2"/>
    <s v="Valorisables"/>
    <x v="1"/>
    <n v="0.7"/>
    <n v="0.55000000000000004"/>
    <n v="0.14999999999999991"/>
    <n v="3.4642032332563499E-3"/>
    <m/>
  </r>
  <r>
    <d v="2021-12-10T00:00:00"/>
    <n v="78"/>
    <x v="77"/>
    <x v="5"/>
    <e v="#REF!"/>
    <e v="#REF!"/>
    <n v="3"/>
    <s v="Valorisables"/>
    <x v="2"/>
    <n v="0.85"/>
    <n v="0.5"/>
    <n v="0.35"/>
    <n v="8.0831408775981529E-3"/>
    <m/>
  </r>
  <r>
    <d v="2021-12-10T00:00:00"/>
    <n v="78"/>
    <x v="77"/>
    <x v="5"/>
    <e v="#REF!"/>
    <e v="#REF!"/>
    <n v="4"/>
    <s v="Valorisables"/>
    <x v="3"/>
    <n v="0.85"/>
    <n v="0.55000000000000004"/>
    <n v="0.29999999999999993"/>
    <n v="6.9284064665127024E-3"/>
    <m/>
  </r>
  <r>
    <d v="2021-12-10T00:00:00"/>
    <n v="78"/>
    <x v="77"/>
    <x v="5"/>
    <e v="#REF!"/>
    <e v="#REF!"/>
    <n v="5"/>
    <s v="Valorisables"/>
    <x v="4"/>
    <m/>
    <m/>
    <n v="0"/>
    <n v="0"/>
    <m/>
  </r>
  <r>
    <d v="2021-12-10T00:00:00"/>
    <n v="78"/>
    <x v="77"/>
    <x v="5"/>
    <e v="#REF!"/>
    <e v="#REF!"/>
    <n v="6"/>
    <s v="Valorisables"/>
    <x v="5"/>
    <m/>
    <m/>
    <n v="0"/>
    <n v="0"/>
    <m/>
  </r>
  <r>
    <d v="2021-12-10T00:00:00"/>
    <n v="78"/>
    <x v="77"/>
    <x v="5"/>
    <e v="#REF!"/>
    <e v="#REF!"/>
    <n v="7"/>
    <s v="Valorisables"/>
    <x v="6"/>
    <m/>
    <m/>
    <n v="0"/>
    <n v="0"/>
    <m/>
  </r>
  <r>
    <d v="2021-12-10T00:00:00"/>
    <n v="78"/>
    <x v="77"/>
    <x v="5"/>
    <e v="#REF!"/>
    <e v="#REF!"/>
    <n v="8"/>
    <s v="Valorisables"/>
    <x v="7"/>
    <n v="21.549999999999997"/>
    <n v="16.899999999999999"/>
    <n v="4.6499999999999986"/>
    <n v="0.10739030023094688"/>
    <m/>
  </r>
  <r>
    <d v="2021-12-10T00:00:00"/>
    <n v="78"/>
    <x v="77"/>
    <x v="5"/>
    <e v="#REF!"/>
    <e v="#REF!"/>
    <n v="9"/>
    <s v="Valorisables"/>
    <x v="8"/>
    <n v="0.15"/>
    <n v="0"/>
    <n v="0.15"/>
    <n v="3.4642032332563516E-3"/>
    <m/>
  </r>
  <r>
    <d v="2021-12-10T00:00:00"/>
    <n v="78"/>
    <x v="77"/>
    <x v="5"/>
    <e v="#REF!"/>
    <e v="#REF!"/>
    <n v="10"/>
    <s v="Valorisables"/>
    <x v="9"/>
    <n v="68.849999999999994"/>
    <n v="33.950000000000003"/>
    <n v="34.899999999999991"/>
    <n v="0.8060046189376443"/>
    <m/>
  </r>
  <r>
    <d v="2021-12-10T00:00:00"/>
    <n v="78"/>
    <x v="77"/>
    <x v="5"/>
    <e v="#REF!"/>
    <e v="#REF!"/>
    <n v="11"/>
    <s v="Valorisables"/>
    <x v="10"/>
    <n v="0.7"/>
    <n v="0.5"/>
    <n v="0.19999999999999996"/>
    <n v="4.6189376443418013E-3"/>
    <m/>
  </r>
  <r>
    <d v="2021-12-10T00:00:00"/>
    <n v="78"/>
    <x v="77"/>
    <x v="5"/>
    <e v="#REF!"/>
    <e v="#REF!"/>
    <n v="12"/>
    <s v="Refus"/>
    <x v="11"/>
    <n v="19.3"/>
    <n v="16.8"/>
    <n v="2.5"/>
    <n v="5.7736720554272529E-2"/>
    <s v="dont gros morceau de bois, textiles…"/>
  </r>
  <r>
    <d v="2021-12-10T00:00:00"/>
    <n v="79"/>
    <x v="78"/>
    <x v="8"/>
    <m/>
    <n v="28.5"/>
    <n v="1"/>
    <s v="Valorisables"/>
    <x v="0"/>
    <m/>
    <m/>
    <n v="0"/>
    <n v="0"/>
    <m/>
  </r>
  <r>
    <d v="2021-12-10T00:00:00"/>
    <n v="79"/>
    <x v="78"/>
    <x v="8"/>
    <n v="0"/>
    <e v="#DIV/0!"/>
    <n v="2"/>
    <s v="Valorisables"/>
    <x v="1"/>
    <n v="0.1"/>
    <n v="0"/>
    <n v="0.1"/>
    <n v="3.5087719298245615E-3"/>
    <m/>
  </r>
  <r>
    <d v="2021-12-10T00:00:00"/>
    <n v="79"/>
    <x v="78"/>
    <x v="8"/>
    <e v="#REF!"/>
    <e v="#REF!"/>
    <n v="3"/>
    <s v="Valorisables"/>
    <x v="2"/>
    <m/>
    <m/>
    <n v="0"/>
    <n v="0"/>
    <m/>
  </r>
  <r>
    <d v="2021-12-10T00:00:00"/>
    <n v="79"/>
    <x v="78"/>
    <x v="8"/>
    <e v="#REF!"/>
    <e v="#REF!"/>
    <n v="4"/>
    <s v="Valorisables"/>
    <x v="3"/>
    <m/>
    <m/>
    <n v="0"/>
    <n v="0"/>
    <m/>
  </r>
  <r>
    <d v="2021-12-10T00:00:00"/>
    <n v="79"/>
    <x v="78"/>
    <x v="8"/>
    <e v="#REF!"/>
    <e v="#REF!"/>
    <n v="5"/>
    <s v="Valorisables"/>
    <x v="4"/>
    <m/>
    <m/>
    <n v="0"/>
    <n v="0"/>
    <m/>
  </r>
  <r>
    <d v="2021-12-10T00:00:00"/>
    <n v="79"/>
    <x v="78"/>
    <x v="8"/>
    <e v="#REF!"/>
    <e v="#REF!"/>
    <n v="6"/>
    <s v="Valorisables"/>
    <x v="5"/>
    <m/>
    <m/>
    <n v="0"/>
    <n v="0"/>
    <m/>
  </r>
  <r>
    <d v="2021-12-10T00:00:00"/>
    <n v="79"/>
    <x v="78"/>
    <x v="8"/>
    <e v="#REF!"/>
    <e v="#REF!"/>
    <n v="7"/>
    <s v="Valorisables"/>
    <x v="6"/>
    <m/>
    <m/>
    <n v="0"/>
    <n v="0"/>
    <m/>
  </r>
  <r>
    <d v="2021-12-10T00:00:00"/>
    <n v="79"/>
    <x v="78"/>
    <x v="8"/>
    <e v="#REF!"/>
    <e v="#REF!"/>
    <n v="8"/>
    <s v="Valorisables"/>
    <x v="7"/>
    <n v="8.6"/>
    <n v="8.3000000000000007"/>
    <n v="0.29999999999999893"/>
    <n v="1.0526315789473648E-2"/>
    <m/>
  </r>
  <r>
    <d v="2021-12-10T00:00:00"/>
    <n v="79"/>
    <x v="78"/>
    <x v="8"/>
    <e v="#REF!"/>
    <e v="#REF!"/>
    <n v="9"/>
    <s v="Valorisables"/>
    <x v="8"/>
    <m/>
    <m/>
    <n v="0"/>
    <n v="0"/>
    <m/>
  </r>
  <r>
    <d v="2021-12-10T00:00:00"/>
    <n v="79"/>
    <x v="78"/>
    <x v="8"/>
    <e v="#REF!"/>
    <e v="#REF!"/>
    <n v="10"/>
    <s v="Valorisables"/>
    <x v="9"/>
    <n v="61.2"/>
    <n v="33.700000000000003"/>
    <n v="27.5"/>
    <n v="0.96491228070175439"/>
    <m/>
  </r>
  <r>
    <d v="2021-12-10T00:00:00"/>
    <n v="79"/>
    <x v="78"/>
    <x v="8"/>
    <e v="#REF!"/>
    <e v="#REF!"/>
    <n v="11"/>
    <s v="Valorisables"/>
    <x v="10"/>
    <m/>
    <m/>
    <n v="0"/>
    <n v="0"/>
    <m/>
  </r>
  <r>
    <d v="2021-12-10T00:00:00"/>
    <n v="79"/>
    <x v="78"/>
    <x v="8"/>
    <e v="#REF!"/>
    <e v="#REF!"/>
    <n v="12"/>
    <s v="Refus"/>
    <x v="11"/>
    <n v="9.15"/>
    <n v="8.5500000000000007"/>
    <n v="0.59999999999999964"/>
    <n v="2.1052631578947358E-2"/>
    <s v="sac de croquette avec déchets divers à l'intérieur"/>
  </r>
  <r>
    <d v="2021-12-10T00:00:00"/>
    <n v="80"/>
    <x v="79"/>
    <x v="8"/>
    <m/>
    <n v="24.949999999999989"/>
    <n v="1"/>
    <s v="Valorisables"/>
    <x v="0"/>
    <m/>
    <m/>
    <n v="0"/>
    <n v="0"/>
    <m/>
  </r>
  <r>
    <d v="2021-12-10T00:00:00"/>
    <n v="80"/>
    <x v="79"/>
    <x v="8"/>
    <n v="0"/>
    <e v="#DIV/0!"/>
    <n v="2"/>
    <s v="Valorisables"/>
    <x v="1"/>
    <n v="0.05"/>
    <n v="0"/>
    <n v="0.05"/>
    <n v="2.0040080160320653E-3"/>
    <m/>
  </r>
  <r>
    <d v="2021-12-10T00:00:00"/>
    <n v="80"/>
    <x v="79"/>
    <x v="8"/>
    <e v="#REF!"/>
    <e v="#REF!"/>
    <n v="3"/>
    <s v="Valorisables"/>
    <x v="2"/>
    <m/>
    <m/>
    <n v="0"/>
    <n v="0"/>
    <m/>
  </r>
  <r>
    <d v="2021-12-10T00:00:00"/>
    <n v="80"/>
    <x v="79"/>
    <x v="8"/>
    <e v="#REF!"/>
    <e v="#REF!"/>
    <n v="4"/>
    <s v="Valorisables"/>
    <x v="3"/>
    <m/>
    <m/>
    <n v="0"/>
    <n v="0"/>
    <m/>
  </r>
  <r>
    <d v="2021-12-10T00:00:00"/>
    <n v="80"/>
    <x v="79"/>
    <x v="8"/>
    <e v="#REF!"/>
    <e v="#REF!"/>
    <n v="5"/>
    <s v="Valorisables"/>
    <x v="4"/>
    <m/>
    <m/>
    <n v="0"/>
    <n v="0"/>
    <m/>
  </r>
  <r>
    <d v="2021-12-10T00:00:00"/>
    <n v="80"/>
    <x v="79"/>
    <x v="8"/>
    <e v="#REF!"/>
    <e v="#REF!"/>
    <n v="6"/>
    <s v="Valorisables"/>
    <x v="5"/>
    <m/>
    <m/>
    <n v="0"/>
    <n v="0"/>
    <m/>
  </r>
  <r>
    <d v="2021-12-10T00:00:00"/>
    <n v="80"/>
    <x v="79"/>
    <x v="8"/>
    <e v="#REF!"/>
    <e v="#REF!"/>
    <n v="7"/>
    <s v="Valorisables"/>
    <x v="6"/>
    <m/>
    <m/>
    <n v="0"/>
    <n v="0"/>
    <m/>
  </r>
  <r>
    <d v="2021-12-10T00:00:00"/>
    <n v="80"/>
    <x v="79"/>
    <x v="8"/>
    <e v="#REF!"/>
    <e v="#REF!"/>
    <n v="8"/>
    <s v="Valorisables"/>
    <x v="7"/>
    <n v="0.05"/>
    <n v="0"/>
    <n v="0.05"/>
    <n v="2.0040080160320653E-3"/>
    <m/>
  </r>
  <r>
    <d v="2021-12-10T00:00:00"/>
    <n v="80"/>
    <x v="79"/>
    <x v="8"/>
    <e v="#REF!"/>
    <e v="#REF!"/>
    <n v="9"/>
    <s v="Valorisables"/>
    <x v="8"/>
    <n v="1.1000000000000001"/>
    <n v="0.5"/>
    <n v="0.60000000000000009"/>
    <n v="2.4048096192384783E-2"/>
    <s v="grosse pièce metallique"/>
  </r>
  <r>
    <d v="2021-12-10T00:00:00"/>
    <n v="80"/>
    <x v="79"/>
    <x v="8"/>
    <e v="#REF!"/>
    <e v="#REF!"/>
    <n v="10"/>
    <s v="Valorisables"/>
    <x v="9"/>
    <n v="58.3"/>
    <n v="34.150000000000006"/>
    <n v="24.149999999999991"/>
    <n v="0.96793587174348705"/>
    <m/>
  </r>
  <r>
    <d v="2021-12-10T00:00:00"/>
    <n v="80"/>
    <x v="79"/>
    <x v="8"/>
    <e v="#REF!"/>
    <e v="#REF!"/>
    <n v="11"/>
    <s v="Valorisables"/>
    <x v="10"/>
    <n v="0.6"/>
    <n v="0.55000000000000004"/>
    <n v="4.9999999999999933E-2"/>
    <n v="2.0040080160320622E-3"/>
    <m/>
  </r>
  <r>
    <d v="2021-12-10T00:00:00"/>
    <n v="80"/>
    <x v="79"/>
    <x v="8"/>
    <e v="#REF!"/>
    <e v="#REF!"/>
    <n v="12"/>
    <s v="Refus"/>
    <x v="11"/>
    <n v="8.35"/>
    <n v="8.3000000000000007"/>
    <n v="4.9999999999998934E-2"/>
    <n v="2.0040080160320223E-3"/>
    <m/>
  </r>
  <r>
    <d v="2021-12-10T00:00:00"/>
    <n v="81"/>
    <x v="80"/>
    <x v="8"/>
    <m/>
    <n v="34.200000000000003"/>
    <n v="1"/>
    <s v="Valorisables"/>
    <x v="0"/>
    <n v="0.75"/>
    <n v="0.5"/>
    <n v="0.25"/>
    <n v="7.3099415204678359E-3"/>
    <m/>
  </r>
  <r>
    <d v="2021-12-10T00:00:00"/>
    <n v="81"/>
    <x v="80"/>
    <x v="8"/>
    <n v="0"/>
    <e v="#DIV/0!"/>
    <n v="2"/>
    <s v="Valorisables"/>
    <x v="1"/>
    <n v="0.85"/>
    <n v="0.5"/>
    <n v="0.35"/>
    <n v="1.0233918128654968E-2"/>
    <m/>
  </r>
  <r>
    <d v="2021-12-10T00:00:00"/>
    <n v="81"/>
    <x v="80"/>
    <x v="8"/>
    <e v="#REF!"/>
    <e v="#REF!"/>
    <n v="3"/>
    <s v="Valorisables"/>
    <x v="2"/>
    <n v="0.65"/>
    <n v="0.55000000000000004"/>
    <n v="9.9999999999999978E-2"/>
    <n v="2.9239766081871335E-3"/>
    <m/>
  </r>
  <r>
    <d v="2021-12-10T00:00:00"/>
    <n v="81"/>
    <x v="80"/>
    <x v="8"/>
    <e v="#REF!"/>
    <e v="#REF!"/>
    <n v="4"/>
    <s v="Valorisables"/>
    <x v="3"/>
    <m/>
    <m/>
    <n v="0"/>
    <n v="0"/>
    <m/>
  </r>
  <r>
    <d v="2021-12-10T00:00:00"/>
    <n v="81"/>
    <x v="80"/>
    <x v="8"/>
    <e v="#REF!"/>
    <e v="#REF!"/>
    <n v="5"/>
    <s v="Valorisables"/>
    <x v="4"/>
    <m/>
    <m/>
    <n v="0"/>
    <n v="0"/>
    <m/>
  </r>
  <r>
    <d v="2021-12-10T00:00:00"/>
    <n v="81"/>
    <x v="80"/>
    <x v="8"/>
    <e v="#REF!"/>
    <e v="#REF!"/>
    <n v="6"/>
    <s v="Valorisables"/>
    <x v="5"/>
    <m/>
    <m/>
    <n v="0"/>
    <n v="0"/>
    <m/>
  </r>
  <r>
    <d v="2021-12-10T00:00:00"/>
    <n v="81"/>
    <x v="80"/>
    <x v="8"/>
    <e v="#REF!"/>
    <e v="#REF!"/>
    <n v="7"/>
    <s v="Valorisables"/>
    <x v="6"/>
    <m/>
    <m/>
    <n v="0"/>
    <n v="0"/>
    <m/>
  </r>
  <r>
    <d v="2021-12-10T00:00:00"/>
    <n v="81"/>
    <x v="80"/>
    <x v="8"/>
    <e v="#REF!"/>
    <e v="#REF!"/>
    <n v="8"/>
    <s v="Valorisables"/>
    <x v="7"/>
    <n v="20.450000000000003"/>
    <n v="16.850000000000001"/>
    <n v="3.6000000000000014"/>
    <n v="0.10526315789473688"/>
    <m/>
  </r>
  <r>
    <d v="2021-12-10T00:00:00"/>
    <n v="81"/>
    <x v="80"/>
    <x v="8"/>
    <e v="#REF!"/>
    <e v="#REF!"/>
    <n v="9"/>
    <s v="Valorisables"/>
    <x v="8"/>
    <m/>
    <m/>
    <n v="0"/>
    <n v="0"/>
    <m/>
  </r>
  <r>
    <d v="2021-12-10T00:00:00"/>
    <n v="81"/>
    <x v="80"/>
    <x v="8"/>
    <e v="#REF!"/>
    <e v="#REF!"/>
    <n v="10"/>
    <s v="Valorisables"/>
    <x v="9"/>
    <n v="60.1"/>
    <n v="33.85"/>
    <n v="26.25"/>
    <n v="0.76754385964912275"/>
    <m/>
  </r>
  <r>
    <d v="2021-12-10T00:00:00"/>
    <n v="81"/>
    <x v="80"/>
    <x v="8"/>
    <e v="#REF!"/>
    <e v="#REF!"/>
    <n v="11"/>
    <s v="Valorisables"/>
    <x v="10"/>
    <n v="18.5"/>
    <n v="16.850000000000001"/>
    <n v="1.6499999999999986"/>
    <n v="4.8245614035087675E-2"/>
    <m/>
  </r>
  <r>
    <d v="2021-12-10T00:00:00"/>
    <n v="81"/>
    <x v="80"/>
    <x v="8"/>
    <e v="#REF!"/>
    <e v="#REF!"/>
    <n v="12"/>
    <s v="Refus"/>
    <x v="11"/>
    <n v="18.899999999999999"/>
    <n v="16.899999999999999"/>
    <n v="2"/>
    <n v="5.8479532163742687E-2"/>
    <m/>
  </r>
  <r>
    <d v="2021-12-10T00:00:00"/>
    <n v="82"/>
    <x v="81"/>
    <x v="6"/>
    <m/>
    <n v="39.54999999999999"/>
    <n v="1"/>
    <s v="Valorisables"/>
    <x v="0"/>
    <n v="1.1000000000000001"/>
    <n v="0.5"/>
    <n v="0.60000000000000009"/>
    <n v="1.5170670037926682E-2"/>
    <m/>
  </r>
  <r>
    <d v="2021-12-10T00:00:00"/>
    <n v="82"/>
    <x v="81"/>
    <x v="6"/>
    <n v="0"/>
    <e v="#DIV/0!"/>
    <n v="2"/>
    <s v="Valorisables"/>
    <x v="1"/>
    <n v="5.0999999999999996"/>
    <n v="1.6"/>
    <n v="3.4999999999999996"/>
    <n v="8.8495575221238951E-2"/>
    <m/>
  </r>
  <r>
    <d v="2021-12-10T00:00:00"/>
    <n v="82"/>
    <x v="81"/>
    <x v="6"/>
    <e v="#REF!"/>
    <e v="#REF!"/>
    <n v="3"/>
    <s v="Valorisables"/>
    <x v="2"/>
    <n v="1.85"/>
    <n v="0.5"/>
    <n v="1.35"/>
    <n v="3.4134007585335031E-2"/>
    <m/>
  </r>
  <r>
    <d v="2021-12-10T00:00:00"/>
    <n v="82"/>
    <x v="81"/>
    <x v="6"/>
    <e v="#REF!"/>
    <e v="#REF!"/>
    <n v="4"/>
    <s v="Valorisables"/>
    <x v="3"/>
    <n v="0.95"/>
    <n v="0.55000000000000004"/>
    <n v="0.39999999999999991"/>
    <n v="1.0113780025284451E-2"/>
    <m/>
  </r>
  <r>
    <d v="2021-12-10T00:00:00"/>
    <n v="82"/>
    <x v="81"/>
    <x v="6"/>
    <e v="#REF!"/>
    <e v="#REF!"/>
    <n v="5"/>
    <s v="Valorisables"/>
    <x v="4"/>
    <n v="1.05"/>
    <n v="0.5"/>
    <n v="0.55000000000000004"/>
    <n v="1.3906447534766123E-2"/>
    <m/>
  </r>
  <r>
    <d v="2021-12-10T00:00:00"/>
    <n v="82"/>
    <x v="81"/>
    <x v="6"/>
    <e v="#REF!"/>
    <e v="#REF!"/>
    <n v="6"/>
    <s v="Valorisables"/>
    <x v="5"/>
    <n v="0.3"/>
    <n v="0"/>
    <n v="0.3"/>
    <n v="7.5853350189633391E-3"/>
    <m/>
  </r>
  <r>
    <d v="2021-12-10T00:00:00"/>
    <n v="82"/>
    <x v="81"/>
    <x v="6"/>
    <e v="#REF!"/>
    <e v="#REF!"/>
    <n v="7"/>
    <s v="Valorisables"/>
    <x v="6"/>
    <n v="40.200000000000003"/>
    <n v="12.1"/>
    <n v="28.1"/>
    <n v="0.71049304677623282"/>
    <m/>
  </r>
  <r>
    <d v="2021-12-10T00:00:00"/>
    <n v="82"/>
    <x v="81"/>
    <x v="6"/>
    <e v="#REF!"/>
    <e v="#REF!"/>
    <n v="8"/>
    <s v="Valorisables"/>
    <x v="7"/>
    <n v="8.65"/>
    <n v="8.6"/>
    <n v="5.0000000000000711E-2"/>
    <n v="1.2642225031605746E-3"/>
    <m/>
  </r>
  <r>
    <d v="2021-12-10T00:00:00"/>
    <n v="82"/>
    <x v="81"/>
    <x v="6"/>
    <e v="#REF!"/>
    <e v="#REF!"/>
    <n v="9"/>
    <s v="Valorisables"/>
    <x v="8"/>
    <n v="0.65"/>
    <n v="0.5"/>
    <n v="0.15000000000000002"/>
    <n v="3.7926675094816704E-3"/>
    <m/>
  </r>
  <r>
    <d v="2021-12-10T00:00:00"/>
    <n v="82"/>
    <x v="81"/>
    <x v="6"/>
    <e v="#REF!"/>
    <e v="#REF!"/>
    <n v="10"/>
    <s v="Valorisables"/>
    <x v="9"/>
    <n v="8.9499999999999993"/>
    <n v="8.5500000000000007"/>
    <n v="0.39999999999999858"/>
    <n v="1.0113780025284416E-2"/>
    <m/>
  </r>
  <r>
    <d v="2021-12-10T00:00:00"/>
    <n v="82"/>
    <x v="81"/>
    <x v="6"/>
    <e v="#REF!"/>
    <e v="#REF!"/>
    <n v="11"/>
    <s v="Valorisables"/>
    <x v="10"/>
    <n v="0.6"/>
    <n v="0.5"/>
    <n v="9.9999999999999978E-2"/>
    <n v="2.5284450063211127E-3"/>
    <m/>
  </r>
  <r>
    <d v="2021-12-10T00:00:00"/>
    <n v="82"/>
    <x v="81"/>
    <x v="6"/>
    <e v="#REF!"/>
    <e v="#REF!"/>
    <n v="12"/>
    <s v="Refus"/>
    <x v="11"/>
    <n v="20.9"/>
    <n v="16.850000000000001"/>
    <n v="4.0499999999999972"/>
    <n v="0.102402022756005"/>
    <m/>
  </r>
  <r>
    <d v="2021-12-14T00:00:00"/>
    <n v="83"/>
    <x v="82"/>
    <x v="9"/>
    <n v="21"/>
    <n v="20.949999999999989"/>
    <n v="1"/>
    <s v="Valorisables"/>
    <x v="0"/>
    <m/>
    <m/>
    <n v="0"/>
    <n v="0"/>
    <m/>
  </r>
  <r>
    <d v="2021-12-14T00:00:00"/>
    <n v="83"/>
    <x v="82"/>
    <x v="9"/>
    <n v="21"/>
    <n v="-2.3809523809529224E-3"/>
    <n v="2"/>
    <s v="Valorisables"/>
    <x v="1"/>
    <n v="0.55000000000000004"/>
    <n v="0.5"/>
    <n v="5.0000000000000044E-2"/>
    <n v="2.3866348448687387E-3"/>
    <m/>
  </r>
  <r>
    <d v="2021-12-14T00:00:00"/>
    <n v="83"/>
    <x v="82"/>
    <x v="9"/>
    <e v="#REF!"/>
    <e v="#REF!"/>
    <n v="3"/>
    <s v="Valorisables"/>
    <x v="2"/>
    <n v="0.7"/>
    <n v="0.5"/>
    <n v="0.19999999999999996"/>
    <n v="9.5465393794749442E-3"/>
    <m/>
  </r>
  <r>
    <d v="2021-12-14T00:00:00"/>
    <n v="83"/>
    <x v="82"/>
    <x v="9"/>
    <e v="#REF!"/>
    <e v="#REF!"/>
    <n v="4"/>
    <s v="Valorisables"/>
    <x v="3"/>
    <n v="53.699999999999996"/>
    <n v="33.650000000000006"/>
    <n v="20.04999999999999"/>
    <n v="0.95704057279236276"/>
    <m/>
  </r>
  <r>
    <d v="2021-12-14T00:00:00"/>
    <n v="83"/>
    <x v="82"/>
    <x v="9"/>
    <e v="#REF!"/>
    <e v="#REF!"/>
    <n v="5"/>
    <s v="Valorisables"/>
    <x v="4"/>
    <m/>
    <m/>
    <n v="0"/>
    <n v="0"/>
    <m/>
  </r>
  <r>
    <d v="2021-12-14T00:00:00"/>
    <n v="83"/>
    <x v="82"/>
    <x v="9"/>
    <e v="#REF!"/>
    <e v="#REF!"/>
    <n v="6"/>
    <s v="Valorisables"/>
    <x v="5"/>
    <m/>
    <m/>
    <n v="0"/>
    <n v="0"/>
    <m/>
  </r>
  <r>
    <d v="2021-12-14T00:00:00"/>
    <n v="83"/>
    <x v="82"/>
    <x v="9"/>
    <e v="#REF!"/>
    <e v="#REF!"/>
    <n v="7"/>
    <s v="Valorisables"/>
    <x v="6"/>
    <m/>
    <m/>
    <n v="0"/>
    <n v="0"/>
    <m/>
  </r>
  <r>
    <d v="2021-12-14T00:00:00"/>
    <n v="83"/>
    <x v="82"/>
    <x v="9"/>
    <e v="#REF!"/>
    <e v="#REF!"/>
    <n v="8"/>
    <s v="Valorisables"/>
    <x v="7"/>
    <n v="0.6"/>
    <n v="0.55000000000000004"/>
    <n v="4.9999999999999933E-2"/>
    <n v="2.386634844868733E-3"/>
    <m/>
  </r>
  <r>
    <d v="2021-12-14T00:00:00"/>
    <n v="83"/>
    <x v="82"/>
    <x v="9"/>
    <e v="#REF!"/>
    <e v="#REF!"/>
    <n v="9"/>
    <s v="Valorisables"/>
    <x v="8"/>
    <m/>
    <m/>
    <n v="0"/>
    <n v="0"/>
    <m/>
  </r>
  <r>
    <d v="2021-12-14T00:00:00"/>
    <n v="83"/>
    <x v="82"/>
    <x v="9"/>
    <e v="#REF!"/>
    <e v="#REF!"/>
    <n v="10"/>
    <s v="Valorisables"/>
    <x v="9"/>
    <n v="1"/>
    <n v="0.55000000000000004"/>
    <n v="0.44999999999999996"/>
    <n v="2.1479713603818625E-2"/>
    <m/>
  </r>
  <r>
    <d v="2021-12-14T00:00:00"/>
    <n v="83"/>
    <x v="82"/>
    <x v="9"/>
    <e v="#REF!"/>
    <e v="#REF!"/>
    <n v="11"/>
    <s v="Valorisables"/>
    <x v="10"/>
    <m/>
    <m/>
    <n v="0"/>
    <n v="0"/>
    <m/>
  </r>
  <r>
    <d v="2021-12-14T00:00:00"/>
    <n v="83"/>
    <x v="82"/>
    <x v="9"/>
    <e v="#REF!"/>
    <e v="#REF!"/>
    <n v="12"/>
    <s v="Refus"/>
    <x v="11"/>
    <n v="0.7"/>
    <n v="0.55000000000000004"/>
    <n v="0.14999999999999991"/>
    <n v="7.1599045346062047E-3"/>
    <m/>
  </r>
  <r>
    <d v="2021-12-14T00:00:00"/>
    <n v="84"/>
    <x v="83"/>
    <x v="9"/>
    <n v="22"/>
    <n v="21.899999999999988"/>
    <n v="1"/>
    <s v="Valorisables"/>
    <x v="0"/>
    <m/>
    <m/>
    <n v="0"/>
    <n v="0"/>
    <m/>
  </r>
  <r>
    <d v="2021-12-14T00:00:00"/>
    <n v="84"/>
    <x v="83"/>
    <x v="9"/>
    <n v="22"/>
    <n v="-4.5454545454550943E-3"/>
    <n v="2"/>
    <s v="Valorisables"/>
    <x v="1"/>
    <n v="0.6"/>
    <n v="0.55000000000000004"/>
    <n v="4.9999999999999933E-2"/>
    <n v="2.2831050228310484E-3"/>
    <m/>
  </r>
  <r>
    <d v="2021-12-14T00:00:00"/>
    <n v="84"/>
    <x v="83"/>
    <x v="9"/>
    <e v="#REF!"/>
    <e v="#REF!"/>
    <n v="3"/>
    <s v="Valorisables"/>
    <x v="2"/>
    <n v="0.6"/>
    <n v="0.55000000000000004"/>
    <n v="4.9999999999999933E-2"/>
    <n v="2.2831050228310484E-3"/>
    <m/>
  </r>
  <r>
    <d v="2021-12-14T00:00:00"/>
    <n v="84"/>
    <x v="83"/>
    <x v="9"/>
    <e v="#REF!"/>
    <e v="#REF!"/>
    <n v="4"/>
    <s v="Valorisables"/>
    <x v="3"/>
    <n v="54.599999999999994"/>
    <n v="33.650000000000006"/>
    <n v="20.949999999999989"/>
    <n v="0.95662100456621002"/>
    <m/>
  </r>
  <r>
    <d v="2021-12-14T00:00:00"/>
    <n v="84"/>
    <x v="83"/>
    <x v="9"/>
    <e v="#REF!"/>
    <e v="#REF!"/>
    <n v="5"/>
    <s v="Valorisables"/>
    <x v="4"/>
    <m/>
    <m/>
    <n v="0"/>
    <n v="0"/>
    <m/>
  </r>
  <r>
    <d v="2021-12-14T00:00:00"/>
    <n v="84"/>
    <x v="83"/>
    <x v="9"/>
    <e v="#REF!"/>
    <e v="#REF!"/>
    <n v="6"/>
    <s v="Valorisables"/>
    <x v="5"/>
    <m/>
    <m/>
    <n v="0"/>
    <n v="0"/>
    <m/>
  </r>
  <r>
    <d v="2021-12-14T00:00:00"/>
    <n v="84"/>
    <x v="83"/>
    <x v="9"/>
    <e v="#REF!"/>
    <e v="#REF!"/>
    <n v="7"/>
    <s v="Valorisables"/>
    <x v="6"/>
    <m/>
    <m/>
    <n v="0"/>
    <n v="0"/>
    <m/>
  </r>
  <r>
    <d v="2021-12-14T00:00:00"/>
    <n v="84"/>
    <x v="83"/>
    <x v="9"/>
    <e v="#REF!"/>
    <e v="#REF!"/>
    <n v="8"/>
    <s v="Valorisables"/>
    <x v="7"/>
    <n v="0.7"/>
    <n v="0.55000000000000004"/>
    <n v="0.14999999999999991"/>
    <n v="6.8493150684931503E-3"/>
    <m/>
  </r>
  <r>
    <d v="2021-12-14T00:00:00"/>
    <n v="84"/>
    <x v="83"/>
    <x v="9"/>
    <e v="#REF!"/>
    <e v="#REF!"/>
    <n v="9"/>
    <s v="Valorisables"/>
    <x v="8"/>
    <m/>
    <m/>
    <n v="0"/>
    <n v="0"/>
    <m/>
  </r>
  <r>
    <d v="2021-12-14T00:00:00"/>
    <n v="84"/>
    <x v="83"/>
    <x v="9"/>
    <e v="#REF!"/>
    <e v="#REF!"/>
    <n v="10"/>
    <s v="Valorisables"/>
    <x v="9"/>
    <n v="1.1000000000000001"/>
    <n v="0.55000000000000004"/>
    <n v="0.55000000000000004"/>
    <n v="2.5114155251141568E-2"/>
    <m/>
  </r>
  <r>
    <d v="2021-12-14T00:00:00"/>
    <n v="84"/>
    <x v="83"/>
    <x v="9"/>
    <e v="#REF!"/>
    <e v="#REF!"/>
    <n v="11"/>
    <s v="Valorisables"/>
    <x v="10"/>
    <m/>
    <m/>
    <n v="0"/>
    <n v="0"/>
    <m/>
  </r>
  <r>
    <d v="2021-12-14T00:00:00"/>
    <n v="84"/>
    <x v="83"/>
    <x v="9"/>
    <e v="#REF!"/>
    <e v="#REF!"/>
    <n v="12"/>
    <s v="Refus"/>
    <x v="11"/>
    <n v="0.7"/>
    <n v="0.55000000000000004"/>
    <n v="0.14999999999999991"/>
    <n v="6.8493150684931503E-3"/>
    <m/>
  </r>
  <r>
    <d v="2021-12-14T00:00:00"/>
    <n v="85"/>
    <x v="84"/>
    <x v="9"/>
    <n v="47.199999999999996"/>
    <n v="47.149999999999991"/>
    <n v="1"/>
    <s v="Valorisables"/>
    <x v="0"/>
    <m/>
    <m/>
    <n v="0"/>
    <n v="0"/>
    <m/>
  </r>
  <r>
    <d v="2021-12-14T00:00:00"/>
    <n v="85"/>
    <x v="84"/>
    <x v="9"/>
    <n v="47.199999999999996"/>
    <n v="-1.0593220338983955E-3"/>
    <n v="2"/>
    <s v="Valorisables"/>
    <x v="1"/>
    <n v="0.65"/>
    <n v="0.55000000000000004"/>
    <n v="9.9999999999999978E-2"/>
    <n v="2.1208907741251323E-3"/>
    <m/>
  </r>
  <r>
    <d v="2021-12-14T00:00:00"/>
    <n v="85"/>
    <x v="84"/>
    <x v="9"/>
    <e v="#REF!"/>
    <e v="#REF!"/>
    <n v="3"/>
    <s v="Valorisables"/>
    <x v="2"/>
    <n v="0.75"/>
    <n v="0.55000000000000004"/>
    <n v="0.19999999999999996"/>
    <n v="4.2417815482502647E-3"/>
    <m/>
  </r>
  <r>
    <d v="2021-12-14T00:00:00"/>
    <n v="85"/>
    <x v="84"/>
    <x v="9"/>
    <e v="#REF!"/>
    <e v="#REF!"/>
    <n v="4"/>
    <s v="Valorisables"/>
    <x v="3"/>
    <n v="96"/>
    <n v="50.45"/>
    <n v="45.55"/>
    <n v="0.96606574761399799"/>
    <m/>
  </r>
  <r>
    <d v="2021-12-14T00:00:00"/>
    <n v="85"/>
    <x v="84"/>
    <x v="9"/>
    <e v="#REF!"/>
    <e v="#REF!"/>
    <n v="5"/>
    <s v="Valorisables"/>
    <x v="4"/>
    <n v="0.05"/>
    <n v="0"/>
    <n v="0.05"/>
    <n v="1.0604453870625666E-3"/>
    <m/>
  </r>
  <r>
    <d v="2021-12-14T00:00:00"/>
    <n v="85"/>
    <x v="84"/>
    <x v="9"/>
    <e v="#REF!"/>
    <e v="#REF!"/>
    <n v="6"/>
    <s v="Valorisables"/>
    <x v="5"/>
    <m/>
    <m/>
    <n v="0"/>
    <n v="0"/>
    <m/>
  </r>
  <r>
    <d v="2021-12-14T00:00:00"/>
    <n v="85"/>
    <x v="84"/>
    <x v="9"/>
    <e v="#REF!"/>
    <e v="#REF!"/>
    <n v="7"/>
    <s v="Valorisables"/>
    <x v="6"/>
    <m/>
    <m/>
    <n v="0"/>
    <n v="0"/>
    <m/>
  </r>
  <r>
    <d v="2021-12-14T00:00:00"/>
    <n v="85"/>
    <x v="84"/>
    <x v="9"/>
    <e v="#REF!"/>
    <e v="#REF!"/>
    <n v="8"/>
    <s v="Valorisables"/>
    <x v="7"/>
    <m/>
    <m/>
    <n v="0"/>
    <n v="0"/>
    <m/>
  </r>
  <r>
    <d v="2021-12-14T00:00:00"/>
    <n v="85"/>
    <x v="84"/>
    <x v="9"/>
    <e v="#REF!"/>
    <e v="#REF!"/>
    <n v="9"/>
    <s v="Valorisables"/>
    <x v="8"/>
    <m/>
    <m/>
    <n v="0"/>
    <n v="0"/>
    <m/>
  </r>
  <r>
    <d v="2021-12-14T00:00:00"/>
    <n v="85"/>
    <x v="84"/>
    <x v="9"/>
    <e v="#REF!"/>
    <e v="#REF!"/>
    <n v="10"/>
    <s v="Valorisables"/>
    <x v="9"/>
    <n v="1.45"/>
    <n v="0.55000000000000004"/>
    <n v="0.89999999999999991"/>
    <n v="1.9088016967126194E-2"/>
    <m/>
  </r>
  <r>
    <d v="2021-12-14T00:00:00"/>
    <n v="85"/>
    <x v="84"/>
    <x v="9"/>
    <e v="#REF!"/>
    <e v="#REF!"/>
    <n v="11"/>
    <s v="Valorisables"/>
    <x v="10"/>
    <m/>
    <m/>
    <n v="0"/>
    <n v="0"/>
    <m/>
  </r>
  <r>
    <d v="2021-12-14T00:00:00"/>
    <n v="85"/>
    <x v="84"/>
    <x v="9"/>
    <e v="#REF!"/>
    <e v="#REF!"/>
    <n v="12"/>
    <s v="Refus"/>
    <x v="11"/>
    <n v="0.9"/>
    <n v="0.55000000000000004"/>
    <n v="0.35"/>
    <n v="7.4231177094379649E-3"/>
    <m/>
  </r>
  <r>
    <d v="2021-12-14T00:00:00"/>
    <n v="86"/>
    <x v="85"/>
    <x v="12"/>
    <n v="15.200000000000003"/>
    <n v="14.79999999999999"/>
    <n v="1"/>
    <s v="Valorisables"/>
    <x v="0"/>
    <n v="0.6"/>
    <n v="0.55000000000000004"/>
    <n v="4.9999999999999933E-2"/>
    <n v="3.378378378378376E-3"/>
    <m/>
  </r>
  <r>
    <d v="2021-12-14T00:00:00"/>
    <n v="86"/>
    <x v="85"/>
    <x v="12"/>
    <n v="15.200000000000003"/>
    <n v="-2.6315789473685049E-2"/>
    <n v="2"/>
    <s v="Valorisables"/>
    <x v="1"/>
    <n v="9.4"/>
    <n v="8.5500000000000007"/>
    <n v="0.84999999999999964"/>
    <n v="5.7432432432432449E-2"/>
    <m/>
  </r>
  <r>
    <d v="2021-12-14T00:00:00"/>
    <n v="86"/>
    <x v="85"/>
    <x v="12"/>
    <e v="#REF!"/>
    <e v="#REF!"/>
    <n v="3"/>
    <s v="Valorisables"/>
    <x v="2"/>
    <n v="0.7"/>
    <n v="0.55000000000000004"/>
    <n v="0.14999999999999991"/>
    <n v="1.0135135135135136E-2"/>
    <m/>
  </r>
  <r>
    <d v="2021-12-14T00:00:00"/>
    <n v="86"/>
    <x v="85"/>
    <x v="12"/>
    <e v="#REF!"/>
    <e v="#REF!"/>
    <n v="4"/>
    <s v="Valorisables"/>
    <x v="3"/>
    <m/>
    <m/>
    <n v="0"/>
    <n v="0"/>
    <m/>
  </r>
  <r>
    <d v="2021-12-14T00:00:00"/>
    <n v="86"/>
    <x v="85"/>
    <x v="12"/>
    <e v="#REF!"/>
    <e v="#REF!"/>
    <n v="5"/>
    <s v="Valorisables"/>
    <x v="4"/>
    <m/>
    <m/>
    <n v="0"/>
    <n v="0"/>
    <m/>
  </r>
  <r>
    <d v="2021-12-14T00:00:00"/>
    <n v="86"/>
    <x v="85"/>
    <x v="12"/>
    <e v="#REF!"/>
    <e v="#REF!"/>
    <n v="6"/>
    <s v="Valorisables"/>
    <x v="5"/>
    <n v="0.55000000000000004"/>
    <n v="0.5"/>
    <n v="5.0000000000000044E-2"/>
    <n v="3.3783783783783838E-3"/>
    <m/>
  </r>
  <r>
    <d v="2021-12-14T00:00:00"/>
    <n v="86"/>
    <x v="85"/>
    <x v="12"/>
    <e v="#REF!"/>
    <e v="#REF!"/>
    <n v="7"/>
    <s v="Valorisables"/>
    <x v="6"/>
    <m/>
    <m/>
    <n v="0"/>
    <n v="0"/>
    <m/>
  </r>
  <r>
    <d v="2021-12-14T00:00:00"/>
    <n v="86"/>
    <x v="85"/>
    <x v="12"/>
    <e v="#REF!"/>
    <e v="#REF!"/>
    <n v="8"/>
    <s v="Valorisables"/>
    <x v="7"/>
    <n v="8.75"/>
    <n v="8.5500000000000007"/>
    <n v="0.19999999999999929"/>
    <n v="1.3513513513513474E-2"/>
    <m/>
  </r>
  <r>
    <d v="2021-12-14T00:00:00"/>
    <n v="86"/>
    <x v="85"/>
    <x v="12"/>
    <e v="#REF!"/>
    <e v="#REF!"/>
    <n v="9"/>
    <s v="Valorisables"/>
    <x v="8"/>
    <m/>
    <m/>
    <n v="0"/>
    <n v="0"/>
    <m/>
  </r>
  <r>
    <d v="2021-12-14T00:00:00"/>
    <n v="86"/>
    <x v="85"/>
    <x v="12"/>
    <e v="#REF!"/>
    <e v="#REF!"/>
    <n v="10"/>
    <s v="Valorisables"/>
    <x v="9"/>
    <n v="0.6"/>
    <n v="0.5"/>
    <n v="9.9999999999999978E-2"/>
    <n v="6.7567567567567597E-3"/>
    <m/>
  </r>
  <r>
    <d v="2021-12-14T00:00:00"/>
    <n v="86"/>
    <x v="85"/>
    <x v="12"/>
    <e v="#REF!"/>
    <e v="#REF!"/>
    <n v="11"/>
    <s v="Valorisables"/>
    <x v="10"/>
    <n v="44.599999999999994"/>
    <n v="33.450000000000003"/>
    <n v="11.149999999999991"/>
    <n v="0.75337837837837829"/>
    <m/>
  </r>
  <r>
    <d v="2021-12-14T00:00:00"/>
    <n v="86"/>
    <x v="85"/>
    <x v="12"/>
    <e v="#REF!"/>
    <e v="#REF!"/>
    <n v="12"/>
    <s v="Refus"/>
    <x v="11"/>
    <n v="19.149999999999999"/>
    <n v="16.899999999999999"/>
    <n v="2.25"/>
    <n v="0.15202702702702714"/>
    <m/>
  </r>
  <r>
    <d v="2021-12-14T00:00:00"/>
    <n v="87"/>
    <x v="86"/>
    <x v="12"/>
    <n v="10.200000000000001"/>
    <n v="10.199999999999996"/>
    <n v="1"/>
    <s v="Valorisables"/>
    <x v="0"/>
    <n v="0.05"/>
    <n v="0"/>
    <n v="0.05"/>
    <n v="4.901960784313728E-3"/>
    <m/>
  </r>
  <r>
    <d v="2021-12-14T00:00:00"/>
    <n v="87"/>
    <x v="86"/>
    <x v="12"/>
    <n v="10.200000000000001"/>
    <n v="-5.2245789394125006E-16"/>
    <n v="2"/>
    <s v="Valorisables"/>
    <x v="1"/>
    <n v="8.9499999999999993"/>
    <n v="8.3000000000000007"/>
    <n v="0.64999999999999858"/>
    <n v="6.3725490196078316E-2"/>
    <m/>
  </r>
  <r>
    <d v="2021-12-14T00:00:00"/>
    <n v="87"/>
    <x v="86"/>
    <x v="12"/>
    <e v="#REF!"/>
    <e v="#REF!"/>
    <n v="3"/>
    <s v="Valorisables"/>
    <x v="2"/>
    <n v="0.75"/>
    <n v="0.5"/>
    <n v="0.25"/>
    <n v="2.4509803921568638E-2"/>
    <m/>
  </r>
  <r>
    <d v="2021-12-14T00:00:00"/>
    <n v="87"/>
    <x v="86"/>
    <x v="12"/>
    <e v="#REF!"/>
    <e v="#REF!"/>
    <n v="4"/>
    <s v="Valorisables"/>
    <x v="3"/>
    <n v="0.05"/>
    <n v="0"/>
    <n v="0.05"/>
    <n v="4.901960784313728E-3"/>
    <m/>
  </r>
  <r>
    <d v="2021-12-14T00:00:00"/>
    <n v="87"/>
    <x v="86"/>
    <x v="12"/>
    <e v="#REF!"/>
    <e v="#REF!"/>
    <n v="5"/>
    <s v="Valorisables"/>
    <x v="4"/>
    <m/>
    <m/>
    <n v="0"/>
    <n v="0"/>
    <m/>
  </r>
  <r>
    <d v="2021-12-14T00:00:00"/>
    <n v="87"/>
    <x v="86"/>
    <x v="12"/>
    <e v="#REF!"/>
    <e v="#REF!"/>
    <n v="6"/>
    <s v="Valorisables"/>
    <x v="5"/>
    <m/>
    <m/>
    <n v="0"/>
    <n v="0"/>
    <m/>
  </r>
  <r>
    <d v="2021-12-14T00:00:00"/>
    <n v="87"/>
    <x v="86"/>
    <x v="12"/>
    <e v="#REF!"/>
    <e v="#REF!"/>
    <n v="7"/>
    <s v="Valorisables"/>
    <x v="6"/>
    <m/>
    <m/>
    <n v="0"/>
    <n v="0"/>
    <m/>
  </r>
  <r>
    <d v="2021-12-14T00:00:00"/>
    <n v="87"/>
    <x v="86"/>
    <x v="12"/>
    <e v="#REF!"/>
    <e v="#REF!"/>
    <n v="8"/>
    <s v="Valorisables"/>
    <x v="7"/>
    <n v="8.4499999999999993"/>
    <n v="8.3000000000000007"/>
    <n v="0.14999999999999858"/>
    <n v="1.4705882352941043E-2"/>
    <m/>
  </r>
  <r>
    <d v="2021-12-14T00:00:00"/>
    <n v="87"/>
    <x v="86"/>
    <x v="12"/>
    <e v="#REF!"/>
    <e v="#REF!"/>
    <n v="9"/>
    <s v="Valorisables"/>
    <x v="8"/>
    <m/>
    <m/>
    <n v="0"/>
    <n v="0"/>
    <m/>
  </r>
  <r>
    <d v="2021-12-14T00:00:00"/>
    <n v="87"/>
    <x v="86"/>
    <x v="12"/>
    <e v="#REF!"/>
    <e v="#REF!"/>
    <n v="10"/>
    <s v="Valorisables"/>
    <x v="9"/>
    <n v="0.6"/>
    <n v="0.5"/>
    <n v="9.9999999999999978E-2"/>
    <n v="9.8039215686274526E-3"/>
    <m/>
  </r>
  <r>
    <d v="2021-12-14T00:00:00"/>
    <n v="87"/>
    <x v="86"/>
    <x v="12"/>
    <e v="#REF!"/>
    <e v="#REF!"/>
    <n v="11"/>
    <s v="Valorisables"/>
    <x v="10"/>
    <n v="40.9"/>
    <n v="34"/>
    <n v="6.8999999999999986"/>
    <n v="0.67647058823529427"/>
    <m/>
  </r>
  <r>
    <d v="2021-12-14T00:00:00"/>
    <n v="87"/>
    <x v="86"/>
    <x v="12"/>
    <e v="#REF!"/>
    <e v="#REF!"/>
    <n v="12"/>
    <s v="Refus"/>
    <x v="11"/>
    <n v="19.100000000000001"/>
    <n v="17.05"/>
    <n v="2.0500000000000007"/>
    <n v="0.20098039215686289"/>
    <m/>
  </r>
  <r>
    <d v="2021-12-14T00:00:00"/>
    <n v="88"/>
    <x v="87"/>
    <x v="12"/>
    <n v="16.8"/>
    <n v="16.54999999999999"/>
    <n v="1"/>
    <s v="Valorisables"/>
    <x v="0"/>
    <n v="0.65"/>
    <n v="0.55000000000000004"/>
    <n v="9.9999999999999978E-2"/>
    <n v="6.0422960725075555E-3"/>
    <m/>
  </r>
  <r>
    <d v="2021-12-14T00:00:00"/>
    <n v="88"/>
    <x v="87"/>
    <x v="12"/>
    <n v="16.8"/>
    <n v="-1.4880952380953015E-2"/>
    <n v="2"/>
    <s v="Valorisables"/>
    <x v="1"/>
    <n v="9.4499999999999993"/>
    <n v="8.6"/>
    <n v="0.84999999999999964"/>
    <n v="5.1359516616314209E-2"/>
    <m/>
  </r>
  <r>
    <d v="2021-12-14T00:00:00"/>
    <n v="88"/>
    <x v="87"/>
    <x v="12"/>
    <e v="#REF!"/>
    <e v="#REF!"/>
    <n v="3"/>
    <s v="Valorisables"/>
    <x v="2"/>
    <n v="1.4"/>
    <n v="1.1000000000000001"/>
    <n v="0.29999999999999982"/>
    <n v="1.812688821752266E-2"/>
    <m/>
  </r>
  <r>
    <d v="2021-12-14T00:00:00"/>
    <n v="88"/>
    <x v="87"/>
    <x v="12"/>
    <e v="#REF!"/>
    <e v="#REF!"/>
    <n v="4"/>
    <s v="Valorisables"/>
    <x v="3"/>
    <m/>
    <m/>
    <n v="0"/>
    <n v="0"/>
    <m/>
  </r>
  <r>
    <d v="2021-12-14T00:00:00"/>
    <n v="88"/>
    <x v="87"/>
    <x v="12"/>
    <e v="#REF!"/>
    <e v="#REF!"/>
    <n v="5"/>
    <s v="Valorisables"/>
    <x v="4"/>
    <n v="0.05"/>
    <n v="0"/>
    <n v="0.05"/>
    <n v="3.0211480362537786E-3"/>
    <m/>
  </r>
  <r>
    <d v="2021-12-14T00:00:00"/>
    <n v="88"/>
    <x v="87"/>
    <x v="12"/>
    <e v="#REF!"/>
    <e v="#REF!"/>
    <n v="6"/>
    <s v="Valorisables"/>
    <x v="5"/>
    <m/>
    <m/>
    <n v="0"/>
    <n v="0"/>
    <m/>
  </r>
  <r>
    <d v="2021-12-14T00:00:00"/>
    <n v="88"/>
    <x v="87"/>
    <x v="12"/>
    <e v="#REF!"/>
    <e v="#REF!"/>
    <n v="7"/>
    <s v="Valorisables"/>
    <x v="6"/>
    <m/>
    <m/>
    <n v="0"/>
    <n v="0"/>
    <m/>
  </r>
  <r>
    <d v="2021-12-14T00:00:00"/>
    <n v="88"/>
    <x v="87"/>
    <x v="12"/>
    <e v="#REF!"/>
    <e v="#REF!"/>
    <n v="8"/>
    <s v="Valorisables"/>
    <x v="7"/>
    <n v="8.4499999999999993"/>
    <n v="8.3000000000000007"/>
    <n v="0.14999999999999858"/>
    <n v="9.0634441087612486E-3"/>
    <m/>
  </r>
  <r>
    <d v="2021-12-14T00:00:00"/>
    <n v="88"/>
    <x v="87"/>
    <x v="12"/>
    <e v="#REF!"/>
    <e v="#REF!"/>
    <n v="9"/>
    <s v="Valorisables"/>
    <x v="8"/>
    <m/>
    <m/>
    <n v="0"/>
    <n v="0"/>
    <m/>
  </r>
  <r>
    <d v="2021-12-14T00:00:00"/>
    <n v="88"/>
    <x v="87"/>
    <x v="12"/>
    <e v="#REF!"/>
    <e v="#REF!"/>
    <n v="10"/>
    <s v="Valorisables"/>
    <x v="9"/>
    <n v="0.75"/>
    <n v="0.55000000000000004"/>
    <n v="0.19999999999999996"/>
    <n v="1.2084592145015111E-2"/>
    <m/>
  </r>
  <r>
    <d v="2021-12-14T00:00:00"/>
    <n v="88"/>
    <x v="87"/>
    <x v="12"/>
    <e v="#REF!"/>
    <e v="#REF!"/>
    <n v="11"/>
    <s v="Valorisables"/>
    <x v="10"/>
    <n v="44.75"/>
    <n v="33.650000000000006"/>
    <n v="11.099999999999994"/>
    <n v="0.67069486404833845"/>
    <m/>
  </r>
  <r>
    <d v="2021-12-14T00:00:00"/>
    <n v="88"/>
    <x v="87"/>
    <x v="12"/>
    <e v="#REF!"/>
    <e v="#REF!"/>
    <n v="12"/>
    <s v="Refus"/>
    <x v="11"/>
    <n v="20.65"/>
    <n v="16.850000000000001"/>
    <n v="3.7999999999999972"/>
    <n v="0.22960725075528698"/>
    <m/>
  </r>
  <r>
    <d v="2021-12-14T00:00:00"/>
    <n v="89"/>
    <x v="88"/>
    <x v="13"/>
    <m/>
    <n v="46.1"/>
    <n v="1"/>
    <s v="Valorisables"/>
    <x v="0"/>
    <n v="0.6"/>
    <n v="0.55000000000000004"/>
    <n v="4.9999999999999933E-2"/>
    <n v="1.0845986984815603E-3"/>
    <m/>
  </r>
  <r>
    <d v="2021-12-14T00:00:00"/>
    <n v="89"/>
    <x v="88"/>
    <x v="13"/>
    <n v="0"/>
    <e v="#DIV/0!"/>
    <n v="2"/>
    <s v="Valorisables"/>
    <x v="1"/>
    <n v="0.65"/>
    <n v="0.5"/>
    <n v="0.15000000000000002"/>
    <n v="3.2537960954446858E-3"/>
    <m/>
  </r>
  <r>
    <d v="2021-12-14T00:00:00"/>
    <n v="89"/>
    <x v="88"/>
    <x v="13"/>
    <e v="#REF!"/>
    <e v="#REF!"/>
    <n v="3"/>
    <s v="Valorisables"/>
    <x v="2"/>
    <m/>
    <m/>
    <n v="0"/>
    <n v="0"/>
    <m/>
  </r>
  <r>
    <d v="2021-12-14T00:00:00"/>
    <n v="89"/>
    <x v="88"/>
    <x v="13"/>
    <e v="#REF!"/>
    <e v="#REF!"/>
    <n v="4"/>
    <s v="Valorisables"/>
    <x v="3"/>
    <m/>
    <m/>
    <n v="0"/>
    <n v="0"/>
    <m/>
  </r>
  <r>
    <d v="2021-12-14T00:00:00"/>
    <n v="89"/>
    <x v="88"/>
    <x v="13"/>
    <e v="#REF!"/>
    <e v="#REF!"/>
    <n v="5"/>
    <s v="Valorisables"/>
    <x v="4"/>
    <n v="0.65"/>
    <n v="0.55000000000000004"/>
    <n v="9.9999999999999978E-2"/>
    <n v="2.1691973969631233E-3"/>
    <m/>
  </r>
  <r>
    <d v="2021-12-14T00:00:00"/>
    <n v="89"/>
    <x v="88"/>
    <x v="13"/>
    <e v="#REF!"/>
    <e v="#REF!"/>
    <n v="6"/>
    <s v="Valorisables"/>
    <x v="5"/>
    <m/>
    <m/>
    <n v="0"/>
    <n v="0"/>
    <m/>
  </r>
  <r>
    <d v="2021-12-14T00:00:00"/>
    <n v="89"/>
    <x v="88"/>
    <x v="13"/>
    <e v="#REF!"/>
    <e v="#REF!"/>
    <n v="7"/>
    <s v="Valorisables"/>
    <x v="6"/>
    <m/>
    <m/>
    <n v="0"/>
    <n v="0"/>
    <m/>
  </r>
  <r>
    <d v="2021-12-14T00:00:00"/>
    <n v="89"/>
    <x v="88"/>
    <x v="13"/>
    <e v="#REF!"/>
    <e v="#REF!"/>
    <n v="8"/>
    <s v="Valorisables"/>
    <x v="7"/>
    <m/>
    <m/>
    <n v="0"/>
    <n v="0"/>
    <m/>
  </r>
  <r>
    <d v="2021-12-14T00:00:00"/>
    <n v="89"/>
    <x v="88"/>
    <x v="13"/>
    <e v="#REF!"/>
    <e v="#REF!"/>
    <n v="9"/>
    <s v="Valorisables"/>
    <x v="8"/>
    <n v="76.7"/>
    <n v="33.75"/>
    <n v="42.95"/>
    <n v="0.9316702819956616"/>
    <m/>
  </r>
  <r>
    <d v="2021-12-14T00:00:00"/>
    <n v="89"/>
    <x v="88"/>
    <x v="13"/>
    <e v="#REF!"/>
    <e v="#REF!"/>
    <n v="10"/>
    <s v="Valorisables"/>
    <x v="9"/>
    <n v="0.8"/>
    <n v="0.55000000000000004"/>
    <n v="0.25"/>
    <n v="5.4229934924078091E-3"/>
    <m/>
  </r>
  <r>
    <d v="2021-12-14T00:00:00"/>
    <n v="89"/>
    <x v="88"/>
    <x v="13"/>
    <e v="#REF!"/>
    <e v="#REF!"/>
    <n v="11"/>
    <s v="Valorisables"/>
    <x v="10"/>
    <n v="8.5"/>
    <n v="8.3000000000000007"/>
    <n v="0.19999999999999929"/>
    <n v="4.3383947939262318E-3"/>
    <m/>
  </r>
  <r>
    <d v="2021-12-14T00:00:00"/>
    <n v="89"/>
    <x v="88"/>
    <x v="13"/>
    <e v="#REF!"/>
    <e v="#REF!"/>
    <n v="12"/>
    <s v="Refus"/>
    <x v="11"/>
    <n v="19.45"/>
    <n v="17.05"/>
    <n v="2.3999999999999986"/>
    <n v="5.2060737527114938E-2"/>
    <s v="dont DEEE"/>
  </r>
  <r>
    <d v="2021-12-14T00:00:00"/>
    <n v="90"/>
    <x v="89"/>
    <x v="13"/>
    <m/>
    <n v="42.749999999999986"/>
    <n v="1"/>
    <s v="Valorisables"/>
    <x v="0"/>
    <n v="0.65"/>
    <n v="0.55000000000000004"/>
    <n v="9.9999999999999978E-2"/>
    <n v="2.3391812865497076E-3"/>
    <m/>
  </r>
  <r>
    <d v="2021-12-14T00:00:00"/>
    <n v="90"/>
    <x v="89"/>
    <x v="13"/>
    <n v="0"/>
    <e v="#DIV/0!"/>
    <n v="2"/>
    <s v="Valorisables"/>
    <x v="1"/>
    <n v="0.7"/>
    <n v="0.5"/>
    <n v="0.19999999999999996"/>
    <n v="4.6783625730994153E-3"/>
    <m/>
  </r>
  <r>
    <d v="2021-12-14T00:00:00"/>
    <n v="90"/>
    <x v="89"/>
    <x v="13"/>
    <e v="#REF!"/>
    <e v="#REF!"/>
    <n v="3"/>
    <s v="Valorisables"/>
    <x v="2"/>
    <n v="0.9"/>
    <n v="0.55000000000000004"/>
    <n v="0.35"/>
    <n v="8.1871345029239789E-3"/>
    <m/>
  </r>
  <r>
    <d v="2021-12-14T00:00:00"/>
    <n v="90"/>
    <x v="89"/>
    <x v="13"/>
    <e v="#REF!"/>
    <e v="#REF!"/>
    <n v="4"/>
    <s v="Valorisables"/>
    <x v="3"/>
    <n v="0.05"/>
    <n v="0"/>
    <n v="0.05"/>
    <n v="1.1695906432748543E-3"/>
    <m/>
  </r>
  <r>
    <d v="2021-12-14T00:00:00"/>
    <n v="90"/>
    <x v="89"/>
    <x v="13"/>
    <e v="#REF!"/>
    <e v="#REF!"/>
    <n v="5"/>
    <s v="Valorisables"/>
    <x v="4"/>
    <n v="0.6"/>
    <n v="0.55000000000000004"/>
    <n v="4.9999999999999933E-2"/>
    <n v="1.1695906432748527E-3"/>
    <m/>
  </r>
  <r>
    <d v="2021-12-14T00:00:00"/>
    <n v="90"/>
    <x v="89"/>
    <x v="13"/>
    <e v="#REF!"/>
    <e v="#REF!"/>
    <n v="6"/>
    <s v="Valorisables"/>
    <x v="5"/>
    <m/>
    <m/>
    <n v="0"/>
    <n v="0"/>
    <m/>
  </r>
  <r>
    <d v="2021-12-14T00:00:00"/>
    <n v="90"/>
    <x v="89"/>
    <x v="13"/>
    <e v="#REF!"/>
    <e v="#REF!"/>
    <n v="7"/>
    <s v="Valorisables"/>
    <x v="6"/>
    <m/>
    <m/>
    <n v="0"/>
    <n v="0"/>
    <m/>
  </r>
  <r>
    <d v="2021-12-14T00:00:00"/>
    <n v="90"/>
    <x v="89"/>
    <x v="13"/>
    <e v="#REF!"/>
    <e v="#REF!"/>
    <n v="8"/>
    <s v="Valorisables"/>
    <x v="7"/>
    <n v="0.6"/>
    <n v="0.55000000000000004"/>
    <n v="4.9999999999999933E-2"/>
    <n v="1.1695906432748527E-3"/>
    <m/>
  </r>
  <r>
    <d v="2021-12-14T00:00:00"/>
    <n v="90"/>
    <x v="89"/>
    <x v="13"/>
    <e v="#REF!"/>
    <e v="#REF!"/>
    <n v="9"/>
    <s v="Valorisables"/>
    <x v="8"/>
    <n v="72.949999999999989"/>
    <n v="33.6"/>
    <n v="39.349999999999987"/>
    <n v="0.92046783625730999"/>
    <m/>
  </r>
  <r>
    <d v="2021-12-14T00:00:00"/>
    <n v="90"/>
    <x v="89"/>
    <x v="13"/>
    <e v="#REF!"/>
    <e v="#REF!"/>
    <n v="10"/>
    <s v="Valorisables"/>
    <x v="9"/>
    <n v="1.25"/>
    <n v="0.55000000000000004"/>
    <n v="0.7"/>
    <n v="1.6374269005847958E-2"/>
    <m/>
  </r>
  <r>
    <d v="2021-12-14T00:00:00"/>
    <n v="90"/>
    <x v="89"/>
    <x v="13"/>
    <e v="#REF!"/>
    <e v="#REF!"/>
    <n v="11"/>
    <s v="Valorisables"/>
    <x v="10"/>
    <n v="8.9499999999999993"/>
    <n v="8.6"/>
    <n v="0.34999999999999964"/>
    <n v="8.1871345029239703E-3"/>
    <m/>
  </r>
  <r>
    <d v="2021-12-14T00:00:00"/>
    <n v="90"/>
    <x v="89"/>
    <x v="13"/>
    <e v="#REF!"/>
    <e v="#REF!"/>
    <n v="12"/>
    <s v="Refus"/>
    <x v="11"/>
    <n v="10.1"/>
    <n v="8.5500000000000007"/>
    <n v="1.5499999999999989"/>
    <n v="3.6257309941520453E-2"/>
    <m/>
  </r>
  <r>
    <d v="2021-12-14T00:00:00"/>
    <n v="91"/>
    <x v="90"/>
    <x v="13"/>
    <m/>
    <n v="44.999999999999986"/>
    <n v="1"/>
    <s v="Valorisables"/>
    <x v="0"/>
    <n v="0.6"/>
    <n v="0.5"/>
    <n v="9.9999999999999978E-2"/>
    <n v="2.2222222222222222E-3"/>
    <m/>
  </r>
  <r>
    <d v="2021-12-14T00:00:00"/>
    <n v="91"/>
    <x v="90"/>
    <x v="13"/>
    <n v="0"/>
    <e v="#DIV/0!"/>
    <n v="2"/>
    <s v="Valorisables"/>
    <x v="1"/>
    <n v="0.65"/>
    <n v="0.55000000000000004"/>
    <n v="9.9999999999999978E-2"/>
    <n v="2.2222222222222222E-3"/>
    <m/>
  </r>
  <r>
    <d v="2021-12-14T00:00:00"/>
    <n v="91"/>
    <x v="90"/>
    <x v="13"/>
    <e v="#REF!"/>
    <e v="#REF!"/>
    <n v="3"/>
    <s v="Valorisables"/>
    <x v="2"/>
    <n v="0.75"/>
    <n v="0.55000000000000004"/>
    <n v="0.19999999999999996"/>
    <n v="4.4444444444444444E-3"/>
    <m/>
  </r>
  <r>
    <d v="2021-12-14T00:00:00"/>
    <n v="91"/>
    <x v="90"/>
    <x v="13"/>
    <e v="#REF!"/>
    <e v="#REF!"/>
    <n v="4"/>
    <s v="Valorisables"/>
    <x v="3"/>
    <n v="0.55000000000000004"/>
    <n v="0.5"/>
    <n v="5.0000000000000044E-2"/>
    <n v="1.1111111111111124E-3"/>
    <m/>
  </r>
  <r>
    <d v="2021-12-14T00:00:00"/>
    <n v="91"/>
    <x v="90"/>
    <x v="13"/>
    <e v="#REF!"/>
    <e v="#REF!"/>
    <n v="5"/>
    <s v="Valorisables"/>
    <x v="4"/>
    <n v="0.55000000000000004"/>
    <n v="0.5"/>
    <n v="5.0000000000000044E-2"/>
    <n v="1.1111111111111124E-3"/>
    <m/>
  </r>
  <r>
    <d v="2021-12-14T00:00:00"/>
    <n v="91"/>
    <x v="90"/>
    <x v="13"/>
    <e v="#REF!"/>
    <e v="#REF!"/>
    <n v="6"/>
    <s v="Valorisables"/>
    <x v="5"/>
    <m/>
    <m/>
    <n v="0"/>
    <n v="0"/>
    <m/>
  </r>
  <r>
    <d v="2021-12-14T00:00:00"/>
    <n v="91"/>
    <x v="90"/>
    <x v="13"/>
    <e v="#REF!"/>
    <e v="#REF!"/>
    <n v="7"/>
    <s v="Valorisables"/>
    <x v="6"/>
    <m/>
    <m/>
    <n v="0"/>
    <n v="0"/>
    <m/>
  </r>
  <r>
    <d v="2021-12-14T00:00:00"/>
    <n v="91"/>
    <x v="90"/>
    <x v="13"/>
    <e v="#REF!"/>
    <e v="#REF!"/>
    <n v="8"/>
    <s v="Valorisables"/>
    <x v="7"/>
    <m/>
    <m/>
    <n v="0"/>
    <n v="0"/>
    <m/>
  </r>
  <r>
    <d v="2021-12-14T00:00:00"/>
    <n v="91"/>
    <x v="90"/>
    <x v="13"/>
    <e v="#REF!"/>
    <e v="#REF!"/>
    <n v="9"/>
    <s v="Valorisables"/>
    <x v="8"/>
    <n v="77.849999999999994"/>
    <n v="33.900000000000006"/>
    <n v="43.949999999999989"/>
    <n v="0.97666666666666668"/>
    <m/>
  </r>
  <r>
    <d v="2021-12-14T00:00:00"/>
    <n v="91"/>
    <x v="90"/>
    <x v="13"/>
    <e v="#REF!"/>
    <e v="#REF!"/>
    <n v="10"/>
    <s v="Valorisables"/>
    <x v="9"/>
    <n v="0.55000000000000004"/>
    <n v="0.5"/>
    <n v="5.0000000000000044E-2"/>
    <n v="1.1111111111111124E-3"/>
    <m/>
  </r>
  <r>
    <d v="2021-12-14T00:00:00"/>
    <n v="91"/>
    <x v="90"/>
    <x v="13"/>
    <e v="#REF!"/>
    <e v="#REF!"/>
    <n v="11"/>
    <s v="Valorisables"/>
    <x v="10"/>
    <n v="8.35"/>
    <n v="8.3000000000000007"/>
    <n v="4.9999999999998934E-2"/>
    <n v="1.1111111111110877E-3"/>
    <m/>
  </r>
  <r>
    <d v="2021-12-14T00:00:00"/>
    <n v="91"/>
    <x v="90"/>
    <x v="13"/>
    <e v="#REF!"/>
    <e v="#REF!"/>
    <n v="12"/>
    <s v="Refus"/>
    <x v="11"/>
    <n v="17.350000000000001"/>
    <n v="16.899999999999999"/>
    <n v="0.45000000000000284"/>
    <n v="1.0000000000000066E-2"/>
    <m/>
  </r>
  <r>
    <d v="2021-12-14T00:00:00"/>
    <n v="92"/>
    <x v="91"/>
    <x v="6"/>
    <m/>
    <n v="34.549999999999997"/>
    <n v="1"/>
    <s v="Valorisables"/>
    <x v="0"/>
    <m/>
    <m/>
    <n v="0"/>
    <n v="0"/>
    <m/>
  </r>
  <r>
    <d v="2021-12-14T00:00:00"/>
    <n v="92"/>
    <x v="91"/>
    <x v="6"/>
    <n v="0"/>
    <e v="#DIV/0!"/>
    <n v="2"/>
    <s v="Valorisables"/>
    <x v="1"/>
    <n v="0.95"/>
    <n v="0.5"/>
    <n v="0.44999999999999996"/>
    <n v="1.3024602026049204E-2"/>
    <m/>
  </r>
  <r>
    <d v="2021-12-14T00:00:00"/>
    <n v="92"/>
    <x v="91"/>
    <x v="6"/>
    <e v="#REF!"/>
    <e v="#REF!"/>
    <n v="3"/>
    <s v="Valorisables"/>
    <x v="2"/>
    <n v="0.6"/>
    <n v="0.55000000000000004"/>
    <n v="4.9999999999999933E-2"/>
    <n v="1.4471780028943542E-3"/>
    <m/>
  </r>
  <r>
    <d v="2021-12-14T00:00:00"/>
    <n v="92"/>
    <x v="91"/>
    <x v="6"/>
    <e v="#REF!"/>
    <e v="#REF!"/>
    <n v="4"/>
    <s v="Valorisables"/>
    <x v="3"/>
    <n v="0.05"/>
    <n v="0"/>
    <n v="0.05"/>
    <n v="1.4471780028943561E-3"/>
    <m/>
  </r>
  <r>
    <d v="2021-12-14T00:00:00"/>
    <n v="92"/>
    <x v="91"/>
    <x v="6"/>
    <e v="#REF!"/>
    <e v="#REF!"/>
    <n v="5"/>
    <s v="Valorisables"/>
    <x v="4"/>
    <m/>
    <m/>
    <n v="0"/>
    <n v="0"/>
    <m/>
  </r>
  <r>
    <d v="2021-12-14T00:00:00"/>
    <n v="92"/>
    <x v="91"/>
    <x v="6"/>
    <e v="#REF!"/>
    <e v="#REF!"/>
    <n v="6"/>
    <s v="Valorisables"/>
    <x v="5"/>
    <n v="0.6"/>
    <n v="0.55000000000000004"/>
    <n v="4.9999999999999933E-2"/>
    <n v="1.4471780028943542E-3"/>
    <m/>
  </r>
  <r>
    <d v="2021-12-14T00:00:00"/>
    <n v="92"/>
    <x v="91"/>
    <x v="6"/>
    <e v="#REF!"/>
    <e v="#REF!"/>
    <n v="7"/>
    <s v="Valorisables"/>
    <x v="6"/>
    <n v="37.25"/>
    <n v="12.1"/>
    <n v="25.15"/>
    <n v="0.72793053545586106"/>
    <m/>
  </r>
  <r>
    <d v="2021-12-14T00:00:00"/>
    <n v="92"/>
    <x v="91"/>
    <x v="6"/>
    <e v="#REF!"/>
    <e v="#REF!"/>
    <n v="8"/>
    <s v="Valorisables"/>
    <x v="7"/>
    <n v="10.15"/>
    <n v="8.8500000000000014"/>
    <n v="1.2999999999999989"/>
    <n v="3.7626628075253229E-2"/>
    <m/>
  </r>
  <r>
    <d v="2021-12-14T00:00:00"/>
    <n v="92"/>
    <x v="91"/>
    <x v="6"/>
    <e v="#REF!"/>
    <e v="#REF!"/>
    <n v="9"/>
    <s v="Valorisables"/>
    <x v="8"/>
    <n v="0.3"/>
    <n v="0"/>
    <n v="0.3"/>
    <n v="8.6830680173661367E-3"/>
    <m/>
  </r>
  <r>
    <d v="2021-12-14T00:00:00"/>
    <n v="92"/>
    <x v="91"/>
    <x v="6"/>
    <e v="#REF!"/>
    <e v="#REF!"/>
    <n v="10"/>
    <s v="Valorisables"/>
    <x v="9"/>
    <n v="11.6"/>
    <n v="8.5500000000000007"/>
    <n v="3.0499999999999989"/>
    <n v="8.8277858176555687E-2"/>
    <m/>
  </r>
  <r>
    <d v="2021-12-14T00:00:00"/>
    <n v="92"/>
    <x v="91"/>
    <x v="6"/>
    <e v="#REF!"/>
    <e v="#REF!"/>
    <n v="11"/>
    <s v="Valorisables"/>
    <x v="10"/>
    <m/>
    <m/>
    <n v="0"/>
    <n v="0"/>
    <m/>
  </r>
  <r>
    <d v="2021-12-14T00:00:00"/>
    <n v="92"/>
    <x v="91"/>
    <x v="6"/>
    <e v="#REF!"/>
    <e v="#REF!"/>
    <n v="12"/>
    <s v="Refus"/>
    <x v="11"/>
    <n v="21.05"/>
    <n v="16.899999999999999"/>
    <n v="4.1500000000000021"/>
    <n v="0.12011577424023162"/>
    <s v="petits morceaux de verre, coquilles d'huitres, bois, textiles…"/>
  </r>
  <r>
    <d v="2021-12-14T00:00:00"/>
    <n v="93"/>
    <x v="92"/>
    <x v="11"/>
    <m/>
    <n v="19.149999999999988"/>
    <n v="1"/>
    <s v="Valorisables"/>
    <x v="0"/>
    <n v="1.2"/>
    <n v="0.5"/>
    <n v="0.7"/>
    <n v="3.6553524804177569E-2"/>
    <m/>
  </r>
  <r>
    <d v="2021-12-14T00:00:00"/>
    <n v="93"/>
    <x v="92"/>
    <x v="11"/>
    <n v="0"/>
    <e v="#DIV/0!"/>
    <n v="2"/>
    <s v="Valorisables"/>
    <x v="1"/>
    <n v="57.849999999999994"/>
    <n v="42.2"/>
    <n v="15.649999999999991"/>
    <n v="0.81723237597911236"/>
    <m/>
  </r>
  <r>
    <d v="2021-12-14T00:00:00"/>
    <n v="93"/>
    <x v="92"/>
    <x v="11"/>
    <e v="#REF!"/>
    <e v="#REF!"/>
    <n v="3"/>
    <s v="Valorisables"/>
    <x v="2"/>
    <n v="1.3"/>
    <n v="0.5"/>
    <n v="0.8"/>
    <n v="4.1775456919060081E-2"/>
    <m/>
  </r>
  <r>
    <d v="2021-12-14T00:00:00"/>
    <n v="93"/>
    <x v="92"/>
    <x v="11"/>
    <e v="#REF!"/>
    <e v="#REF!"/>
    <n v="4"/>
    <s v="Valorisables"/>
    <x v="3"/>
    <n v="0.7"/>
    <n v="0.5"/>
    <n v="0.19999999999999996"/>
    <n v="1.0443864229765017E-2"/>
    <m/>
  </r>
  <r>
    <d v="2021-12-14T00:00:00"/>
    <n v="93"/>
    <x v="92"/>
    <x v="11"/>
    <e v="#REF!"/>
    <e v="#REF!"/>
    <n v="5"/>
    <s v="Valorisables"/>
    <x v="4"/>
    <n v="0.65"/>
    <n v="0.5"/>
    <n v="0.15000000000000002"/>
    <n v="7.832898172323766E-3"/>
    <m/>
  </r>
  <r>
    <d v="2021-12-14T00:00:00"/>
    <n v="93"/>
    <x v="92"/>
    <x v="11"/>
    <e v="#REF!"/>
    <e v="#REF!"/>
    <n v="6"/>
    <s v="Valorisables"/>
    <x v="5"/>
    <m/>
    <m/>
    <n v="0"/>
    <n v="0"/>
    <m/>
  </r>
  <r>
    <d v="2021-12-14T00:00:00"/>
    <n v="93"/>
    <x v="92"/>
    <x v="11"/>
    <e v="#REF!"/>
    <e v="#REF!"/>
    <n v="7"/>
    <s v="Valorisables"/>
    <x v="6"/>
    <m/>
    <m/>
    <n v="0"/>
    <n v="0"/>
    <m/>
  </r>
  <r>
    <d v="2021-12-14T00:00:00"/>
    <n v="93"/>
    <x v="92"/>
    <x v="11"/>
    <e v="#REF!"/>
    <e v="#REF!"/>
    <n v="8"/>
    <s v="Valorisables"/>
    <x v="7"/>
    <m/>
    <m/>
    <n v="0"/>
    <n v="0"/>
    <m/>
  </r>
  <r>
    <d v="2021-12-14T00:00:00"/>
    <n v="93"/>
    <x v="92"/>
    <x v="11"/>
    <e v="#REF!"/>
    <e v="#REF!"/>
    <n v="9"/>
    <s v="Valorisables"/>
    <x v="8"/>
    <m/>
    <m/>
    <n v="0"/>
    <n v="0"/>
    <m/>
  </r>
  <r>
    <d v="2021-12-14T00:00:00"/>
    <n v="93"/>
    <x v="92"/>
    <x v="11"/>
    <e v="#REF!"/>
    <e v="#REF!"/>
    <n v="10"/>
    <s v="Valorisables"/>
    <x v="9"/>
    <n v="0.8"/>
    <n v="0.5"/>
    <n v="0.30000000000000004"/>
    <n v="1.5665796344647532E-2"/>
    <m/>
  </r>
  <r>
    <d v="2021-12-14T00:00:00"/>
    <n v="93"/>
    <x v="92"/>
    <x v="11"/>
    <e v="#REF!"/>
    <e v="#REF!"/>
    <n v="11"/>
    <s v="Valorisables"/>
    <x v="10"/>
    <n v="0.05"/>
    <n v="0"/>
    <n v="0.05"/>
    <n v="2.610966057441255E-3"/>
    <m/>
  </r>
  <r>
    <d v="2021-12-14T00:00:00"/>
    <n v="93"/>
    <x v="92"/>
    <x v="11"/>
    <e v="#REF!"/>
    <e v="#REF!"/>
    <n v="12"/>
    <s v="Refus"/>
    <x v="11"/>
    <n v="18.149999999999999"/>
    <n v="16.850000000000001"/>
    <n v="1.2999999999999972"/>
    <n v="6.788511749347248E-2"/>
    <m/>
  </r>
  <r>
    <d v="2021-12-14T00:00:00"/>
    <n v="94"/>
    <x v="93"/>
    <x v="11"/>
    <m/>
    <n v="11.849999999999996"/>
    <n v="1"/>
    <s v="Valorisables"/>
    <x v="0"/>
    <n v="9.9"/>
    <n v="8.5500000000000007"/>
    <n v="1.3499999999999996"/>
    <n v="0.1139240506329114"/>
    <m/>
  </r>
  <r>
    <d v="2021-12-14T00:00:00"/>
    <n v="94"/>
    <x v="93"/>
    <x v="11"/>
    <n v="0"/>
    <e v="#DIV/0!"/>
    <n v="2"/>
    <s v="Valorisables"/>
    <x v="1"/>
    <n v="42.8"/>
    <n v="33.75"/>
    <n v="9.0499999999999972"/>
    <n v="0.76371308016877637"/>
    <m/>
  </r>
  <r>
    <d v="2021-12-14T00:00:00"/>
    <n v="94"/>
    <x v="93"/>
    <x v="11"/>
    <e v="#REF!"/>
    <e v="#REF!"/>
    <n v="3"/>
    <s v="Valorisables"/>
    <x v="2"/>
    <n v="0.9"/>
    <n v="0.5"/>
    <n v="0.4"/>
    <n v="3.3755274261603387E-2"/>
    <m/>
  </r>
  <r>
    <d v="2021-12-14T00:00:00"/>
    <n v="94"/>
    <x v="93"/>
    <x v="11"/>
    <e v="#REF!"/>
    <e v="#REF!"/>
    <n v="4"/>
    <s v="Valorisables"/>
    <x v="3"/>
    <n v="0.1"/>
    <n v="0"/>
    <n v="0.1"/>
    <n v="8.4388185654008466E-3"/>
    <m/>
  </r>
  <r>
    <d v="2021-12-14T00:00:00"/>
    <n v="94"/>
    <x v="93"/>
    <x v="11"/>
    <e v="#REF!"/>
    <e v="#REF!"/>
    <n v="5"/>
    <s v="Valorisables"/>
    <x v="4"/>
    <n v="0.05"/>
    <n v="0"/>
    <n v="0.05"/>
    <n v="4.2194092827004233E-3"/>
    <m/>
  </r>
  <r>
    <d v="2021-12-14T00:00:00"/>
    <n v="94"/>
    <x v="93"/>
    <x v="11"/>
    <e v="#REF!"/>
    <e v="#REF!"/>
    <n v="6"/>
    <s v="Valorisables"/>
    <x v="5"/>
    <m/>
    <m/>
    <n v="0"/>
    <n v="0"/>
    <m/>
  </r>
  <r>
    <d v="2021-12-14T00:00:00"/>
    <n v="94"/>
    <x v="93"/>
    <x v="11"/>
    <e v="#REF!"/>
    <e v="#REF!"/>
    <n v="7"/>
    <s v="Valorisables"/>
    <x v="6"/>
    <m/>
    <m/>
    <n v="0"/>
    <n v="0"/>
    <m/>
  </r>
  <r>
    <d v="2021-12-14T00:00:00"/>
    <n v="94"/>
    <x v="93"/>
    <x v="11"/>
    <e v="#REF!"/>
    <e v="#REF!"/>
    <n v="8"/>
    <s v="Valorisables"/>
    <x v="7"/>
    <n v="0.7"/>
    <n v="0.5"/>
    <n v="0.19999999999999996"/>
    <n v="1.687763713080169E-2"/>
    <m/>
  </r>
  <r>
    <d v="2021-12-14T00:00:00"/>
    <n v="94"/>
    <x v="93"/>
    <x v="11"/>
    <e v="#REF!"/>
    <e v="#REF!"/>
    <n v="9"/>
    <s v="Valorisables"/>
    <x v="8"/>
    <m/>
    <m/>
    <n v="0"/>
    <n v="0"/>
    <m/>
  </r>
  <r>
    <d v="2021-12-14T00:00:00"/>
    <n v="94"/>
    <x v="93"/>
    <x v="11"/>
    <e v="#REF!"/>
    <e v="#REF!"/>
    <n v="10"/>
    <s v="Valorisables"/>
    <x v="9"/>
    <n v="0.65"/>
    <n v="0.5"/>
    <n v="0.15000000000000002"/>
    <n v="1.2658227848101273E-2"/>
    <m/>
  </r>
  <r>
    <d v="2021-12-14T00:00:00"/>
    <n v="94"/>
    <x v="93"/>
    <x v="11"/>
    <e v="#REF!"/>
    <e v="#REF!"/>
    <n v="11"/>
    <s v="Valorisables"/>
    <x v="10"/>
    <n v="0.7"/>
    <n v="0.55000000000000004"/>
    <n v="0.14999999999999991"/>
    <n v="1.2658227848101262E-2"/>
    <m/>
  </r>
  <r>
    <d v="2021-12-14T00:00:00"/>
    <n v="94"/>
    <x v="93"/>
    <x v="11"/>
    <e v="#REF!"/>
    <e v="#REF!"/>
    <n v="12"/>
    <s v="Refus"/>
    <x v="11"/>
    <n v="17.45"/>
    <n v="17.05"/>
    <n v="0.39999999999999858"/>
    <n v="3.3755274261603269E-2"/>
    <m/>
  </r>
  <r>
    <d v="2021-12-14T00:00:00"/>
    <n v="95"/>
    <x v="94"/>
    <x v="11"/>
    <m/>
    <n v="16.649999999999991"/>
    <n v="1"/>
    <s v="Valorisables"/>
    <x v="0"/>
    <n v="10.1"/>
    <n v="8.3000000000000007"/>
    <n v="1.7999999999999989"/>
    <n v="0.1081081081081081"/>
    <m/>
  </r>
  <r>
    <d v="2021-12-14T00:00:00"/>
    <n v="95"/>
    <x v="94"/>
    <x v="11"/>
    <n v="0"/>
    <e v="#DIV/0!"/>
    <n v="2"/>
    <s v="Valorisables"/>
    <x v="1"/>
    <n v="47.15"/>
    <n v="33.950000000000003"/>
    <n v="13.199999999999996"/>
    <n v="0.79279279279279291"/>
    <m/>
  </r>
  <r>
    <d v="2021-12-14T00:00:00"/>
    <n v="95"/>
    <x v="94"/>
    <x v="11"/>
    <e v="#REF!"/>
    <e v="#REF!"/>
    <n v="3"/>
    <s v="Valorisables"/>
    <x v="2"/>
    <n v="1"/>
    <n v="0.55000000000000004"/>
    <n v="0.44999999999999996"/>
    <n v="2.7027027027027039E-2"/>
    <m/>
  </r>
  <r>
    <d v="2021-12-14T00:00:00"/>
    <n v="95"/>
    <x v="94"/>
    <x v="11"/>
    <e v="#REF!"/>
    <e v="#REF!"/>
    <n v="4"/>
    <s v="Valorisables"/>
    <x v="3"/>
    <n v="0.65"/>
    <n v="0.55000000000000004"/>
    <n v="9.9999999999999978E-2"/>
    <n v="6.0060060060060077E-3"/>
    <m/>
  </r>
  <r>
    <d v="2021-12-14T00:00:00"/>
    <n v="95"/>
    <x v="94"/>
    <x v="11"/>
    <e v="#REF!"/>
    <e v="#REF!"/>
    <n v="5"/>
    <s v="Valorisables"/>
    <x v="4"/>
    <m/>
    <m/>
    <n v="0"/>
    <n v="0"/>
    <m/>
  </r>
  <r>
    <d v="2021-12-14T00:00:00"/>
    <n v="95"/>
    <x v="94"/>
    <x v="11"/>
    <e v="#REF!"/>
    <e v="#REF!"/>
    <n v="6"/>
    <s v="Valorisables"/>
    <x v="5"/>
    <m/>
    <m/>
    <n v="0"/>
    <n v="0"/>
    <m/>
  </r>
  <r>
    <d v="2021-12-14T00:00:00"/>
    <n v="95"/>
    <x v="94"/>
    <x v="11"/>
    <e v="#REF!"/>
    <e v="#REF!"/>
    <n v="7"/>
    <s v="Valorisables"/>
    <x v="6"/>
    <m/>
    <m/>
    <n v="0"/>
    <n v="0"/>
    <m/>
  </r>
  <r>
    <d v="2021-12-14T00:00:00"/>
    <n v="95"/>
    <x v="94"/>
    <x v="11"/>
    <e v="#REF!"/>
    <e v="#REF!"/>
    <n v="8"/>
    <s v="Valorisables"/>
    <x v="7"/>
    <m/>
    <m/>
    <n v="0"/>
    <n v="0"/>
    <m/>
  </r>
  <r>
    <d v="2021-12-14T00:00:00"/>
    <n v="95"/>
    <x v="94"/>
    <x v="11"/>
    <e v="#REF!"/>
    <e v="#REF!"/>
    <n v="9"/>
    <s v="Valorisables"/>
    <x v="8"/>
    <n v="0.6"/>
    <n v="0.5"/>
    <n v="9.9999999999999978E-2"/>
    <n v="6.0060060060060077E-3"/>
    <m/>
  </r>
  <r>
    <d v="2021-12-14T00:00:00"/>
    <n v="95"/>
    <x v="94"/>
    <x v="11"/>
    <e v="#REF!"/>
    <e v="#REF!"/>
    <n v="10"/>
    <s v="Valorisables"/>
    <x v="9"/>
    <n v="0.75"/>
    <n v="0.5"/>
    <n v="0.25"/>
    <n v="1.5015015015015024E-2"/>
    <m/>
  </r>
  <r>
    <d v="2021-12-14T00:00:00"/>
    <n v="95"/>
    <x v="94"/>
    <x v="11"/>
    <e v="#REF!"/>
    <e v="#REF!"/>
    <n v="11"/>
    <s v="Valorisables"/>
    <x v="10"/>
    <n v="0.6"/>
    <n v="0.55000000000000004"/>
    <n v="4.9999999999999933E-2"/>
    <n v="3.0030030030030004E-3"/>
    <m/>
  </r>
  <r>
    <d v="2021-12-14T00:00:00"/>
    <n v="95"/>
    <x v="94"/>
    <x v="11"/>
    <e v="#REF!"/>
    <e v="#REF!"/>
    <n v="12"/>
    <s v="Refus"/>
    <x v="11"/>
    <n v="17.799999999999997"/>
    <n v="17.100000000000001"/>
    <n v="0.69999999999999574"/>
    <n v="4.2042042042041809E-2"/>
    <m/>
  </r>
  <r>
    <d v="2021-12-14T00:00:00"/>
    <n v="96"/>
    <x v="95"/>
    <x v="3"/>
    <m/>
    <n v="24.249999999999993"/>
    <n v="1"/>
    <s v="Valorisables"/>
    <x v="0"/>
    <n v="0.6"/>
    <n v="0.55000000000000004"/>
    <n v="4.9999999999999933E-2"/>
    <n v="2.0618556701030907E-3"/>
    <m/>
  </r>
  <r>
    <d v="2021-12-14T00:00:00"/>
    <n v="96"/>
    <x v="95"/>
    <x v="3"/>
    <n v="0"/>
    <e v="#DIV/0!"/>
    <n v="2"/>
    <s v="Valorisables"/>
    <x v="1"/>
    <n v="10.15"/>
    <n v="8.3000000000000007"/>
    <n v="1.8499999999999996"/>
    <n v="7.628865979381444E-2"/>
    <m/>
  </r>
  <r>
    <d v="2021-12-14T00:00:00"/>
    <n v="96"/>
    <x v="95"/>
    <x v="3"/>
    <e v="#REF!"/>
    <e v="#REF!"/>
    <n v="3"/>
    <s v="Valorisables"/>
    <x v="2"/>
    <n v="3.95"/>
    <n v="1.05"/>
    <n v="2.9000000000000004"/>
    <n v="0.11958762886597943"/>
    <m/>
  </r>
  <r>
    <d v="2021-12-14T00:00:00"/>
    <n v="96"/>
    <x v="95"/>
    <x v="3"/>
    <e v="#REF!"/>
    <e v="#REF!"/>
    <n v="4"/>
    <s v="Valorisables"/>
    <x v="3"/>
    <n v="2.0499999999999998"/>
    <n v="1.05"/>
    <n v="0.99999999999999978"/>
    <n v="4.1237113402061862E-2"/>
    <m/>
  </r>
  <r>
    <d v="2021-12-14T00:00:00"/>
    <n v="96"/>
    <x v="95"/>
    <x v="3"/>
    <e v="#REF!"/>
    <e v="#REF!"/>
    <n v="5"/>
    <s v="Valorisables"/>
    <x v="4"/>
    <n v="0.85"/>
    <n v="0.55000000000000004"/>
    <n v="0.29999999999999993"/>
    <n v="1.2371134020618558E-2"/>
    <m/>
  </r>
  <r>
    <d v="2021-12-14T00:00:00"/>
    <n v="96"/>
    <x v="95"/>
    <x v="3"/>
    <e v="#REF!"/>
    <e v="#REF!"/>
    <n v="6"/>
    <s v="Valorisables"/>
    <x v="5"/>
    <m/>
    <m/>
    <n v="0"/>
    <n v="0"/>
    <m/>
  </r>
  <r>
    <d v="2021-12-14T00:00:00"/>
    <n v="96"/>
    <x v="95"/>
    <x v="3"/>
    <e v="#REF!"/>
    <e v="#REF!"/>
    <n v="7"/>
    <s v="Valorisables"/>
    <x v="6"/>
    <m/>
    <m/>
    <n v="0"/>
    <n v="0"/>
    <m/>
  </r>
  <r>
    <d v="2021-12-14T00:00:00"/>
    <n v="96"/>
    <x v="95"/>
    <x v="3"/>
    <e v="#REF!"/>
    <e v="#REF!"/>
    <n v="8"/>
    <s v="Valorisables"/>
    <x v="7"/>
    <n v="4.3"/>
    <n v="1.05"/>
    <n v="3.25"/>
    <n v="0.13402061855670108"/>
    <m/>
  </r>
  <r>
    <d v="2021-12-14T00:00:00"/>
    <n v="96"/>
    <x v="95"/>
    <x v="3"/>
    <e v="#REF!"/>
    <e v="#REF!"/>
    <n v="9"/>
    <s v="Valorisables"/>
    <x v="8"/>
    <m/>
    <m/>
    <n v="0"/>
    <n v="0"/>
    <m/>
  </r>
  <r>
    <d v="2021-12-14T00:00:00"/>
    <n v="96"/>
    <x v="95"/>
    <x v="3"/>
    <e v="#REF!"/>
    <e v="#REF!"/>
    <n v="10"/>
    <s v="Valorisables"/>
    <x v="9"/>
    <n v="21.05"/>
    <n v="17.100000000000001"/>
    <n v="3.9499999999999993"/>
    <n v="0.16288659793814436"/>
    <m/>
  </r>
  <r>
    <d v="2021-12-14T00:00:00"/>
    <n v="96"/>
    <x v="95"/>
    <x v="3"/>
    <e v="#REF!"/>
    <e v="#REF!"/>
    <n v="11"/>
    <s v="Valorisables"/>
    <x v="10"/>
    <n v="17.5"/>
    <n v="16.850000000000001"/>
    <n v="0.64999999999999858"/>
    <n v="2.6804123711340156E-2"/>
    <m/>
  </r>
  <r>
    <d v="2021-12-14T00:00:00"/>
    <n v="96"/>
    <x v="95"/>
    <x v="3"/>
    <e v="#REF!"/>
    <e v="#REF!"/>
    <n v="12"/>
    <s v="Refus"/>
    <x v="11"/>
    <n v="44.2"/>
    <n v="33.900000000000006"/>
    <n v="10.299999999999997"/>
    <n v="0.4247422680412371"/>
    <m/>
  </r>
  <r>
    <d v="2021-12-14T00:00:00"/>
    <n v="97"/>
    <x v="96"/>
    <x v="3"/>
    <m/>
    <n v="23.450000000000003"/>
    <n v="1"/>
    <s v="Valorisables"/>
    <x v="0"/>
    <n v="0.8"/>
    <n v="0.55000000000000004"/>
    <n v="0.25"/>
    <n v="1.066098081023454E-2"/>
    <m/>
  </r>
  <r>
    <d v="2021-12-14T00:00:00"/>
    <n v="97"/>
    <x v="96"/>
    <x v="3"/>
    <n v="0"/>
    <e v="#DIV/0!"/>
    <n v="2"/>
    <s v="Valorisables"/>
    <x v="1"/>
    <n v="19.3"/>
    <n v="17.100000000000001"/>
    <n v="2.1999999999999993"/>
    <n v="9.3816631130063929E-2"/>
    <m/>
  </r>
  <r>
    <d v="2021-12-14T00:00:00"/>
    <n v="97"/>
    <x v="96"/>
    <x v="3"/>
    <e v="#REF!"/>
    <e v="#REF!"/>
    <n v="3"/>
    <s v="Valorisables"/>
    <x v="2"/>
    <n v="4.4000000000000004"/>
    <n v="1.6500000000000001"/>
    <n v="2.75"/>
    <n v="0.11727078891257994"/>
    <m/>
  </r>
  <r>
    <d v="2021-12-14T00:00:00"/>
    <n v="97"/>
    <x v="96"/>
    <x v="3"/>
    <e v="#REF!"/>
    <e v="#REF!"/>
    <n v="4"/>
    <s v="Valorisables"/>
    <x v="3"/>
    <n v="1.2"/>
    <n v="0.5"/>
    <n v="0.7"/>
    <n v="2.9850746268656712E-2"/>
    <m/>
  </r>
  <r>
    <d v="2021-12-14T00:00:00"/>
    <n v="97"/>
    <x v="96"/>
    <x v="3"/>
    <e v="#REF!"/>
    <e v="#REF!"/>
    <n v="5"/>
    <s v="Valorisables"/>
    <x v="4"/>
    <n v="0.95"/>
    <n v="0.55000000000000004"/>
    <n v="0.39999999999999991"/>
    <n v="1.7057569296375259E-2"/>
    <m/>
  </r>
  <r>
    <d v="2021-12-14T00:00:00"/>
    <n v="97"/>
    <x v="96"/>
    <x v="3"/>
    <e v="#REF!"/>
    <e v="#REF!"/>
    <n v="6"/>
    <s v="Valorisables"/>
    <x v="5"/>
    <m/>
    <m/>
    <n v="0"/>
    <n v="0"/>
    <m/>
  </r>
  <r>
    <d v="2021-12-14T00:00:00"/>
    <n v="97"/>
    <x v="96"/>
    <x v="3"/>
    <e v="#REF!"/>
    <e v="#REF!"/>
    <n v="7"/>
    <s v="Valorisables"/>
    <x v="6"/>
    <m/>
    <m/>
    <n v="0"/>
    <n v="0"/>
    <m/>
  </r>
  <r>
    <d v="2021-12-14T00:00:00"/>
    <n v="97"/>
    <x v="96"/>
    <x v="3"/>
    <e v="#REF!"/>
    <e v="#REF!"/>
    <n v="8"/>
    <s v="Valorisables"/>
    <x v="7"/>
    <n v="1.85"/>
    <n v="0.55000000000000004"/>
    <n v="1.3"/>
    <n v="5.5437100213219612E-2"/>
    <m/>
  </r>
  <r>
    <d v="2021-12-14T00:00:00"/>
    <n v="97"/>
    <x v="96"/>
    <x v="3"/>
    <e v="#REF!"/>
    <e v="#REF!"/>
    <n v="9"/>
    <s v="Valorisables"/>
    <x v="8"/>
    <m/>
    <m/>
    <n v="0"/>
    <n v="0"/>
    <m/>
  </r>
  <r>
    <d v="2021-12-14T00:00:00"/>
    <n v="97"/>
    <x v="96"/>
    <x v="3"/>
    <e v="#REF!"/>
    <e v="#REF!"/>
    <n v="10"/>
    <s v="Valorisables"/>
    <x v="9"/>
    <n v="11"/>
    <n v="8.5500000000000007"/>
    <n v="2.4499999999999993"/>
    <n v="0.10447761194029846"/>
    <m/>
  </r>
  <r>
    <d v="2021-12-14T00:00:00"/>
    <n v="97"/>
    <x v="96"/>
    <x v="3"/>
    <e v="#REF!"/>
    <e v="#REF!"/>
    <n v="11"/>
    <s v="Valorisables"/>
    <x v="10"/>
    <n v="17.5"/>
    <n v="16.600000000000001"/>
    <n v="0.89999999999999858"/>
    <n v="3.8379530916844283E-2"/>
    <m/>
  </r>
  <r>
    <d v="2021-12-14T00:00:00"/>
    <n v="97"/>
    <x v="96"/>
    <x v="3"/>
    <e v="#REF!"/>
    <e v="#REF!"/>
    <n v="12"/>
    <s v="Refus"/>
    <x v="11"/>
    <n v="46.650000000000006"/>
    <n v="34.15"/>
    <n v="12.500000000000007"/>
    <n v="0.5330490405117273"/>
    <m/>
  </r>
  <r>
    <d v="2021-12-14T00:00:00"/>
    <n v="98"/>
    <x v="97"/>
    <x v="3"/>
    <m/>
    <n v="24.899999999999995"/>
    <n v="1"/>
    <s v="Valorisables"/>
    <x v="0"/>
    <n v="0.65"/>
    <n v="0.55000000000000004"/>
    <n v="9.9999999999999978E-2"/>
    <n v="4.0160642570281121E-3"/>
    <m/>
  </r>
  <r>
    <d v="2021-12-14T00:00:00"/>
    <n v="98"/>
    <x v="97"/>
    <x v="3"/>
    <n v="0"/>
    <e v="#DIV/0!"/>
    <n v="2"/>
    <s v="Valorisables"/>
    <x v="1"/>
    <n v="19.3"/>
    <n v="17.05"/>
    <n v="2.25"/>
    <n v="9.0361445783132543E-2"/>
    <m/>
  </r>
  <r>
    <d v="2021-12-14T00:00:00"/>
    <n v="98"/>
    <x v="97"/>
    <x v="3"/>
    <e v="#REF!"/>
    <e v="#REF!"/>
    <n v="3"/>
    <s v="Valorisables"/>
    <x v="2"/>
    <n v="4.45"/>
    <n v="1.6500000000000001"/>
    <n v="2.8"/>
    <n v="0.11244979919678716"/>
    <m/>
  </r>
  <r>
    <d v="2021-12-14T00:00:00"/>
    <n v="98"/>
    <x v="97"/>
    <x v="3"/>
    <e v="#REF!"/>
    <e v="#REF!"/>
    <n v="4"/>
    <s v="Valorisables"/>
    <x v="3"/>
    <n v="1.85"/>
    <n v="0.55000000000000004"/>
    <n v="1.3"/>
    <n v="5.2208835341365473E-2"/>
    <m/>
  </r>
  <r>
    <d v="2021-12-14T00:00:00"/>
    <n v="98"/>
    <x v="97"/>
    <x v="3"/>
    <e v="#REF!"/>
    <e v="#REF!"/>
    <n v="5"/>
    <s v="Valorisables"/>
    <x v="4"/>
    <n v="1.1499999999999999"/>
    <n v="1"/>
    <n v="0.14999999999999991"/>
    <n v="6.0240963855421664E-3"/>
    <m/>
  </r>
  <r>
    <d v="2021-12-14T00:00:00"/>
    <n v="98"/>
    <x v="97"/>
    <x v="3"/>
    <e v="#REF!"/>
    <e v="#REF!"/>
    <n v="6"/>
    <s v="Valorisables"/>
    <x v="5"/>
    <n v="0.2"/>
    <n v="0"/>
    <n v="0.2"/>
    <n v="8.0321285140562276E-3"/>
    <m/>
  </r>
  <r>
    <d v="2021-12-14T00:00:00"/>
    <n v="98"/>
    <x v="97"/>
    <x v="3"/>
    <e v="#REF!"/>
    <e v="#REF!"/>
    <n v="7"/>
    <s v="Valorisables"/>
    <x v="6"/>
    <m/>
    <m/>
    <n v="0"/>
    <n v="0"/>
    <m/>
  </r>
  <r>
    <d v="2021-12-14T00:00:00"/>
    <n v="98"/>
    <x v="97"/>
    <x v="3"/>
    <e v="#REF!"/>
    <e v="#REF!"/>
    <n v="8"/>
    <s v="Valorisables"/>
    <x v="7"/>
    <n v="1.25"/>
    <n v="0.5"/>
    <n v="0.75"/>
    <n v="3.012048192771085E-2"/>
    <m/>
  </r>
  <r>
    <d v="2021-12-14T00:00:00"/>
    <n v="98"/>
    <x v="97"/>
    <x v="3"/>
    <e v="#REF!"/>
    <e v="#REF!"/>
    <n v="9"/>
    <s v="Valorisables"/>
    <x v="8"/>
    <m/>
    <m/>
    <n v="0"/>
    <n v="0"/>
    <m/>
  </r>
  <r>
    <d v="2021-12-14T00:00:00"/>
    <n v="98"/>
    <x v="97"/>
    <x v="3"/>
    <e v="#REF!"/>
    <e v="#REF!"/>
    <n v="10"/>
    <s v="Valorisables"/>
    <x v="9"/>
    <n v="12.3"/>
    <n v="8.5500000000000007"/>
    <n v="3.75"/>
    <n v="0.15060240963855426"/>
    <m/>
  </r>
  <r>
    <d v="2021-12-14T00:00:00"/>
    <n v="98"/>
    <x v="97"/>
    <x v="3"/>
    <e v="#REF!"/>
    <e v="#REF!"/>
    <n v="11"/>
    <s v="Valorisables"/>
    <x v="10"/>
    <n v="17.600000000000001"/>
    <n v="16.899999999999999"/>
    <n v="0.70000000000000284"/>
    <n v="2.8112449799196908E-2"/>
    <m/>
  </r>
  <r>
    <d v="2021-12-14T00:00:00"/>
    <n v="98"/>
    <x v="97"/>
    <x v="3"/>
    <e v="#REF!"/>
    <e v="#REF!"/>
    <n v="12"/>
    <s v="Refus"/>
    <x v="11"/>
    <n v="46.8"/>
    <n v="33.900000000000006"/>
    <n v="12.899999999999991"/>
    <n v="0.51807228915662629"/>
    <m/>
  </r>
  <r>
    <d v="2021-12-17T00:00:00"/>
    <n v="99"/>
    <x v="98"/>
    <x v="14"/>
    <n v="50.8"/>
    <n v="51.150000000000006"/>
    <n v="1"/>
    <s v="Valorisables"/>
    <x v="0"/>
    <n v="0.75"/>
    <n v="0.55000000000000004"/>
    <n v="0.19999999999999996"/>
    <n v="3.9100684261974576E-3"/>
    <m/>
  </r>
  <r>
    <d v="2021-12-17T00:00:00"/>
    <n v="99"/>
    <x v="98"/>
    <x v="14"/>
    <n v="50.8"/>
    <n v="6.8897637795277272E-3"/>
    <n v="2"/>
    <s v="Valorisables"/>
    <x v="1"/>
    <n v="0.85"/>
    <n v="0.55000000000000004"/>
    <n v="0.29999999999999993"/>
    <n v="5.8651026392961859E-3"/>
    <m/>
  </r>
  <r>
    <d v="2021-12-17T00:00:00"/>
    <n v="99"/>
    <x v="98"/>
    <x v="14"/>
    <e v="#REF!"/>
    <e v="#REF!"/>
    <n v="3"/>
    <s v="Valorisables"/>
    <x v="2"/>
    <n v="1.65"/>
    <n v="0.55000000000000004"/>
    <n v="1.0999999999999999"/>
    <n v="2.1505376344086016E-2"/>
    <m/>
  </r>
  <r>
    <d v="2021-12-17T00:00:00"/>
    <n v="99"/>
    <x v="98"/>
    <x v="14"/>
    <e v="#REF!"/>
    <e v="#REF!"/>
    <n v="4"/>
    <s v="Valorisables"/>
    <x v="3"/>
    <n v="1.7"/>
    <n v="0.55000000000000004"/>
    <n v="1.1499999999999999"/>
    <n v="2.2482893450635383E-2"/>
    <m/>
  </r>
  <r>
    <d v="2021-12-17T00:00:00"/>
    <n v="99"/>
    <x v="98"/>
    <x v="14"/>
    <e v="#REF!"/>
    <e v="#REF!"/>
    <n v="5"/>
    <s v="Valorisables"/>
    <x v="4"/>
    <n v="98.850000000000009"/>
    <n v="59.099999999999994"/>
    <n v="39.750000000000014"/>
    <n v="0.77712609970674507"/>
    <m/>
  </r>
  <r>
    <d v="2021-12-17T00:00:00"/>
    <n v="99"/>
    <x v="98"/>
    <x v="14"/>
    <e v="#REF!"/>
    <e v="#REF!"/>
    <n v="6"/>
    <s v="Valorisables"/>
    <x v="5"/>
    <n v="0.8"/>
    <n v="0"/>
    <n v="0.8"/>
    <n v="1.5640273704789834E-2"/>
    <m/>
  </r>
  <r>
    <d v="2021-12-17T00:00:00"/>
    <n v="99"/>
    <x v="98"/>
    <x v="14"/>
    <e v="#REF!"/>
    <e v="#REF!"/>
    <n v="7"/>
    <s v="Valorisables"/>
    <x v="6"/>
    <m/>
    <m/>
    <n v="0"/>
    <n v="0"/>
    <m/>
  </r>
  <r>
    <d v="2021-12-17T00:00:00"/>
    <n v="99"/>
    <x v="98"/>
    <x v="14"/>
    <e v="#REF!"/>
    <e v="#REF!"/>
    <n v="8"/>
    <s v="Valorisables"/>
    <x v="7"/>
    <n v="8.8000000000000007"/>
    <n v="8.3000000000000007"/>
    <n v="0.5"/>
    <n v="9.7751710654936444E-3"/>
    <m/>
  </r>
  <r>
    <d v="2021-12-17T00:00:00"/>
    <n v="99"/>
    <x v="98"/>
    <x v="14"/>
    <e v="#REF!"/>
    <e v="#REF!"/>
    <n v="9"/>
    <s v="Valorisables"/>
    <x v="8"/>
    <m/>
    <m/>
    <n v="0"/>
    <n v="0"/>
    <m/>
  </r>
  <r>
    <d v="2021-12-17T00:00:00"/>
    <n v="99"/>
    <x v="98"/>
    <x v="14"/>
    <e v="#REF!"/>
    <e v="#REF!"/>
    <n v="10"/>
    <s v="Valorisables"/>
    <x v="9"/>
    <n v="2.8499999999999996"/>
    <n v="1.05"/>
    <n v="1.7999999999999996"/>
    <n v="3.5190615835777116E-2"/>
    <m/>
  </r>
  <r>
    <d v="2021-12-17T00:00:00"/>
    <n v="99"/>
    <x v="98"/>
    <x v="14"/>
    <e v="#REF!"/>
    <e v="#REF!"/>
    <n v="11"/>
    <s v="Valorisables"/>
    <x v="10"/>
    <n v="0.75"/>
    <n v="0.55000000000000004"/>
    <n v="0.19999999999999996"/>
    <n v="3.9100684261974576E-3"/>
    <m/>
  </r>
  <r>
    <d v="2021-12-17T00:00:00"/>
    <n v="99"/>
    <x v="98"/>
    <x v="14"/>
    <e v="#REF!"/>
    <e v="#REF!"/>
    <n v="12"/>
    <s v="Refus"/>
    <x v="11"/>
    <n v="22.4"/>
    <n v="17.05"/>
    <n v="5.3499999999999979"/>
    <n v="0.10459433040078196"/>
    <s v="téléphone, batteries, DEEE, 2 gros morceaux de bois, conserves pleines,aérosols pleins…"/>
  </r>
  <r>
    <d v="2021-12-17T00:00:00"/>
    <n v="100"/>
    <x v="99"/>
    <x v="14"/>
    <n v="25.2"/>
    <n v="25.15"/>
    <n v="1"/>
    <s v="Valorisables"/>
    <x v="0"/>
    <m/>
    <m/>
    <n v="0"/>
    <n v="0"/>
    <m/>
  </r>
  <r>
    <d v="2021-12-17T00:00:00"/>
    <n v="100"/>
    <x v="99"/>
    <x v="14"/>
    <n v="25.2"/>
    <n v="-1.9841269841270122E-3"/>
    <n v="2"/>
    <s v="Valorisables"/>
    <x v="1"/>
    <n v="0.7"/>
    <n v="0.5"/>
    <n v="0.19999999999999996"/>
    <n v="7.9522862823061622E-3"/>
    <m/>
  </r>
  <r>
    <d v="2021-12-17T00:00:00"/>
    <n v="100"/>
    <x v="99"/>
    <x v="14"/>
    <e v="#REF!"/>
    <e v="#REF!"/>
    <n v="3"/>
    <s v="Valorisables"/>
    <x v="2"/>
    <n v="0.95"/>
    <n v="0.55000000000000004"/>
    <n v="0.39999999999999991"/>
    <n v="1.5904572564612324E-2"/>
    <m/>
  </r>
  <r>
    <d v="2021-12-17T00:00:00"/>
    <n v="100"/>
    <x v="99"/>
    <x v="14"/>
    <e v="#REF!"/>
    <e v="#REF!"/>
    <n v="4"/>
    <s v="Valorisables"/>
    <x v="3"/>
    <n v="0.85"/>
    <n v="0.5"/>
    <n v="0.35"/>
    <n v="1.3916500994035786E-2"/>
    <m/>
  </r>
  <r>
    <d v="2021-12-17T00:00:00"/>
    <n v="100"/>
    <x v="99"/>
    <x v="14"/>
    <e v="#REF!"/>
    <e v="#REF!"/>
    <n v="5"/>
    <s v="Valorisables"/>
    <x v="4"/>
    <n v="64.45"/>
    <n v="42.2"/>
    <n v="22.25"/>
    <n v="0.88469184890656072"/>
    <m/>
  </r>
  <r>
    <d v="2021-12-17T00:00:00"/>
    <n v="100"/>
    <x v="99"/>
    <x v="14"/>
    <e v="#REF!"/>
    <e v="#REF!"/>
    <n v="6"/>
    <s v="Valorisables"/>
    <x v="5"/>
    <n v="1"/>
    <n v="0.55000000000000004"/>
    <n v="0.44999999999999996"/>
    <n v="1.7892644135188866E-2"/>
    <m/>
  </r>
  <r>
    <d v="2021-12-17T00:00:00"/>
    <n v="100"/>
    <x v="99"/>
    <x v="14"/>
    <e v="#REF!"/>
    <e v="#REF!"/>
    <n v="7"/>
    <s v="Valorisables"/>
    <x v="6"/>
    <m/>
    <m/>
    <n v="0"/>
    <n v="0"/>
    <m/>
  </r>
  <r>
    <d v="2021-12-17T00:00:00"/>
    <n v="100"/>
    <x v="99"/>
    <x v="14"/>
    <e v="#REF!"/>
    <e v="#REF!"/>
    <n v="8"/>
    <s v="Valorisables"/>
    <x v="7"/>
    <n v="0.7"/>
    <n v="0.55000000000000004"/>
    <n v="0.14999999999999991"/>
    <n v="5.9642147117296195E-3"/>
    <m/>
  </r>
  <r>
    <d v="2021-12-17T00:00:00"/>
    <n v="100"/>
    <x v="99"/>
    <x v="14"/>
    <e v="#REF!"/>
    <e v="#REF!"/>
    <n v="9"/>
    <s v="Valorisables"/>
    <x v="8"/>
    <m/>
    <m/>
    <n v="0"/>
    <n v="0"/>
    <m/>
  </r>
  <r>
    <d v="2021-12-17T00:00:00"/>
    <n v="100"/>
    <x v="99"/>
    <x v="14"/>
    <e v="#REF!"/>
    <e v="#REF!"/>
    <n v="10"/>
    <s v="Valorisables"/>
    <x v="9"/>
    <n v="0.85"/>
    <n v="0.55000000000000004"/>
    <n v="0.29999999999999993"/>
    <n v="1.1928429423459242E-2"/>
    <m/>
  </r>
  <r>
    <d v="2021-12-17T00:00:00"/>
    <n v="100"/>
    <x v="99"/>
    <x v="14"/>
    <e v="#REF!"/>
    <e v="#REF!"/>
    <n v="11"/>
    <s v="Valorisables"/>
    <x v="10"/>
    <n v="0.6"/>
    <n v="0.55000000000000004"/>
    <n v="4.9999999999999933E-2"/>
    <n v="1.9880715705765384E-3"/>
    <m/>
  </r>
  <r>
    <d v="2021-12-17T00:00:00"/>
    <n v="100"/>
    <x v="99"/>
    <x v="14"/>
    <e v="#REF!"/>
    <e v="#REF!"/>
    <n v="12"/>
    <s v="Refus"/>
    <x v="11"/>
    <n v="17.850000000000001"/>
    <n v="16.850000000000001"/>
    <n v="1"/>
    <n v="3.9761431411530816E-2"/>
    <m/>
  </r>
  <r>
    <d v="2021-12-17T00:00:00"/>
    <n v="101"/>
    <x v="100"/>
    <x v="14"/>
    <n v="41.4"/>
    <n v="41.550000000000011"/>
    <n v="1"/>
    <s v="Valorisables"/>
    <x v="0"/>
    <m/>
    <m/>
    <n v="0"/>
    <n v="0"/>
    <m/>
  </r>
  <r>
    <d v="2021-12-17T00:00:00"/>
    <n v="101"/>
    <x v="100"/>
    <x v="14"/>
    <n v="41.4"/>
    <n v="3.6231884057974107E-3"/>
    <n v="2"/>
    <s v="Valorisables"/>
    <x v="1"/>
    <n v="1.05"/>
    <n v="0.5"/>
    <n v="0.55000000000000004"/>
    <n v="1.3237063778580022E-2"/>
    <m/>
  </r>
  <r>
    <d v="2021-12-17T00:00:00"/>
    <n v="101"/>
    <x v="100"/>
    <x v="14"/>
    <e v="#REF!"/>
    <e v="#REF!"/>
    <n v="3"/>
    <s v="Valorisables"/>
    <x v="2"/>
    <n v="0.85"/>
    <n v="0.5"/>
    <n v="0.35"/>
    <n v="8.4235860409145585E-3"/>
    <m/>
  </r>
  <r>
    <d v="2021-12-17T00:00:00"/>
    <n v="101"/>
    <x v="100"/>
    <x v="14"/>
    <e v="#REF!"/>
    <e v="#REF!"/>
    <n v="4"/>
    <s v="Valorisables"/>
    <x v="3"/>
    <n v="1.35"/>
    <n v="0.55000000000000004"/>
    <n v="0.8"/>
    <n v="1.925391095066185E-2"/>
    <m/>
  </r>
  <r>
    <d v="2021-12-17T00:00:00"/>
    <n v="101"/>
    <x v="100"/>
    <x v="14"/>
    <e v="#REF!"/>
    <e v="#REF!"/>
    <n v="5"/>
    <s v="Valorisables"/>
    <x v="4"/>
    <n v="94.5"/>
    <n v="59.149999999999991"/>
    <n v="35.350000000000009"/>
    <n v="0.85078219013237066"/>
    <m/>
  </r>
  <r>
    <d v="2021-12-17T00:00:00"/>
    <n v="101"/>
    <x v="100"/>
    <x v="14"/>
    <e v="#REF!"/>
    <e v="#REF!"/>
    <n v="6"/>
    <s v="Valorisables"/>
    <x v="5"/>
    <n v="1.45"/>
    <n v="0.55000000000000004"/>
    <n v="0.89999999999999991"/>
    <n v="2.1660649819494577E-2"/>
    <m/>
  </r>
  <r>
    <d v="2021-12-17T00:00:00"/>
    <n v="101"/>
    <x v="100"/>
    <x v="14"/>
    <e v="#REF!"/>
    <e v="#REF!"/>
    <n v="7"/>
    <s v="Valorisables"/>
    <x v="6"/>
    <m/>
    <m/>
    <n v="0"/>
    <n v="0"/>
    <m/>
  </r>
  <r>
    <d v="2021-12-17T00:00:00"/>
    <n v="101"/>
    <x v="100"/>
    <x v="14"/>
    <e v="#REF!"/>
    <e v="#REF!"/>
    <n v="8"/>
    <s v="Valorisables"/>
    <x v="7"/>
    <n v="0.7"/>
    <n v="0.5"/>
    <n v="0.19999999999999996"/>
    <n v="4.8134777376654609E-3"/>
    <m/>
  </r>
  <r>
    <d v="2021-12-17T00:00:00"/>
    <n v="101"/>
    <x v="100"/>
    <x v="14"/>
    <e v="#REF!"/>
    <e v="#REF!"/>
    <n v="9"/>
    <s v="Valorisables"/>
    <x v="8"/>
    <n v="0.1"/>
    <n v="0"/>
    <n v="0.1"/>
    <n v="2.4067388688327313E-3"/>
    <m/>
  </r>
  <r>
    <d v="2021-12-17T00:00:00"/>
    <n v="101"/>
    <x v="100"/>
    <x v="14"/>
    <e v="#REF!"/>
    <e v="#REF!"/>
    <n v="10"/>
    <s v="Valorisables"/>
    <x v="9"/>
    <n v="1.45"/>
    <n v="0.55000000000000004"/>
    <n v="0.89999999999999991"/>
    <n v="2.1660649819494577E-2"/>
    <m/>
  </r>
  <r>
    <d v="2021-12-17T00:00:00"/>
    <n v="101"/>
    <x v="100"/>
    <x v="14"/>
    <e v="#REF!"/>
    <e v="#REF!"/>
    <n v="11"/>
    <s v="Valorisables"/>
    <x v="10"/>
    <n v="0.7"/>
    <n v="0.55000000000000004"/>
    <n v="0.14999999999999991"/>
    <n v="3.6101083032490941E-3"/>
    <m/>
  </r>
  <r>
    <d v="2021-12-17T00:00:00"/>
    <n v="101"/>
    <x v="100"/>
    <x v="14"/>
    <e v="#REF!"/>
    <e v="#REF!"/>
    <n v="12"/>
    <s v="Refus"/>
    <x v="11"/>
    <n v="10.55"/>
    <n v="8.3000000000000007"/>
    <n v="2.25"/>
    <n v="5.4151624548736448E-2"/>
    <s v="1 DEEE + plusieurs aérosols pleins"/>
  </r>
  <r>
    <d v="2021-12-17T00:00:00"/>
    <n v="102"/>
    <x v="101"/>
    <x v="15"/>
    <n v="61.199999999999996"/>
    <n v="61.149999999999991"/>
    <n v="1"/>
    <s v="Valorisables"/>
    <x v="0"/>
    <n v="0.6"/>
    <n v="0.55000000000000004"/>
    <n v="4.9999999999999933E-2"/>
    <n v="8.1766148814390747E-4"/>
    <m/>
  </r>
  <r>
    <d v="2021-12-17T00:00:00"/>
    <n v="102"/>
    <x v="101"/>
    <x v="15"/>
    <n v="61.199999999999996"/>
    <n v="-8.1699346405235732E-4"/>
    <n v="2"/>
    <s v="Valorisables"/>
    <x v="1"/>
    <n v="0.7"/>
    <n v="0.55000000000000004"/>
    <n v="0.14999999999999991"/>
    <n v="2.452984464431724E-3"/>
    <m/>
  </r>
  <r>
    <d v="2021-12-17T00:00:00"/>
    <n v="102"/>
    <x v="101"/>
    <x v="15"/>
    <e v="#REF!"/>
    <e v="#REF!"/>
    <n v="3"/>
    <s v="Valorisables"/>
    <x v="2"/>
    <n v="0.8"/>
    <n v="0.5"/>
    <n v="0.30000000000000004"/>
    <n v="4.9059689288634516E-3"/>
    <m/>
  </r>
  <r>
    <d v="2021-12-17T00:00:00"/>
    <n v="102"/>
    <x v="101"/>
    <x v="15"/>
    <e v="#REF!"/>
    <e v="#REF!"/>
    <n v="4"/>
    <s v="Valorisables"/>
    <x v="3"/>
    <n v="3.75"/>
    <n v="1.1000000000000001"/>
    <n v="2.65"/>
    <n v="4.3336058871627149E-2"/>
    <m/>
  </r>
  <r>
    <d v="2021-12-17T00:00:00"/>
    <n v="102"/>
    <x v="101"/>
    <x v="15"/>
    <e v="#REF!"/>
    <e v="#REF!"/>
    <n v="5"/>
    <s v="Valorisables"/>
    <x v="4"/>
    <n v="26.85"/>
    <n v="17.400000000000002"/>
    <n v="9.4499999999999993"/>
    <n v="0.15453802125919869"/>
    <m/>
  </r>
  <r>
    <d v="2021-12-17T00:00:00"/>
    <n v="102"/>
    <x v="101"/>
    <x v="15"/>
    <e v="#REF!"/>
    <e v="#REF!"/>
    <n v="6"/>
    <s v="Valorisables"/>
    <x v="5"/>
    <n v="76.599999999999994"/>
    <n v="33.950000000000003"/>
    <n v="42.649999999999991"/>
    <n v="0.69746524938675381"/>
    <m/>
  </r>
  <r>
    <d v="2021-12-17T00:00:00"/>
    <n v="102"/>
    <x v="101"/>
    <x v="15"/>
    <e v="#REF!"/>
    <e v="#REF!"/>
    <n v="7"/>
    <s v="Valorisables"/>
    <x v="6"/>
    <m/>
    <m/>
    <n v="0"/>
    <n v="0"/>
    <m/>
  </r>
  <r>
    <d v="2021-12-17T00:00:00"/>
    <n v="102"/>
    <x v="101"/>
    <x v="15"/>
    <e v="#REF!"/>
    <e v="#REF!"/>
    <n v="8"/>
    <s v="Valorisables"/>
    <x v="7"/>
    <n v="0.9"/>
    <n v="0.5"/>
    <n v="0.4"/>
    <n v="6.5412919051512685E-3"/>
    <m/>
  </r>
  <r>
    <d v="2021-12-17T00:00:00"/>
    <n v="102"/>
    <x v="101"/>
    <x v="15"/>
    <e v="#REF!"/>
    <e v="#REF!"/>
    <n v="9"/>
    <s v="Valorisables"/>
    <x v="8"/>
    <m/>
    <n v="0"/>
    <n v="0"/>
    <n v="0"/>
    <m/>
  </r>
  <r>
    <d v="2021-12-17T00:00:00"/>
    <n v="102"/>
    <x v="101"/>
    <x v="15"/>
    <e v="#REF!"/>
    <e v="#REF!"/>
    <n v="10"/>
    <s v="Valorisables"/>
    <x v="9"/>
    <n v="0.75"/>
    <n v="0.55000000000000004"/>
    <n v="0.19999999999999996"/>
    <n v="3.2706459525756334E-3"/>
    <m/>
  </r>
  <r>
    <d v="2021-12-17T00:00:00"/>
    <n v="102"/>
    <x v="101"/>
    <x v="15"/>
    <e v="#REF!"/>
    <e v="#REF!"/>
    <n v="11"/>
    <s v="Valorisables"/>
    <x v="10"/>
    <n v="0.65"/>
    <n v="0.5"/>
    <n v="0.15000000000000002"/>
    <n v="2.4529844644317258E-3"/>
    <m/>
  </r>
  <r>
    <d v="2021-12-17T00:00:00"/>
    <n v="102"/>
    <x v="101"/>
    <x v="15"/>
    <e v="#REF!"/>
    <e v="#REF!"/>
    <n v="12"/>
    <s v="Refus"/>
    <x v="11"/>
    <n v="13.7"/>
    <n v="8.5500000000000007"/>
    <n v="5.1499999999999986"/>
    <n v="8.421913327882255E-2"/>
    <m/>
  </r>
  <r>
    <d v="2022-01-24T00:00:00"/>
    <n v="103"/>
    <x v="102"/>
    <x v="38"/>
    <n v="53.4"/>
    <n v="55.55"/>
    <n v="1"/>
    <s v="Valorisables"/>
    <x v="0"/>
    <n v="10.75"/>
    <n v="8.5"/>
    <n v="2.25"/>
    <n v="4.0504050405040508E-2"/>
    <m/>
  </r>
  <r>
    <d v="2022-01-24T00:00:00"/>
    <n v="103"/>
    <x v="102"/>
    <x v="38"/>
    <n v="53.4"/>
    <n v="4.0262172284644168E-2"/>
    <n v="2"/>
    <s v="Valorisables"/>
    <x v="1"/>
    <n v="13.05"/>
    <n v="9.0500000000000007"/>
    <n v="4"/>
    <n v="7.2007200720072009E-2"/>
    <m/>
  </r>
  <r>
    <d v="2022-01-24T00:00:00"/>
    <n v="103"/>
    <x v="102"/>
    <x v="38"/>
    <e v="#REF!"/>
    <e v="#REF!"/>
    <n v="3"/>
    <s v="Valorisables"/>
    <x v="2"/>
    <n v="10.15"/>
    <n v="8.3000000000000007"/>
    <n v="1.8499999999999996"/>
    <n v="3.3303330333033301E-2"/>
    <m/>
  </r>
  <r>
    <d v="2022-01-24T00:00:00"/>
    <n v="103"/>
    <x v="102"/>
    <x v="38"/>
    <e v="#REF!"/>
    <e v="#REF!"/>
    <n v="4"/>
    <s v="Valorisables"/>
    <x v="3"/>
    <n v="1.85"/>
    <n v="0.55000000000000004"/>
    <n v="1.3"/>
    <n v="2.3402340234023405E-2"/>
    <m/>
  </r>
  <r>
    <d v="2022-01-24T00:00:00"/>
    <n v="103"/>
    <x v="102"/>
    <x v="38"/>
    <e v="#REF!"/>
    <e v="#REF!"/>
    <n v="5"/>
    <s v="Valorisables"/>
    <x v="4"/>
    <n v="1.1499999999999999"/>
    <n v="0.55000000000000004"/>
    <n v="0.59999999999999987"/>
    <n v="1.0801080108010799E-2"/>
    <m/>
  </r>
  <r>
    <d v="2022-01-24T00:00:00"/>
    <n v="103"/>
    <x v="102"/>
    <x v="38"/>
    <e v="#REF!"/>
    <e v="#REF!"/>
    <n v="6"/>
    <s v="Valorisables"/>
    <x v="5"/>
    <m/>
    <m/>
    <n v="0"/>
    <n v="0"/>
    <m/>
  </r>
  <r>
    <d v="2022-01-24T00:00:00"/>
    <n v="103"/>
    <x v="102"/>
    <x v="38"/>
    <e v="#REF!"/>
    <e v="#REF!"/>
    <n v="7"/>
    <s v="Valorisables"/>
    <x v="6"/>
    <n v="7.2"/>
    <n v="6.05"/>
    <n v="1.1500000000000004"/>
    <n v="2.0702070207020709E-2"/>
    <m/>
  </r>
  <r>
    <d v="2022-01-24T00:00:00"/>
    <n v="103"/>
    <x v="102"/>
    <x v="38"/>
    <e v="#REF!"/>
    <e v="#REF!"/>
    <n v="8"/>
    <s v="Valorisables"/>
    <x v="7"/>
    <n v="32.25"/>
    <n v="17.100000000000001"/>
    <n v="15.149999999999999"/>
    <n v="0.27272727272727271"/>
    <m/>
  </r>
  <r>
    <d v="2022-01-24T00:00:00"/>
    <n v="103"/>
    <x v="102"/>
    <x v="38"/>
    <e v="#REF!"/>
    <e v="#REF!"/>
    <n v="9"/>
    <s v="Valorisables"/>
    <x v="8"/>
    <n v="2.7"/>
    <n v="0.55000000000000004"/>
    <n v="2.1500000000000004"/>
    <n v="3.8703870387038715E-2"/>
    <m/>
  </r>
  <r>
    <d v="2022-01-24T00:00:00"/>
    <n v="103"/>
    <x v="102"/>
    <x v="38"/>
    <e v="#REF!"/>
    <e v="#REF!"/>
    <n v="10"/>
    <s v="Valorisables"/>
    <x v="9"/>
    <n v="43.75"/>
    <n v="25.400000000000002"/>
    <n v="18.349999999999998"/>
    <n v="0.3303330333033303"/>
    <m/>
  </r>
  <r>
    <d v="2022-01-24T00:00:00"/>
    <n v="103"/>
    <x v="102"/>
    <x v="38"/>
    <e v="#REF!"/>
    <e v="#REF!"/>
    <n v="11"/>
    <s v="Valorisables"/>
    <x v="10"/>
    <n v="18.149999999999999"/>
    <n v="16.850000000000001"/>
    <n v="1.2999999999999972"/>
    <n v="2.3402340234023353E-2"/>
    <m/>
  </r>
  <r>
    <d v="2022-01-24T00:00:00"/>
    <n v="103"/>
    <x v="102"/>
    <x v="38"/>
    <e v="#REF!"/>
    <e v="#REF!"/>
    <n v="12"/>
    <s v="Refus"/>
    <x v="11"/>
    <n v="24.5"/>
    <n v="17.05"/>
    <n v="7.4499999999999993"/>
    <n v="0.13411341134113411"/>
    <m/>
  </r>
  <r>
    <d v="2022-01-24T00:00:00"/>
    <n v="104"/>
    <x v="103"/>
    <x v="38"/>
    <n v="48.4"/>
    <n v="49.649999999999991"/>
    <n v="1"/>
    <s v="Valorisables"/>
    <x v="0"/>
    <n v="9.9"/>
    <n v="8.5500000000000007"/>
    <n v="1.3499999999999996"/>
    <n v="2.7190332326283987E-2"/>
    <m/>
  </r>
  <r>
    <d v="2022-01-24T00:00:00"/>
    <n v="104"/>
    <x v="103"/>
    <x v="38"/>
    <n v="48.4"/>
    <n v="2.5826446280991591E-2"/>
    <n v="2"/>
    <s v="Valorisables"/>
    <x v="1"/>
    <n v="11.05"/>
    <n v="8.5500000000000007"/>
    <n v="2.5"/>
    <n v="5.0352467270896283E-2"/>
    <m/>
  </r>
  <r>
    <d v="2022-01-24T00:00:00"/>
    <n v="104"/>
    <x v="103"/>
    <x v="38"/>
    <e v="#REF!"/>
    <e v="#REF!"/>
    <n v="3"/>
    <s v="Valorisables"/>
    <x v="2"/>
    <n v="10.199999999999999"/>
    <n v="8.5500000000000007"/>
    <n v="1.6499999999999986"/>
    <n v="3.3232628398791521E-2"/>
    <m/>
  </r>
  <r>
    <d v="2022-01-24T00:00:00"/>
    <n v="104"/>
    <x v="103"/>
    <x v="38"/>
    <e v="#REF!"/>
    <e v="#REF!"/>
    <n v="4"/>
    <s v="Valorisables"/>
    <x v="3"/>
    <n v="1.6"/>
    <n v="0.55000000000000004"/>
    <n v="1.05"/>
    <n v="2.1148036253776439E-2"/>
    <m/>
  </r>
  <r>
    <d v="2022-01-24T00:00:00"/>
    <n v="104"/>
    <x v="103"/>
    <x v="38"/>
    <e v="#REF!"/>
    <e v="#REF!"/>
    <n v="5"/>
    <s v="Valorisables"/>
    <x v="4"/>
    <n v="0.85"/>
    <n v="0.55000000000000004"/>
    <n v="0.29999999999999993"/>
    <n v="6.0422960725075529E-3"/>
    <m/>
  </r>
  <r>
    <d v="2022-01-24T00:00:00"/>
    <n v="104"/>
    <x v="103"/>
    <x v="38"/>
    <e v="#REF!"/>
    <e v="#REF!"/>
    <n v="6"/>
    <s v="Valorisables"/>
    <x v="5"/>
    <m/>
    <m/>
    <n v="0"/>
    <n v="0"/>
    <m/>
  </r>
  <r>
    <d v="2022-01-24T00:00:00"/>
    <n v="104"/>
    <x v="103"/>
    <x v="38"/>
    <e v="#REF!"/>
    <e v="#REF!"/>
    <n v="7"/>
    <s v="Valorisables"/>
    <x v="6"/>
    <n v="0.5"/>
    <n v="0"/>
    <n v="0.5"/>
    <n v="1.0070493454179257E-2"/>
    <m/>
  </r>
  <r>
    <d v="2022-01-24T00:00:00"/>
    <n v="104"/>
    <x v="103"/>
    <x v="38"/>
    <e v="#REF!"/>
    <e v="#REF!"/>
    <n v="8"/>
    <s v="Valorisables"/>
    <x v="7"/>
    <n v="29.85"/>
    <n v="16.850000000000001"/>
    <n v="13"/>
    <n v="0.26183282980866068"/>
    <m/>
  </r>
  <r>
    <d v="2022-01-24T00:00:00"/>
    <n v="104"/>
    <x v="103"/>
    <x v="38"/>
    <e v="#REF!"/>
    <e v="#REF!"/>
    <n v="9"/>
    <s v="Valorisables"/>
    <x v="8"/>
    <n v="2.4"/>
    <n v="0.5"/>
    <n v="1.9"/>
    <n v="3.8267875125881173E-2"/>
    <m/>
  </r>
  <r>
    <d v="2022-01-24T00:00:00"/>
    <n v="104"/>
    <x v="103"/>
    <x v="38"/>
    <e v="#REF!"/>
    <e v="#REF!"/>
    <n v="10"/>
    <s v="Valorisables"/>
    <x v="9"/>
    <n v="29.05"/>
    <n v="16.850000000000001"/>
    <n v="12.2"/>
    <n v="0.24572004028197383"/>
    <m/>
  </r>
  <r>
    <d v="2022-01-24T00:00:00"/>
    <n v="104"/>
    <x v="103"/>
    <x v="38"/>
    <e v="#REF!"/>
    <e v="#REF!"/>
    <n v="11"/>
    <s v="Valorisables"/>
    <x v="10"/>
    <n v="17.850000000000001"/>
    <n v="17.100000000000001"/>
    <n v="0.75"/>
    <n v="1.5105740181268885E-2"/>
    <m/>
  </r>
  <r>
    <d v="2022-01-24T00:00:00"/>
    <n v="104"/>
    <x v="103"/>
    <x v="38"/>
    <e v="#REF!"/>
    <e v="#REF!"/>
    <n v="12"/>
    <s v="Refus"/>
    <x v="11"/>
    <n v="31.3"/>
    <n v="16.850000000000001"/>
    <n v="14.45"/>
    <n v="0.29103726082578052"/>
    <s v="verre, sac OM"/>
  </r>
  <r>
    <d v="2022-01-24T00:00:00"/>
    <n v="105"/>
    <x v="104"/>
    <x v="38"/>
    <n v="46.199999999999996"/>
    <n v="46.449999999999989"/>
    <n v="1"/>
    <s v="Valorisables"/>
    <x v="0"/>
    <n v="9.9"/>
    <n v="8.5"/>
    <n v="1.4000000000000004"/>
    <n v="3.0139935414424127E-2"/>
    <m/>
  </r>
  <r>
    <d v="2022-01-24T00:00:00"/>
    <n v="105"/>
    <x v="104"/>
    <x v="38"/>
    <n v="46.199999999999996"/>
    <n v="5.4112554112552584E-3"/>
    <n v="2"/>
    <s v="Valorisables"/>
    <x v="1"/>
    <n v="10.55"/>
    <n v="8.3000000000000007"/>
    <n v="2.25"/>
    <n v="4.8439181916038763E-2"/>
    <m/>
  </r>
  <r>
    <d v="2022-01-24T00:00:00"/>
    <n v="105"/>
    <x v="104"/>
    <x v="38"/>
    <e v="#REF!"/>
    <e v="#REF!"/>
    <n v="3"/>
    <s v="Valorisables"/>
    <x v="2"/>
    <n v="10.3"/>
    <n v="8.5500000000000007"/>
    <n v="1.75"/>
    <n v="3.7674919268030148E-2"/>
    <m/>
  </r>
  <r>
    <d v="2022-01-24T00:00:00"/>
    <n v="105"/>
    <x v="104"/>
    <x v="38"/>
    <e v="#REF!"/>
    <e v="#REF!"/>
    <n v="4"/>
    <s v="Valorisables"/>
    <x v="3"/>
    <n v="1.95"/>
    <n v="0.55000000000000004"/>
    <n v="1.4"/>
    <n v="3.0139935414424116E-2"/>
    <m/>
  </r>
  <r>
    <d v="2022-01-24T00:00:00"/>
    <n v="105"/>
    <x v="104"/>
    <x v="38"/>
    <e v="#REF!"/>
    <e v="#REF!"/>
    <n v="5"/>
    <s v="Valorisables"/>
    <x v="4"/>
    <n v="1.05"/>
    <n v="0.55000000000000004"/>
    <n v="0.5"/>
    <n v="1.0764262648008614E-2"/>
    <m/>
  </r>
  <r>
    <d v="2022-01-24T00:00:00"/>
    <n v="105"/>
    <x v="104"/>
    <x v="38"/>
    <e v="#REF!"/>
    <e v="#REF!"/>
    <n v="6"/>
    <s v="Valorisables"/>
    <x v="5"/>
    <m/>
    <m/>
    <n v="0"/>
    <n v="0"/>
    <m/>
  </r>
  <r>
    <d v="2022-01-24T00:00:00"/>
    <n v="105"/>
    <x v="104"/>
    <x v="38"/>
    <e v="#REF!"/>
    <e v="#REF!"/>
    <n v="7"/>
    <s v="Valorisables"/>
    <x v="6"/>
    <n v="0.4"/>
    <n v="0"/>
    <n v="0.4"/>
    <n v="8.6114101184068918E-3"/>
    <m/>
  </r>
  <r>
    <d v="2022-01-24T00:00:00"/>
    <n v="105"/>
    <x v="104"/>
    <x v="38"/>
    <e v="#REF!"/>
    <e v="#REF!"/>
    <n v="8"/>
    <s v="Valorisables"/>
    <x v="7"/>
    <n v="31.3"/>
    <n v="16.850000000000001"/>
    <n v="14.45"/>
    <n v="0.31108719052744893"/>
    <m/>
  </r>
  <r>
    <d v="2022-01-24T00:00:00"/>
    <n v="105"/>
    <x v="104"/>
    <x v="38"/>
    <e v="#REF!"/>
    <e v="#REF!"/>
    <n v="9"/>
    <s v="Valorisables"/>
    <x v="8"/>
    <n v="2.5499999999999998"/>
    <n v="0.5"/>
    <n v="2.0499999999999998"/>
    <n v="4.4133476856835316E-2"/>
    <m/>
  </r>
  <r>
    <d v="2022-01-24T00:00:00"/>
    <n v="105"/>
    <x v="104"/>
    <x v="38"/>
    <e v="#REF!"/>
    <e v="#REF!"/>
    <n v="10"/>
    <s v="Valorisables"/>
    <x v="9"/>
    <n v="33.799999999999997"/>
    <n v="17.05"/>
    <n v="16.749999999999996"/>
    <n v="0.36060279870828849"/>
    <m/>
  </r>
  <r>
    <d v="2022-01-24T00:00:00"/>
    <n v="105"/>
    <x v="104"/>
    <x v="38"/>
    <e v="#REF!"/>
    <e v="#REF!"/>
    <n v="11"/>
    <s v="Valorisables"/>
    <x v="10"/>
    <n v="17.149999999999999"/>
    <n v="16.600000000000001"/>
    <n v="0.54999999999999716"/>
    <n v="1.1840688912809415E-2"/>
    <m/>
  </r>
  <r>
    <d v="2022-01-24T00:00:00"/>
    <n v="105"/>
    <x v="104"/>
    <x v="38"/>
    <e v="#REF!"/>
    <e v="#REF!"/>
    <n v="12"/>
    <s v="Refus"/>
    <x v="11"/>
    <n v="22.049999999999997"/>
    <n v="17.100000000000001"/>
    <n v="4.9499999999999957"/>
    <n v="0.10656620021528519"/>
    <m/>
  </r>
  <r>
    <d v="2022-01-24T00:00:00"/>
    <n v="106"/>
    <x v="105"/>
    <x v="7"/>
    <n v="45.199999999999996"/>
    <n v="45.769999999999989"/>
    <n v="1"/>
    <s v="Valorisables"/>
    <x v="0"/>
    <m/>
    <m/>
    <n v="0"/>
    <n v="0"/>
    <m/>
  </r>
  <r>
    <d v="2022-01-24T00:00:00"/>
    <n v="106"/>
    <x v="105"/>
    <x v="7"/>
    <n v="45.199999999999996"/>
    <n v="1.2610619469026399E-2"/>
    <n v="2"/>
    <s v="Valorisables"/>
    <x v="1"/>
    <m/>
    <m/>
    <n v="0"/>
    <n v="0"/>
    <m/>
  </r>
  <r>
    <d v="2022-01-24T00:00:00"/>
    <n v="106"/>
    <x v="105"/>
    <x v="7"/>
    <e v="#REF!"/>
    <e v="#REF!"/>
    <n v="3"/>
    <s v="Valorisables"/>
    <x v="2"/>
    <m/>
    <m/>
    <n v="0"/>
    <n v="0"/>
    <m/>
  </r>
  <r>
    <d v="2022-01-24T00:00:00"/>
    <n v="106"/>
    <x v="105"/>
    <x v="7"/>
    <e v="#REF!"/>
    <e v="#REF!"/>
    <n v="4"/>
    <s v="Valorisables"/>
    <x v="3"/>
    <m/>
    <m/>
    <n v="0"/>
    <n v="0"/>
    <m/>
  </r>
  <r>
    <d v="2022-01-24T00:00:00"/>
    <n v="106"/>
    <x v="105"/>
    <x v="7"/>
    <e v="#REF!"/>
    <e v="#REF!"/>
    <n v="5"/>
    <s v="Valorisables"/>
    <x v="4"/>
    <m/>
    <m/>
    <n v="0"/>
    <n v="0"/>
    <m/>
  </r>
  <r>
    <d v="2022-01-24T00:00:00"/>
    <n v="106"/>
    <x v="105"/>
    <x v="7"/>
    <e v="#REF!"/>
    <e v="#REF!"/>
    <n v="6"/>
    <s v="Valorisables"/>
    <x v="5"/>
    <m/>
    <m/>
    <n v="0"/>
    <n v="0"/>
    <m/>
  </r>
  <r>
    <d v="2022-01-24T00:00:00"/>
    <n v="106"/>
    <x v="105"/>
    <x v="7"/>
    <e v="#REF!"/>
    <e v="#REF!"/>
    <n v="7"/>
    <s v="Valorisables"/>
    <x v="6"/>
    <n v="6.45"/>
    <n v="6.05"/>
    <n v="0.40000000000000036"/>
    <n v="8.7393489185055816E-3"/>
    <m/>
  </r>
  <r>
    <d v="2022-01-24T00:00:00"/>
    <n v="106"/>
    <x v="105"/>
    <x v="7"/>
    <e v="#REF!"/>
    <e v="#REF!"/>
    <n v="8"/>
    <s v="Valorisables"/>
    <x v="7"/>
    <n v="75.849999999999994"/>
    <n v="33.650000000000006"/>
    <n v="42.199999999999989"/>
    <n v="0.92200131090233772"/>
    <m/>
  </r>
  <r>
    <d v="2022-01-24T00:00:00"/>
    <n v="106"/>
    <x v="105"/>
    <x v="7"/>
    <e v="#REF!"/>
    <e v="#REF!"/>
    <n v="9"/>
    <s v="Valorisables"/>
    <x v="8"/>
    <m/>
    <m/>
    <n v="0"/>
    <n v="0"/>
    <m/>
  </r>
  <r>
    <d v="2022-01-24T00:00:00"/>
    <n v="106"/>
    <x v="105"/>
    <x v="7"/>
    <e v="#REF!"/>
    <e v="#REF!"/>
    <n v="10"/>
    <s v="Valorisables"/>
    <x v="9"/>
    <n v="10.85"/>
    <n v="8.5500000000000007"/>
    <n v="2.2999999999999989"/>
    <n v="5.0251256281407024E-2"/>
    <m/>
  </r>
  <r>
    <d v="2022-01-24T00:00:00"/>
    <n v="106"/>
    <x v="105"/>
    <x v="7"/>
    <e v="#REF!"/>
    <e v="#REF!"/>
    <n v="11"/>
    <s v="Valorisables"/>
    <x v="10"/>
    <n v="0.55000000000000004"/>
    <n v="0.53"/>
    <n v="2.0000000000000018E-2"/>
    <n v="4.3696744592527904E-4"/>
    <m/>
  </r>
  <r>
    <d v="2022-01-24T00:00:00"/>
    <n v="106"/>
    <x v="105"/>
    <x v="7"/>
    <e v="#REF!"/>
    <e v="#REF!"/>
    <n v="12"/>
    <s v="Refus"/>
    <x v="11"/>
    <n v="9.4"/>
    <n v="8.5500000000000007"/>
    <n v="0.84999999999999964"/>
    <n v="1.8571116451824337E-2"/>
    <m/>
  </r>
  <r>
    <d v="2022-01-24T00:00:00"/>
    <n v="107"/>
    <x v="106"/>
    <x v="7"/>
    <n v="42.599999999999994"/>
    <n v="42.699999999999996"/>
    <n v="1"/>
    <s v="Valorisables"/>
    <x v="0"/>
    <m/>
    <m/>
    <n v="0"/>
    <n v="0"/>
    <m/>
  </r>
  <r>
    <d v="2022-01-24T00:00:00"/>
    <n v="107"/>
    <x v="106"/>
    <x v="7"/>
    <n v="42.599999999999994"/>
    <n v="2.3474178403756207E-3"/>
    <n v="2"/>
    <s v="Valorisables"/>
    <x v="1"/>
    <n v="0.05"/>
    <n v="0"/>
    <n v="0.05"/>
    <n v="1.1709601873536302E-3"/>
    <m/>
  </r>
  <r>
    <d v="2022-01-24T00:00:00"/>
    <n v="107"/>
    <x v="106"/>
    <x v="7"/>
    <e v="#REF!"/>
    <e v="#REF!"/>
    <n v="3"/>
    <s v="Valorisables"/>
    <x v="2"/>
    <m/>
    <m/>
    <n v="0"/>
    <n v="0"/>
    <m/>
  </r>
  <r>
    <d v="2022-01-24T00:00:00"/>
    <n v="107"/>
    <x v="106"/>
    <x v="7"/>
    <e v="#REF!"/>
    <e v="#REF!"/>
    <n v="4"/>
    <s v="Valorisables"/>
    <x v="3"/>
    <m/>
    <m/>
    <n v="0"/>
    <n v="0"/>
    <m/>
  </r>
  <r>
    <d v="2022-01-24T00:00:00"/>
    <n v="107"/>
    <x v="106"/>
    <x v="7"/>
    <e v="#REF!"/>
    <e v="#REF!"/>
    <n v="5"/>
    <s v="Valorisables"/>
    <x v="4"/>
    <m/>
    <m/>
    <n v="0"/>
    <n v="0"/>
    <m/>
  </r>
  <r>
    <d v="2022-01-24T00:00:00"/>
    <n v="107"/>
    <x v="106"/>
    <x v="7"/>
    <e v="#REF!"/>
    <e v="#REF!"/>
    <n v="6"/>
    <s v="Valorisables"/>
    <x v="5"/>
    <m/>
    <m/>
    <n v="0"/>
    <n v="0"/>
    <m/>
  </r>
  <r>
    <d v="2022-01-24T00:00:00"/>
    <n v="107"/>
    <x v="106"/>
    <x v="7"/>
    <e v="#REF!"/>
    <e v="#REF!"/>
    <n v="7"/>
    <s v="Valorisables"/>
    <x v="6"/>
    <n v="6.55"/>
    <n v="6.05"/>
    <n v="0.5"/>
    <n v="1.1709601873536301E-2"/>
    <m/>
  </r>
  <r>
    <d v="2022-01-24T00:00:00"/>
    <n v="107"/>
    <x v="106"/>
    <x v="7"/>
    <e v="#REF!"/>
    <e v="#REF!"/>
    <n v="8"/>
    <s v="Valorisables"/>
    <x v="7"/>
    <n v="72.400000000000006"/>
    <n v="33.900000000000006"/>
    <n v="38.5"/>
    <n v="0.90163934426229519"/>
    <m/>
  </r>
  <r>
    <d v="2022-01-24T00:00:00"/>
    <n v="107"/>
    <x v="106"/>
    <x v="7"/>
    <e v="#REF!"/>
    <e v="#REF!"/>
    <n v="9"/>
    <s v="Valorisables"/>
    <x v="8"/>
    <m/>
    <m/>
    <n v="0"/>
    <n v="0"/>
    <m/>
  </r>
  <r>
    <d v="2022-01-24T00:00:00"/>
    <n v="107"/>
    <x v="106"/>
    <x v="7"/>
    <e v="#REF!"/>
    <e v="#REF!"/>
    <n v="10"/>
    <s v="Valorisables"/>
    <x v="9"/>
    <n v="11.1"/>
    <n v="8.5"/>
    <n v="2.5999999999999996"/>
    <n v="6.0889929742388757E-2"/>
    <m/>
  </r>
  <r>
    <d v="2022-01-24T00:00:00"/>
    <n v="107"/>
    <x v="106"/>
    <x v="7"/>
    <e v="#REF!"/>
    <e v="#REF!"/>
    <n v="11"/>
    <s v="Valorisables"/>
    <x v="10"/>
    <m/>
    <m/>
    <n v="0"/>
    <n v="0"/>
    <m/>
  </r>
  <r>
    <d v="2022-01-24T00:00:00"/>
    <n v="107"/>
    <x v="106"/>
    <x v="7"/>
    <e v="#REF!"/>
    <e v="#REF!"/>
    <n v="12"/>
    <s v="Refus"/>
    <x v="11"/>
    <n v="9.6"/>
    <n v="8.5500000000000007"/>
    <n v="1.0499999999999989"/>
    <n v="2.4590163934426208E-2"/>
    <m/>
  </r>
  <r>
    <d v="2022-01-24T00:00:00"/>
    <n v="108"/>
    <x v="107"/>
    <x v="7"/>
    <n v="53.599999999999994"/>
    <n v="54.399999999999991"/>
    <n v="1"/>
    <s v="Valorisables"/>
    <x v="0"/>
    <m/>
    <m/>
    <n v="0"/>
    <n v="0"/>
    <m/>
  </r>
  <r>
    <d v="2022-01-24T00:00:00"/>
    <n v="108"/>
    <x v="107"/>
    <x v="7"/>
    <n v="53.599999999999994"/>
    <n v="1.4925373134328308E-2"/>
    <n v="2"/>
    <s v="Valorisables"/>
    <x v="1"/>
    <m/>
    <m/>
    <n v="0"/>
    <n v="0"/>
    <m/>
  </r>
  <r>
    <d v="2022-01-24T00:00:00"/>
    <n v="108"/>
    <x v="107"/>
    <x v="7"/>
    <e v="#REF!"/>
    <e v="#REF!"/>
    <n v="3"/>
    <s v="Valorisables"/>
    <x v="2"/>
    <m/>
    <m/>
    <n v="0"/>
    <n v="0"/>
    <m/>
  </r>
  <r>
    <d v="2022-01-24T00:00:00"/>
    <n v="108"/>
    <x v="107"/>
    <x v="7"/>
    <e v="#REF!"/>
    <e v="#REF!"/>
    <n v="4"/>
    <s v="Valorisables"/>
    <x v="3"/>
    <m/>
    <m/>
    <n v="0"/>
    <n v="0"/>
    <m/>
  </r>
  <r>
    <d v="2022-01-24T00:00:00"/>
    <n v="108"/>
    <x v="107"/>
    <x v="7"/>
    <e v="#REF!"/>
    <e v="#REF!"/>
    <n v="5"/>
    <s v="Valorisables"/>
    <x v="4"/>
    <m/>
    <m/>
    <n v="0"/>
    <n v="0"/>
    <m/>
  </r>
  <r>
    <d v="2022-01-24T00:00:00"/>
    <n v="108"/>
    <x v="107"/>
    <x v="7"/>
    <e v="#REF!"/>
    <e v="#REF!"/>
    <n v="6"/>
    <s v="Valorisables"/>
    <x v="5"/>
    <m/>
    <m/>
    <n v="0"/>
    <n v="0"/>
    <m/>
  </r>
  <r>
    <d v="2022-01-24T00:00:00"/>
    <n v="108"/>
    <x v="107"/>
    <x v="7"/>
    <e v="#REF!"/>
    <e v="#REF!"/>
    <n v="7"/>
    <s v="Valorisables"/>
    <x v="6"/>
    <n v="6.25"/>
    <n v="6.05"/>
    <n v="0.20000000000000018"/>
    <n v="3.676470588235298E-3"/>
    <m/>
  </r>
  <r>
    <d v="2022-01-24T00:00:00"/>
    <n v="108"/>
    <x v="107"/>
    <x v="7"/>
    <e v="#REF!"/>
    <e v="#REF!"/>
    <n v="8"/>
    <s v="Valorisables"/>
    <x v="7"/>
    <n v="84"/>
    <n v="33.900000000000006"/>
    <n v="50.099999999999994"/>
    <n v="0.92095588235294124"/>
    <m/>
  </r>
  <r>
    <d v="2022-01-24T00:00:00"/>
    <n v="108"/>
    <x v="107"/>
    <x v="7"/>
    <e v="#REF!"/>
    <e v="#REF!"/>
    <n v="9"/>
    <s v="Valorisables"/>
    <x v="8"/>
    <m/>
    <m/>
    <n v="0"/>
    <n v="0"/>
    <m/>
  </r>
  <r>
    <d v="2022-01-24T00:00:00"/>
    <n v="108"/>
    <x v="107"/>
    <x v="7"/>
    <e v="#REF!"/>
    <e v="#REF!"/>
    <n v="10"/>
    <s v="Valorisables"/>
    <x v="9"/>
    <n v="11.85"/>
    <n v="8.5500000000000007"/>
    <n v="3.2999999999999989"/>
    <n v="6.0661764705882346E-2"/>
    <m/>
  </r>
  <r>
    <d v="2022-01-24T00:00:00"/>
    <n v="108"/>
    <x v="107"/>
    <x v="7"/>
    <e v="#REF!"/>
    <e v="#REF!"/>
    <n v="11"/>
    <s v="Valorisables"/>
    <x v="10"/>
    <m/>
    <m/>
    <n v="0"/>
    <n v="0"/>
    <m/>
  </r>
  <r>
    <d v="2022-01-24T00:00:00"/>
    <n v="108"/>
    <x v="107"/>
    <x v="7"/>
    <e v="#REF!"/>
    <e v="#REF!"/>
    <n v="12"/>
    <s v="Refus"/>
    <x v="11"/>
    <n v="9.35"/>
    <n v="8.5500000000000007"/>
    <n v="0.79999999999999893"/>
    <n v="1.4705882352941159E-2"/>
    <m/>
  </r>
  <r>
    <d v="2022-01-24T00:00:00"/>
    <n v="109"/>
    <x v="108"/>
    <x v="5"/>
    <n v="25.8"/>
    <n v="25.599999999999998"/>
    <n v="1"/>
    <s v="Valorisables"/>
    <x v="0"/>
    <n v="0.05"/>
    <n v="0"/>
    <n v="0.05"/>
    <n v="1.9531250000000004E-3"/>
    <m/>
  </r>
  <r>
    <d v="2022-01-24T00:00:00"/>
    <n v="109"/>
    <x v="108"/>
    <x v="5"/>
    <n v="25.8"/>
    <n v="-7.7519379844962341E-3"/>
    <n v="2"/>
    <s v="Valorisables"/>
    <x v="1"/>
    <m/>
    <m/>
    <n v="0"/>
    <n v="0"/>
    <m/>
  </r>
  <r>
    <d v="2022-01-24T00:00:00"/>
    <n v="109"/>
    <x v="108"/>
    <x v="5"/>
    <e v="#REF!"/>
    <e v="#REF!"/>
    <n v="3"/>
    <s v="Valorisables"/>
    <x v="2"/>
    <m/>
    <m/>
    <n v="0"/>
    <n v="0"/>
    <m/>
  </r>
  <r>
    <d v="2022-01-24T00:00:00"/>
    <n v="109"/>
    <x v="108"/>
    <x v="5"/>
    <e v="#REF!"/>
    <e v="#REF!"/>
    <n v="4"/>
    <s v="Valorisables"/>
    <x v="3"/>
    <m/>
    <m/>
    <n v="0"/>
    <n v="0"/>
    <m/>
  </r>
  <r>
    <d v="2022-01-24T00:00:00"/>
    <n v="109"/>
    <x v="108"/>
    <x v="5"/>
    <e v="#REF!"/>
    <e v="#REF!"/>
    <n v="5"/>
    <s v="Valorisables"/>
    <x v="4"/>
    <m/>
    <m/>
    <n v="0"/>
    <n v="0"/>
    <m/>
  </r>
  <r>
    <d v="2022-01-24T00:00:00"/>
    <n v="109"/>
    <x v="108"/>
    <x v="5"/>
    <e v="#REF!"/>
    <e v="#REF!"/>
    <n v="6"/>
    <s v="Valorisables"/>
    <x v="5"/>
    <m/>
    <m/>
    <n v="0"/>
    <n v="0"/>
    <m/>
  </r>
  <r>
    <d v="2022-01-24T00:00:00"/>
    <n v="109"/>
    <x v="108"/>
    <x v="5"/>
    <e v="#REF!"/>
    <e v="#REF!"/>
    <n v="7"/>
    <s v="Valorisables"/>
    <x v="6"/>
    <m/>
    <m/>
    <n v="0"/>
    <n v="0"/>
    <m/>
  </r>
  <r>
    <d v="2022-01-24T00:00:00"/>
    <n v="109"/>
    <x v="108"/>
    <x v="5"/>
    <e v="#REF!"/>
    <e v="#REF!"/>
    <n v="8"/>
    <s v="Valorisables"/>
    <x v="7"/>
    <n v="1.55"/>
    <n v="0.55000000000000004"/>
    <n v="1"/>
    <n v="3.90625E-2"/>
    <m/>
  </r>
  <r>
    <d v="2022-01-24T00:00:00"/>
    <n v="109"/>
    <x v="108"/>
    <x v="5"/>
    <e v="#REF!"/>
    <e v="#REF!"/>
    <n v="9"/>
    <s v="Valorisables"/>
    <x v="8"/>
    <m/>
    <m/>
    <n v="0"/>
    <n v="0"/>
    <m/>
  </r>
  <r>
    <d v="2022-01-24T00:00:00"/>
    <n v="109"/>
    <x v="108"/>
    <x v="5"/>
    <e v="#REF!"/>
    <e v="#REF!"/>
    <n v="10"/>
    <s v="Valorisables"/>
    <x v="9"/>
    <n v="57.95"/>
    <n v="33.900000000000006"/>
    <n v="24.049999999999997"/>
    <n v="0.939453125"/>
    <m/>
  </r>
  <r>
    <d v="2022-01-24T00:00:00"/>
    <n v="109"/>
    <x v="108"/>
    <x v="5"/>
    <e v="#REF!"/>
    <e v="#REF!"/>
    <n v="11"/>
    <s v="Valorisables"/>
    <x v="10"/>
    <m/>
    <m/>
    <n v="0"/>
    <n v="0"/>
    <m/>
  </r>
  <r>
    <d v="2022-01-24T00:00:00"/>
    <n v="109"/>
    <x v="108"/>
    <x v="5"/>
    <e v="#REF!"/>
    <e v="#REF!"/>
    <n v="12"/>
    <s v="Refus"/>
    <x v="11"/>
    <n v="9"/>
    <n v="8.5"/>
    <n v="0.5"/>
    <n v="1.953125E-2"/>
    <m/>
  </r>
  <r>
    <d v="2022-01-24T00:00:00"/>
    <n v="110"/>
    <x v="109"/>
    <x v="5"/>
    <n v="34.199999999999996"/>
    <n v="34.5"/>
    <n v="1"/>
    <s v="Valorisables"/>
    <x v="0"/>
    <m/>
    <m/>
    <n v="0"/>
    <n v="0"/>
    <m/>
  </r>
  <r>
    <d v="2022-01-24T00:00:00"/>
    <n v="110"/>
    <x v="109"/>
    <x v="5"/>
    <n v="34.199999999999996"/>
    <n v="8.7719298245615297E-3"/>
    <n v="2"/>
    <s v="Valorisables"/>
    <x v="1"/>
    <m/>
    <m/>
    <n v="0"/>
    <n v="0"/>
    <m/>
  </r>
  <r>
    <d v="2022-01-24T00:00:00"/>
    <n v="110"/>
    <x v="109"/>
    <x v="5"/>
    <e v="#REF!"/>
    <e v="#REF!"/>
    <n v="3"/>
    <s v="Valorisables"/>
    <x v="2"/>
    <m/>
    <m/>
    <n v="0"/>
    <n v="0"/>
    <m/>
  </r>
  <r>
    <d v="2022-01-24T00:00:00"/>
    <n v="110"/>
    <x v="109"/>
    <x v="5"/>
    <e v="#REF!"/>
    <e v="#REF!"/>
    <n v="4"/>
    <s v="Valorisables"/>
    <x v="3"/>
    <m/>
    <m/>
    <n v="0"/>
    <n v="0"/>
    <m/>
  </r>
  <r>
    <d v="2022-01-24T00:00:00"/>
    <n v="110"/>
    <x v="109"/>
    <x v="5"/>
    <e v="#REF!"/>
    <e v="#REF!"/>
    <n v="5"/>
    <s v="Valorisables"/>
    <x v="4"/>
    <m/>
    <m/>
    <n v="0"/>
    <n v="0"/>
    <m/>
  </r>
  <r>
    <d v="2022-01-24T00:00:00"/>
    <n v="110"/>
    <x v="109"/>
    <x v="5"/>
    <e v="#REF!"/>
    <e v="#REF!"/>
    <n v="6"/>
    <s v="Valorisables"/>
    <x v="5"/>
    <m/>
    <m/>
    <n v="0"/>
    <n v="0"/>
    <m/>
  </r>
  <r>
    <d v="2022-01-24T00:00:00"/>
    <n v="110"/>
    <x v="109"/>
    <x v="5"/>
    <e v="#REF!"/>
    <e v="#REF!"/>
    <n v="7"/>
    <s v="Valorisables"/>
    <x v="6"/>
    <m/>
    <m/>
    <n v="0"/>
    <n v="0"/>
    <m/>
  </r>
  <r>
    <d v="2022-01-24T00:00:00"/>
    <n v="110"/>
    <x v="109"/>
    <x v="5"/>
    <e v="#REF!"/>
    <e v="#REF!"/>
    <n v="8"/>
    <s v="Valorisables"/>
    <x v="7"/>
    <n v="2.9"/>
    <n v="1.05"/>
    <n v="1.8499999999999999"/>
    <n v="5.3623188405797099E-2"/>
    <m/>
  </r>
  <r>
    <d v="2022-01-24T00:00:00"/>
    <n v="110"/>
    <x v="109"/>
    <x v="5"/>
    <e v="#REF!"/>
    <e v="#REF!"/>
    <n v="9"/>
    <s v="Valorisables"/>
    <x v="8"/>
    <m/>
    <m/>
    <n v="0"/>
    <n v="0"/>
    <m/>
  </r>
  <r>
    <d v="2022-01-24T00:00:00"/>
    <n v="110"/>
    <x v="109"/>
    <x v="5"/>
    <e v="#REF!"/>
    <e v="#REF!"/>
    <n v="10"/>
    <s v="Valorisables"/>
    <x v="9"/>
    <n v="74"/>
    <n v="42.45"/>
    <n v="31.549999999999997"/>
    <n v="0.91449275362318827"/>
    <m/>
  </r>
  <r>
    <d v="2022-01-24T00:00:00"/>
    <n v="110"/>
    <x v="109"/>
    <x v="5"/>
    <e v="#REF!"/>
    <e v="#REF!"/>
    <n v="11"/>
    <s v="Valorisables"/>
    <x v="10"/>
    <m/>
    <m/>
    <n v="0"/>
    <n v="0"/>
    <m/>
  </r>
  <r>
    <d v="2022-01-24T00:00:00"/>
    <n v="110"/>
    <x v="109"/>
    <x v="5"/>
    <e v="#REF!"/>
    <e v="#REF!"/>
    <n v="12"/>
    <s v="Refus"/>
    <x v="11"/>
    <n v="9.6"/>
    <n v="8.5"/>
    <n v="1.0999999999999996"/>
    <n v="3.1884057971014484E-2"/>
    <m/>
  </r>
  <r>
    <d v="2022-01-24T00:00:00"/>
    <n v="111"/>
    <x v="110"/>
    <x v="5"/>
    <n v="48"/>
    <n v="48.07"/>
    <n v="1"/>
    <s v="Valorisables"/>
    <x v="0"/>
    <m/>
    <m/>
    <n v="0"/>
    <n v="0"/>
    <m/>
  </r>
  <r>
    <d v="2022-01-24T00:00:00"/>
    <n v="111"/>
    <x v="110"/>
    <x v="5"/>
    <n v="48"/>
    <n v="1.4583333333333393E-3"/>
    <n v="2"/>
    <s v="Valorisables"/>
    <x v="1"/>
    <n v="0.6"/>
    <n v="0.55000000000000004"/>
    <n v="4.9999999999999933E-2"/>
    <n v="1.0401497815685445E-3"/>
    <m/>
  </r>
  <r>
    <d v="2022-01-24T00:00:00"/>
    <n v="111"/>
    <x v="110"/>
    <x v="5"/>
    <e v="#REF!"/>
    <e v="#REF!"/>
    <n v="3"/>
    <s v="Valorisables"/>
    <x v="2"/>
    <m/>
    <m/>
    <n v="0"/>
    <n v="0"/>
    <m/>
  </r>
  <r>
    <d v="2022-01-24T00:00:00"/>
    <n v="111"/>
    <x v="110"/>
    <x v="5"/>
    <e v="#REF!"/>
    <e v="#REF!"/>
    <n v="4"/>
    <s v="Valorisables"/>
    <x v="3"/>
    <m/>
    <m/>
    <n v="0"/>
    <n v="0"/>
    <m/>
  </r>
  <r>
    <d v="2022-01-24T00:00:00"/>
    <n v="111"/>
    <x v="110"/>
    <x v="5"/>
    <e v="#REF!"/>
    <e v="#REF!"/>
    <n v="5"/>
    <s v="Valorisables"/>
    <x v="4"/>
    <n v="0.55000000000000004"/>
    <n v="0.5"/>
    <n v="5.0000000000000044E-2"/>
    <n v="1.0401497815685468E-3"/>
    <m/>
  </r>
  <r>
    <d v="2022-01-24T00:00:00"/>
    <n v="111"/>
    <x v="110"/>
    <x v="5"/>
    <e v="#REF!"/>
    <e v="#REF!"/>
    <n v="6"/>
    <s v="Valorisables"/>
    <x v="5"/>
    <m/>
    <m/>
    <n v="0"/>
    <n v="0"/>
    <m/>
  </r>
  <r>
    <d v="2022-01-24T00:00:00"/>
    <n v="111"/>
    <x v="110"/>
    <x v="5"/>
    <e v="#REF!"/>
    <e v="#REF!"/>
    <n v="7"/>
    <s v="Valorisables"/>
    <x v="6"/>
    <m/>
    <m/>
    <n v="0"/>
    <n v="0"/>
    <m/>
  </r>
  <r>
    <d v="2022-01-24T00:00:00"/>
    <n v="111"/>
    <x v="110"/>
    <x v="5"/>
    <e v="#REF!"/>
    <e v="#REF!"/>
    <n v="8"/>
    <s v="Valorisables"/>
    <x v="7"/>
    <n v="2.65"/>
    <n v="0.5"/>
    <n v="2.15"/>
    <n v="4.4726440607447474E-2"/>
    <m/>
  </r>
  <r>
    <d v="2022-01-24T00:00:00"/>
    <n v="111"/>
    <x v="110"/>
    <x v="5"/>
    <e v="#REF!"/>
    <e v="#REF!"/>
    <n v="9"/>
    <s v="Valorisables"/>
    <x v="8"/>
    <m/>
    <m/>
    <n v="0"/>
    <n v="0"/>
    <m/>
  </r>
  <r>
    <d v="2022-01-24T00:00:00"/>
    <n v="111"/>
    <x v="110"/>
    <x v="5"/>
    <e v="#REF!"/>
    <e v="#REF!"/>
    <n v="10"/>
    <s v="Valorisables"/>
    <x v="9"/>
    <n v="86"/>
    <n v="42.5"/>
    <n v="43.5"/>
    <n v="0.90493030996463486"/>
    <m/>
  </r>
  <r>
    <d v="2022-01-24T00:00:00"/>
    <n v="111"/>
    <x v="110"/>
    <x v="5"/>
    <e v="#REF!"/>
    <e v="#REF!"/>
    <n v="11"/>
    <s v="Valorisables"/>
    <x v="10"/>
    <n v="0.02"/>
    <n v="0"/>
    <n v="0.02"/>
    <n v="4.1605991262741833E-4"/>
    <m/>
  </r>
  <r>
    <d v="2022-01-24T00:00:00"/>
    <n v="111"/>
    <x v="110"/>
    <x v="5"/>
    <e v="#REF!"/>
    <e v="#REF!"/>
    <n v="12"/>
    <s v="Refus"/>
    <x v="11"/>
    <n v="10.6"/>
    <n v="8.3000000000000007"/>
    <n v="2.2999999999999989"/>
    <n v="4.7846889952153089E-2"/>
    <m/>
  </r>
  <r>
    <d v="2022-01-24T00:00:00"/>
    <n v="112"/>
    <x v="111"/>
    <x v="4"/>
    <n v="18"/>
    <n v="17.88"/>
    <n v="1"/>
    <s v="Valorisables"/>
    <x v="0"/>
    <n v="67.95"/>
    <n v="50.95"/>
    <n v="17"/>
    <n v="0.95078299776286357"/>
    <m/>
  </r>
  <r>
    <d v="2022-01-24T00:00:00"/>
    <n v="112"/>
    <x v="111"/>
    <x v="4"/>
    <n v="18"/>
    <n v="-6.6666666666667217E-3"/>
    <n v="2"/>
    <s v="Valorisables"/>
    <x v="1"/>
    <n v="1.2"/>
    <n v="0.55000000000000004"/>
    <n v="0.64999999999999991"/>
    <n v="3.6353467561521247E-2"/>
    <m/>
  </r>
  <r>
    <d v="2022-01-24T00:00:00"/>
    <n v="112"/>
    <x v="111"/>
    <x v="4"/>
    <e v="#REF!"/>
    <e v="#REF!"/>
    <n v="3"/>
    <s v="Valorisables"/>
    <x v="2"/>
    <m/>
    <m/>
    <n v="0"/>
    <n v="0"/>
    <m/>
  </r>
  <r>
    <d v="2022-01-24T00:00:00"/>
    <n v="112"/>
    <x v="111"/>
    <x v="4"/>
    <e v="#REF!"/>
    <e v="#REF!"/>
    <n v="4"/>
    <s v="Valorisables"/>
    <x v="3"/>
    <m/>
    <m/>
    <n v="0"/>
    <n v="0"/>
    <m/>
  </r>
  <r>
    <d v="2022-01-24T00:00:00"/>
    <n v="112"/>
    <x v="111"/>
    <x v="4"/>
    <e v="#REF!"/>
    <e v="#REF!"/>
    <n v="5"/>
    <s v="Valorisables"/>
    <x v="4"/>
    <n v="0.03"/>
    <n v="0"/>
    <n v="0.03"/>
    <n v="1.6778523489932886E-3"/>
    <m/>
  </r>
  <r>
    <d v="2022-01-24T00:00:00"/>
    <n v="112"/>
    <x v="111"/>
    <x v="4"/>
    <e v="#REF!"/>
    <e v="#REF!"/>
    <n v="6"/>
    <s v="Valorisables"/>
    <x v="5"/>
    <m/>
    <m/>
    <n v="0"/>
    <n v="0"/>
    <m/>
  </r>
  <r>
    <d v="2022-01-24T00:00:00"/>
    <n v="112"/>
    <x v="111"/>
    <x v="4"/>
    <e v="#REF!"/>
    <e v="#REF!"/>
    <n v="7"/>
    <s v="Valorisables"/>
    <x v="6"/>
    <m/>
    <m/>
    <n v="0"/>
    <n v="0"/>
    <m/>
  </r>
  <r>
    <d v="2022-01-24T00:00:00"/>
    <n v="112"/>
    <x v="111"/>
    <x v="4"/>
    <e v="#REF!"/>
    <e v="#REF!"/>
    <n v="8"/>
    <s v="Valorisables"/>
    <x v="7"/>
    <m/>
    <m/>
    <n v="0"/>
    <n v="0"/>
    <m/>
  </r>
  <r>
    <d v="2022-01-24T00:00:00"/>
    <n v="112"/>
    <x v="111"/>
    <x v="4"/>
    <e v="#REF!"/>
    <e v="#REF!"/>
    <n v="9"/>
    <s v="Valorisables"/>
    <x v="8"/>
    <m/>
    <m/>
    <n v="0"/>
    <n v="0"/>
    <m/>
  </r>
  <r>
    <d v="2022-01-24T00:00:00"/>
    <n v="112"/>
    <x v="111"/>
    <x v="4"/>
    <e v="#REF!"/>
    <e v="#REF!"/>
    <n v="10"/>
    <s v="Valorisables"/>
    <x v="9"/>
    <n v="0.55000000000000004"/>
    <n v="0.5"/>
    <n v="5.0000000000000044E-2"/>
    <n v="2.7964205816554837E-3"/>
    <m/>
  </r>
  <r>
    <d v="2022-01-24T00:00:00"/>
    <n v="112"/>
    <x v="111"/>
    <x v="4"/>
    <e v="#REF!"/>
    <e v="#REF!"/>
    <n v="11"/>
    <s v="Valorisables"/>
    <x v="10"/>
    <m/>
    <m/>
    <n v="0"/>
    <n v="0"/>
    <m/>
  </r>
  <r>
    <d v="2022-01-24T00:00:00"/>
    <n v="112"/>
    <x v="111"/>
    <x v="4"/>
    <e v="#REF!"/>
    <e v="#REF!"/>
    <n v="12"/>
    <s v="Refus"/>
    <x v="11"/>
    <n v="0.7"/>
    <n v="0.55000000000000004"/>
    <n v="0.14999999999999991"/>
    <n v="8.3892617449664378E-3"/>
    <m/>
  </r>
  <r>
    <d v="2022-01-25T00:00:00"/>
    <n v="113"/>
    <x v="112"/>
    <x v="4"/>
    <n v="16.400000000000002"/>
    <n v="16.349999999999987"/>
    <n v="1"/>
    <s v="Valorisables"/>
    <x v="0"/>
    <n v="57.349999999999994"/>
    <n v="42.150000000000006"/>
    <n v="15.199999999999989"/>
    <n v="0.92966360856269115"/>
    <m/>
  </r>
  <r>
    <d v="2022-01-25T00:00:00"/>
    <n v="113"/>
    <x v="112"/>
    <x v="4"/>
    <n v="16.400000000000002"/>
    <n v="-3.0487804878057876E-3"/>
    <n v="2"/>
    <s v="Valorisables"/>
    <x v="1"/>
    <n v="1.75"/>
    <n v="1.05"/>
    <n v="0.7"/>
    <n v="4.2813455657492387E-2"/>
    <m/>
  </r>
  <r>
    <d v="2022-01-25T00:00:00"/>
    <n v="113"/>
    <x v="112"/>
    <x v="4"/>
    <e v="#REF!"/>
    <e v="#REF!"/>
    <n v="3"/>
    <s v="Valorisables"/>
    <x v="2"/>
    <m/>
    <m/>
    <n v="0"/>
    <n v="0"/>
    <m/>
  </r>
  <r>
    <d v="2022-01-25T00:00:00"/>
    <n v="113"/>
    <x v="112"/>
    <x v="4"/>
    <e v="#REF!"/>
    <e v="#REF!"/>
    <n v="4"/>
    <s v="Valorisables"/>
    <x v="3"/>
    <m/>
    <m/>
    <n v="0"/>
    <n v="0"/>
    <m/>
  </r>
  <r>
    <d v="2022-01-25T00:00:00"/>
    <n v="113"/>
    <x v="112"/>
    <x v="4"/>
    <e v="#REF!"/>
    <e v="#REF!"/>
    <n v="5"/>
    <s v="Valorisables"/>
    <x v="4"/>
    <m/>
    <m/>
    <n v="0"/>
    <n v="0"/>
    <m/>
  </r>
  <r>
    <d v="2022-01-25T00:00:00"/>
    <n v="113"/>
    <x v="112"/>
    <x v="4"/>
    <e v="#REF!"/>
    <e v="#REF!"/>
    <n v="6"/>
    <s v="Valorisables"/>
    <x v="5"/>
    <m/>
    <m/>
    <n v="0"/>
    <n v="0"/>
    <m/>
  </r>
  <r>
    <d v="2022-01-25T00:00:00"/>
    <n v="113"/>
    <x v="112"/>
    <x v="4"/>
    <e v="#REF!"/>
    <e v="#REF!"/>
    <n v="7"/>
    <s v="Valorisables"/>
    <x v="6"/>
    <m/>
    <m/>
    <n v="0"/>
    <n v="0"/>
    <m/>
  </r>
  <r>
    <d v="2022-01-25T00:00:00"/>
    <n v="113"/>
    <x v="112"/>
    <x v="4"/>
    <e v="#REF!"/>
    <e v="#REF!"/>
    <n v="8"/>
    <s v="Valorisables"/>
    <x v="7"/>
    <m/>
    <m/>
    <n v="0"/>
    <n v="0"/>
    <m/>
  </r>
  <r>
    <d v="2022-01-25T00:00:00"/>
    <n v="113"/>
    <x v="112"/>
    <x v="4"/>
    <e v="#REF!"/>
    <e v="#REF!"/>
    <n v="9"/>
    <s v="Valorisables"/>
    <x v="8"/>
    <m/>
    <m/>
    <n v="0"/>
    <n v="0"/>
    <m/>
  </r>
  <r>
    <d v="2022-01-25T00:00:00"/>
    <n v="113"/>
    <x v="112"/>
    <x v="4"/>
    <e v="#REF!"/>
    <e v="#REF!"/>
    <n v="10"/>
    <s v="Valorisables"/>
    <x v="9"/>
    <m/>
    <m/>
    <n v="0"/>
    <n v="0"/>
    <m/>
  </r>
  <r>
    <d v="2022-01-25T00:00:00"/>
    <n v="113"/>
    <x v="112"/>
    <x v="4"/>
    <e v="#REF!"/>
    <e v="#REF!"/>
    <n v="11"/>
    <s v="Valorisables"/>
    <x v="10"/>
    <m/>
    <m/>
    <n v="0"/>
    <n v="0"/>
    <m/>
  </r>
  <r>
    <d v="2022-01-25T00:00:00"/>
    <n v="113"/>
    <x v="112"/>
    <x v="4"/>
    <e v="#REF!"/>
    <e v="#REF!"/>
    <n v="12"/>
    <s v="Refus"/>
    <x v="11"/>
    <n v="1.55"/>
    <n v="1.1000000000000001"/>
    <n v="0.44999999999999996"/>
    <n v="2.7522935779816533E-2"/>
    <m/>
  </r>
  <r>
    <d v="2022-01-25T00:00:00"/>
    <n v="114"/>
    <x v="113"/>
    <x v="12"/>
    <n v="15"/>
    <n v="14.999999999999991"/>
    <n v="1"/>
    <s v="Valorisables"/>
    <x v="0"/>
    <m/>
    <m/>
    <n v="0"/>
    <n v="0"/>
    <m/>
  </r>
  <r>
    <d v="2022-01-25T00:00:00"/>
    <n v="114"/>
    <x v="113"/>
    <x v="12"/>
    <n v="15"/>
    <n v="-5.9211894646675012E-16"/>
    <n v="2"/>
    <s v="Valorisables"/>
    <x v="1"/>
    <n v="0.6"/>
    <n v="0.5"/>
    <n v="9.9999999999999978E-2"/>
    <n v="6.6666666666666688E-3"/>
    <m/>
  </r>
  <r>
    <d v="2022-01-25T00:00:00"/>
    <n v="114"/>
    <x v="113"/>
    <x v="12"/>
    <e v="#REF!"/>
    <e v="#REF!"/>
    <n v="3"/>
    <s v="Valorisables"/>
    <x v="2"/>
    <m/>
    <m/>
    <n v="0"/>
    <n v="0"/>
    <m/>
  </r>
  <r>
    <d v="2022-01-25T00:00:00"/>
    <n v="114"/>
    <x v="113"/>
    <x v="12"/>
    <e v="#REF!"/>
    <e v="#REF!"/>
    <n v="4"/>
    <s v="Valorisables"/>
    <x v="3"/>
    <m/>
    <m/>
    <n v="0"/>
    <n v="0"/>
    <m/>
  </r>
  <r>
    <d v="2022-01-25T00:00:00"/>
    <n v="114"/>
    <x v="113"/>
    <x v="12"/>
    <e v="#REF!"/>
    <e v="#REF!"/>
    <n v="5"/>
    <s v="Valorisables"/>
    <x v="4"/>
    <m/>
    <m/>
    <n v="0"/>
    <n v="0"/>
    <m/>
  </r>
  <r>
    <d v="2022-01-25T00:00:00"/>
    <n v="114"/>
    <x v="113"/>
    <x v="12"/>
    <e v="#REF!"/>
    <e v="#REF!"/>
    <n v="6"/>
    <s v="Valorisables"/>
    <x v="5"/>
    <m/>
    <m/>
    <n v="0"/>
    <n v="0"/>
    <m/>
  </r>
  <r>
    <d v="2022-01-25T00:00:00"/>
    <n v="114"/>
    <x v="113"/>
    <x v="12"/>
    <e v="#REF!"/>
    <e v="#REF!"/>
    <n v="7"/>
    <s v="Valorisables"/>
    <x v="6"/>
    <m/>
    <m/>
    <n v="0"/>
    <n v="0"/>
    <m/>
  </r>
  <r>
    <d v="2022-01-25T00:00:00"/>
    <n v="114"/>
    <x v="113"/>
    <x v="12"/>
    <e v="#REF!"/>
    <e v="#REF!"/>
    <n v="8"/>
    <s v="Valorisables"/>
    <x v="7"/>
    <n v="0.55000000000000004"/>
    <n v="0.5"/>
    <n v="5.0000000000000044E-2"/>
    <n v="3.3333333333333383E-3"/>
    <m/>
  </r>
  <r>
    <d v="2022-01-25T00:00:00"/>
    <n v="114"/>
    <x v="113"/>
    <x v="12"/>
    <e v="#REF!"/>
    <e v="#REF!"/>
    <n v="9"/>
    <s v="Valorisables"/>
    <x v="8"/>
    <n v="0.6"/>
    <n v="0.5"/>
    <n v="9.9999999999999978E-2"/>
    <n v="6.6666666666666688E-3"/>
    <m/>
  </r>
  <r>
    <d v="2022-01-25T00:00:00"/>
    <n v="114"/>
    <x v="113"/>
    <x v="12"/>
    <e v="#REF!"/>
    <e v="#REF!"/>
    <n v="10"/>
    <s v="Valorisables"/>
    <x v="9"/>
    <n v="1.65"/>
    <n v="0.55000000000000004"/>
    <n v="1.0999999999999999"/>
    <n v="7.3333333333333361E-2"/>
    <m/>
  </r>
  <r>
    <d v="2022-01-25T00:00:00"/>
    <n v="114"/>
    <x v="113"/>
    <x v="12"/>
    <e v="#REF!"/>
    <e v="#REF!"/>
    <n v="11"/>
    <s v="Valorisables"/>
    <x v="10"/>
    <n v="44.25"/>
    <n v="33.650000000000006"/>
    <n v="10.599999999999994"/>
    <n v="0.70666666666666667"/>
    <m/>
  </r>
  <r>
    <d v="2022-01-25T00:00:00"/>
    <n v="114"/>
    <x v="113"/>
    <x v="12"/>
    <e v="#REF!"/>
    <e v="#REF!"/>
    <n v="12"/>
    <s v="Refus"/>
    <x v="11"/>
    <n v="20.149999999999999"/>
    <n v="17.100000000000001"/>
    <n v="3.0499999999999972"/>
    <n v="0.20333333333333325"/>
    <s v="films plastiques non valo principalement"/>
  </r>
  <r>
    <d v="2022-01-25T00:00:00"/>
    <n v="115"/>
    <x v="114"/>
    <x v="12"/>
    <n v="12.8"/>
    <n v="12.749999999999993"/>
    <n v="1"/>
    <s v="Valorisables"/>
    <x v="0"/>
    <n v="0.6"/>
    <n v="0.55000000000000004"/>
    <n v="4.9999999999999933E-2"/>
    <n v="3.9215686274509777E-3"/>
    <m/>
  </r>
  <r>
    <d v="2022-01-25T00:00:00"/>
    <n v="115"/>
    <x v="114"/>
    <x v="12"/>
    <n v="12.8"/>
    <n v="-3.9062500000006106E-3"/>
    <n v="2"/>
    <s v="Valorisables"/>
    <x v="1"/>
    <n v="2"/>
    <n v="1.1000000000000001"/>
    <n v="0.89999999999999991"/>
    <n v="7.0588235294117674E-2"/>
    <m/>
  </r>
  <r>
    <d v="2022-01-25T00:00:00"/>
    <n v="115"/>
    <x v="114"/>
    <x v="12"/>
    <e v="#REF!"/>
    <e v="#REF!"/>
    <n v="3"/>
    <s v="Valorisables"/>
    <x v="2"/>
    <n v="1.1000000000000001"/>
    <n v="0.5"/>
    <n v="0.60000000000000009"/>
    <n v="4.7058823529411799E-2"/>
    <m/>
  </r>
  <r>
    <d v="2022-01-25T00:00:00"/>
    <n v="115"/>
    <x v="114"/>
    <x v="12"/>
    <e v="#REF!"/>
    <e v="#REF!"/>
    <n v="4"/>
    <s v="Valorisables"/>
    <x v="3"/>
    <m/>
    <m/>
    <n v="0"/>
    <n v="0"/>
    <m/>
  </r>
  <r>
    <d v="2022-01-25T00:00:00"/>
    <n v="115"/>
    <x v="114"/>
    <x v="12"/>
    <e v="#REF!"/>
    <e v="#REF!"/>
    <n v="5"/>
    <s v="Valorisables"/>
    <x v="4"/>
    <n v="0.6"/>
    <n v="0.55000000000000004"/>
    <n v="4.9999999999999933E-2"/>
    <n v="3.9215686274509777E-3"/>
    <m/>
  </r>
  <r>
    <d v="2022-01-25T00:00:00"/>
    <n v="115"/>
    <x v="114"/>
    <x v="12"/>
    <e v="#REF!"/>
    <e v="#REF!"/>
    <n v="6"/>
    <s v="Valorisables"/>
    <x v="5"/>
    <m/>
    <m/>
    <n v="0"/>
    <n v="0"/>
    <m/>
  </r>
  <r>
    <d v="2022-01-25T00:00:00"/>
    <n v="115"/>
    <x v="114"/>
    <x v="12"/>
    <e v="#REF!"/>
    <e v="#REF!"/>
    <n v="7"/>
    <s v="Valorisables"/>
    <x v="6"/>
    <m/>
    <m/>
    <n v="0"/>
    <n v="0"/>
    <m/>
  </r>
  <r>
    <d v="2022-01-25T00:00:00"/>
    <n v="115"/>
    <x v="114"/>
    <x v="12"/>
    <e v="#REF!"/>
    <e v="#REF!"/>
    <n v="8"/>
    <s v="Valorisables"/>
    <x v="7"/>
    <n v="0.6"/>
    <n v="0.55000000000000004"/>
    <n v="4.9999999999999933E-2"/>
    <n v="3.9215686274509777E-3"/>
    <m/>
  </r>
  <r>
    <d v="2022-01-25T00:00:00"/>
    <n v="115"/>
    <x v="114"/>
    <x v="12"/>
    <e v="#REF!"/>
    <e v="#REF!"/>
    <n v="9"/>
    <s v="Valorisables"/>
    <x v="8"/>
    <m/>
    <m/>
    <n v="0"/>
    <n v="0"/>
    <m/>
  </r>
  <r>
    <d v="2022-01-25T00:00:00"/>
    <n v="115"/>
    <x v="114"/>
    <x v="12"/>
    <e v="#REF!"/>
    <e v="#REF!"/>
    <n v="10"/>
    <s v="Valorisables"/>
    <x v="9"/>
    <n v="0.8"/>
    <n v="0.55000000000000004"/>
    <n v="0.25"/>
    <n v="1.9607843137254912E-2"/>
    <m/>
  </r>
  <r>
    <d v="2022-01-25T00:00:00"/>
    <n v="115"/>
    <x v="114"/>
    <x v="12"/>
    <e v="#REF!"/>
    <e v="#REF!"/>
    <n v="11"/>
    <s v="Valorisables"/>
    <x v="10"/>
    <n v="42.55"/>
    <n v="33.950000000000003"/>
    <n v="8.5999999999999943"/>
    <n v="0.67450980392156856"/>
    <m/>
  </r>
  <r>
    <d v="2022-01-25T00:00:00"/>
    <n v="115"/>
    <x v="114"/>
    <x v="12"/>
    <e v="#REF!"/>
    <e v="#REF!"/>
    <n v="12"/>
    <s v="Refus"/>
    <x v="11"/>
    <n v="19.05"/>
    <n v="16.8"/>
    <n v="2.25"/>
    <n v="0.17647058823529421"/>
    <m/>
  </r>
  <r>
    <d v="2022-01-25T00:00:00"/>
    <n v="116"/>
    <x v="115"/>
    <x v="9"/>
    <n v="31.000000000000004"/>
    <n v="31.55"/>
    <n v="1"/>
    <s v="Valorisables"/>
    <x v="0"/>
    <m/>
    <m/>
    <n v="0"/>
    <n v="0"/>
    <m/>
  </r>
  <r>
    <d v="2022-01-25T00:00:00"/>
    <n v="116"/>
    <x v="115"/>
    <x v="9"/>
    <n v="31.000000000000004"/>
    <n v="1.7741935483870874E-2"/>
    <n v="2"/>
    <s v="Valorisables"/>
    <x v="1"/>
    <n v="0.95"/>
    <n v="0.55000000000000004"/>
    <n v="0.39999999999999991"/>
    <n v="1.2678288431061804E-2"/>
    <m/>
  </r>
  <r>
    <d v="2022-01-25T00:00:00"/>
    <n v="116"/>
    <x v="115"/>
    <x v="9"/>
    <e v="#REF!"/>
    <e v="#REF!"/>
    <n v="3"/>
    <s v="Valorisables"/>
    <x v="2"/>
    <n v="1.4"/>
    <n v="1.1000000000000001"/>
    <n v="0.29999999999999982"/>
    <n v="9.5087163232963484E-3"/>
    <m/>
  </r>
  <r>
    <d v="2022-01-25T00:00:00"/>
    <n v="116"/>
    <x v="115"/>
    <x v="9"/>
    <e v="#REF!"/>
    <e v="#REF!"/>
    <n v="4"/>
    <s v="Valorisables"/>
    <x v="3"/>
    <n v="62.45"/>
    <n v="33.950000000000003"/>
    <n v="28.5"/>
    <n v="0.9033280507131537"/>
    <m/>
  </r>
  <r>
    <d v="2022-01-25T00:00:00"/>
    <n v="116"/>
    <x v="115"/>
    <x v="9"/>
    <e v="#REF!"/>
    <e v="#REF!"/>
    <n v="5"/>
    <s v="Valorisables"/>
    <x v="4"/>
    <m/>
    <m/>
    <n v="0"/>
    <n v="0"/>
    <m/>
  </r>
  <r>
    <d v="2022-01-25T00:00:00"/>
    <n v="116"/>
    <x v="115"/>
    <x v="9"/>
    <e v="#REF!"/>
    <e v="#REF!"/>
    <n v="6"/>
    <s v="Valorisables"/>
    <x v="5"/>
    <m/>
    <m/>
    <n v="0"/>
    <n v="0"/>
    <m/>
  </r>
  <r>
    <d v="2022-01-25T00:00:00"/>
    <n v="116"/>
    <x v="115"/>
    <x v="9"/>
    <e v="#REF!"/>
    <e v="#REF!"/>
    <n v="7"/>
    <s v="Valorisables"/>
    <x v="6"/>
    <m/>
    <m/>
    <n v="0"/>
    <n v="0"/>
    <m/>
  </r>
  <r>
    <d v="2022-01-25T00:00:00"/>
    <n v="116"/>
    <x v="115"/>
    <x v="9"/>
    <e v="#REF!"/>
    <e v="#REF!"/>
    <n v="8"/>
    <s v="Valorisables"/>
    <x v="7"/>
    <n v="0.6"/>
    <n v="0.55000000000000004"/>
    <n v="4.9999999999999933E-2"/>
    <n v="1.5847860538827237E-3"/>
    <m/>
  </r>
  <r>
    <d v="2022-01-25T00:00:00"/>
    <n v="116"/>
    <x v="115"/>
    <x v="9"/>
    <e v="#REF!"/>
    <e v="#REF!"/>
    <n v="9"/>
    <s v="Valorisables"/>
    <x v="8"/>
    <m/>
    <m/>
    <n v="0"/>
    <n v="0"/>
    <m/>
  </r>
  <r>
    <d v="2022-01-25T00:00:00"/>
    <n v="116"/>
    <x v="115"/>
    <x v="9"/>
    <e v="#REF!"/>
    <e v="#REF!"/>
    <n v="10"/>
    <s v="Valorisables"/>
    <x v="9"/>
    <n v="1.1499999999999999"/>
    <n v="0.55000000000000004"/>
    <n v="0.59999999999999987"/>
    <n v="1.9017432646592704E-2"/>
    <m/>
  </r>
  <r>
    <d v="2022-01-25T00:00:00"/>
    <n v="116"/>
    <x v="115"/>
    <x v="9"/>
    <e v="#REF!"/>
    <e v="#REF!"/>
    <n v="11"/>
    <s v="Valorisables"/>
    <x v="10"/>
    <n v="0.55000000000000004"/>
    <n v="0.5"/>
    <n v="5.0000000000000044E-2"/>
    <n v="1.5847860538827272E-3"/>
    <m/>
  </r>
  <r>
    <d v="2022-01-25T00:00:00"/>
    <n v="116"/>
    <x v="115"/>
    <x v="9"/>
    <e v="#REF!"/>
    <e v="#REF!"/>
    <n v="12"/>
    <s v="Refus"/>
    <x v="11"/>
    <n v="9.9499999999999993"/>
    <n v="8.3000000000000007"/>
    <n v="1.6499999999999986"/>
    <n v="5.2297939778129909E-2"/>
    <m/>
  </r>
  <r>
    <d v="2022-01-25T00:00:00"/>
    <n v="117"/>
    <x v="116"/>
    <x v="14"/>
    <n v="34"/>
    <n v="33.949999999999996"/>
    <n v="1"/>
    <s v="Valorisables"/>
    <x v="0"/>
    <n v="1"/>
    <n v="0.55000000000000004"/>
    <n v="0.44999999999999996"/>
    <n v="1.3254786450662739E-2"/>
    <m/>
  </r>
  <r>
    <d v="2022-01-25T00:00:00"/>
    <n v="117"/>
    <x v="116"/>
    <x v="14"/>
    <n v="34"/>
    <n v="-1.470588235294243E-3"/>
    <n v="2"/>
    <s v="Valorisables"/>
    <x v="1"/>
    <n v="0.65"/>
    <n v="0.55000000000000004"/>
    <n v="9.9999999999999978E-2"/>
    <n v="2.9455081001472749E-3"/>
    <m/>
  </r>
  <r>
    <d v="2022-01-25T00:00:00"/>
    <n v="117"/>
    <x v="116"/>
    <x v="14"/>
    <e v="#REF!"/>
    <e v="#REF!"/>
    <n v="3"/>
    <s v="Valorisables"/>
    <x v="2"/>
    <n v="1.25"/>
    <n v="0.55000000000000004"/>
    <n v="0.7"/>
    <n v="2.0618556701030927E-2"/>
    <m/>
  </r>
  <r>
    <d v="2022-01-25T00:00:00"/>
    <n v="117"/>
    <x v="116"/>
    <x v="14"/>
    <e v="#REF!"/>
    <e v="#REF!"/>
    <n v="4"/>
    <s v="Valorisables"/>
    <x v="3"/>
    <n v="2.2000000000000002"/>
    <n v="0.5"/>
    <n v="1.7000000000000002"/>
    <n v="5.0073637702503691E-2"/>
    <m/>
  </r>
  <r>
    <d v="2022-01-25T00:00:00"/>
    <n v="117"/>
    <x v="116"/>
    <x v="14"/>
    <e v="#REF!"/>
    <e v="#REF!"/>
    <n v="5"/>
    <s v="Valorisables"/>
    <x v="4"/>
    <n v="68.55"/>
    <n v="42.2"/>
    <n v="26.349999999999994"/>
    <n v="0.77614138438880698"/>
    <m/>
  </r>
  <r>
    <d v="2022-01-25T00:00:00"/>
    <n v="117"/>
    <x v="116"/>
    <x v="14"/>
    <e v="#REF!"/>
    <e v="#REF!"/>
    <n v="6"/>
    <s v="Valorisables"/>
    <x v="5"/>
    <n v="0.6"/>
    <n v="0.5"/>
    <n v="9.9999999999999978E-2"/>
    <n v="2.9455081001472749E-3"/>
    <m/>
  </r>
  <r>
    <d v="2022-01-25T00:00:00"/>
    <n v="117"/>
    <x v="116"/>
    <x v="14"/>
    <e v="#REF!"/>
    <e v="#REF!"/>
    <n v="7"/>
    <s v="Valorisables"/>
    <x v="6"/>
    <m/>
    <m/>
    <n v="0"/>
    <n v="0"/>
    <m/>
  </r>
  <r>
    <d v="2022-01-25T00:00:00"/>
    <n v="117"/>
    <x v="116"/>
    <x v="14"/>
    <e v="#REF!"/>
    <e v="#REF!"/>
    <n v="8"/>
    <s v="Valorisables"/>
    <x v="7"/>
    <n v="0.7"/>
    <n v="0.5"/>
    <n v="0.19999999999999996"/>
    <n v="5.8910162002945498E-3"/>
    <m/>
  </r>
  <r>
    <d v="2022-01-25T00:00:00"/>
    <n v="117"/>
    <x v="116"/>
    <x v="14"/>
    <e v="#REF!"/>
    <e v="#REF!"/>
    <n v="9"/>
    <s v="Valorisables"/>
    <x v="8"/>
    <m/>
    <m/>
    <n v="0"/>
    <n v="0"/>
    <m/>
  </r>
  <r>
    <d v="2022-01-25T00:00:00"/>
    <n v="117"/>
    <x v="116"/>
    <x v="14"/>
    <e v="#REF!"/>
    <e v="#REF!"/>
    <n v="10"/>
    <s v="Valorisables"/>
    <x v="9"/>
    <n v="1.65"/>
    <n v="0.55000000000000004"/>
    <n v="1.0999999999999999"/>
    <n v="3.2400589101620032E-2"/>
    <m/>
  </r>
  <r>
    <d v="2022-01-25T00:00:00"/>
    <n v="117"/>
    <x v="116"/>
    <x v="14"/>
    <e v="#REF!"/>
    <e v="#REF!"/>
    <n v="11"/>
    <s v="Valorisables"/>
    <x v="10"/>
    <n v="0.6"/>
    <n v="0.55000000000000004"/>
    <n v="4.9999999999999933E-2"/>
    <n v="1.4727540500736359E-3"/>
    <m/>
  </r>
  <r>
    <d v="2022-01-25T00:00:00"/>
    <n v="117"/>
    <x v="116"/>
    <x v="14"/>
    <e v="#REF!"/>
    <e v="#REF!"/>
    <n v="12"/>
    <s v="Refus"/>
    <x v="11"/>
    <n v="12.05"/>
    <n v="8.8500000000000014"/>
    <n v="3.1999999999999993"/>
    <n v="9.4256259204712797E-2"/>
    <m/>
  </r>
  <r>
    <d v="2022-01-25T00:00:00"/>
    <n v="118"/>
    <x v="117"/>
    <x v="10"/>
    <n v="32.799999999999997"/>
    <n v="33.15"/>
    <n v="1"/>
    <s v="Valorisables"/>
    <x v="0"/>
    <n v="0.7"/>
    <n v="0.5"/>
    <n v="0.19999999999999996"/>
    <n v="6.0331825037707376E-3"/>
    <m/>
  </r>
  <r>
    <d v="2022-01-25T00:00:00"/>
    <n v="118"/>
    <x v="117"/>
    <x v="10"/>
    <n v="32.799999999999997"/>
    <n v="1.0670731707317117E-2"/>
    <n v="2"/>
    <s v="Valorisables"/>
    <x v="1"/>
    <n v="1.35"/>
    <n v="0.55000000000000004"/>
    <n v="0.8"/>
    <n v="2.4132730015082957E-2"/>
    <m/>
  </r>
  <r>
    <d v="2022-01-25T00:00:00"/>
    <n v="118"/>
    <x v="117"/>
    <x v="10"/>
    <e v="#REF!"/>
    <e v="#REF!"/>
    <n v="3"/>
    <s v="Valorisables"/>
    <x v="2"/>
    <n v="89.3"/>
    <n v="58.8"/>
    <n v="30.5"/>
    <n v="0.92006033182503777"/>
    <m/>
  </r>
  <r>
    <d v="2022-01-25T00:00:00"/>
    <n v="118"/>
    <x v="117"/>
    <x v="10"/>
    <e v="#REF!"/>
    <e v="#REF!"/>
    <n v="4"/>
    <s v="Valorisables"/>
    <x v="3"/>
    <n v="0.1"/>
    <n v="0"/>
    <n v="0.1"/>
    <n v="3.0165912518853697E-3"/>
    <m/>
  </r>
  <r>
    <d v="2022-01-25T00:00:00"/>
    <n v="118"/>
    <x v="117"/>
    <x v="10"/>
    <e v="#REF!"/>
    <e v="#REF!"/>
    <n v="5"/>
    <s v="Valorisables"/>
    <x v="4"/>
    <n v="0.6"/>
    <n v="0.55000000000000004"/>
    <n v="4.9999999999999933E-2"/>
    <n v="1.5082956259426829E-3"/>
    <m/>
  </r>
  <r>
    <d v="2022-01-25T00:00:00"/>
    <n v="118"/>
    <x v="117"/>
    <x v="10"/>
    <e v="#REF!"/>
    <e v="#REF!"/>
    <n v="6"/>
    <s v="Valorisables"/>
    <x v="5"/>
    <m/>
    <m/>
    <n v="0"/>
    <n v="0"/>
    <m/>
  </r>
  <r>
    <d v="2022-01-25T00:00:00"/>
    <n v="118"/>
    <x v="117"/>
    <x v="10"/>
    <e v="#REF!"/>
    <e v="#REF!"/>
    <n v="7"/>
    <s v="Valorisables"/>
    <x v="6"/>
    <m/>
    <m/>
    <n v="0"/>
    <n v="0"/>
    <m/>
  </r>
  <r>
    <d v="2022-01-25T00:00:00"/>
    <n v="118"/>
    <x v="117"/>
    <x v="10"/>
    <e v="#REF!"/>
    <e v="#REF!"/>
    <n v="8"/>
    <s v="Valorisables"/>
    <x v="7"/>
    <m/>
    <m/>
    <n v="0"/>
    <n v="0"/>
    <m/>
  </r>
  <r>
    <d v="2022-01-25T00:00:00"/>
    <n v="118"/>
    <x v="117"/>
    <x v="10"/>
    <e v="#REF!"/>
    <e v="#REF!"/>
    <n v="9"/>
    <s v="Valorisables"/>
    <x v="8"/>
    <m/>
    <m/>
    <n v="0"/>
    <n v="0"/>
    <m/>
  </r>
  <r>
    <d v="2022-01-25T00:00:00"/>
    <n v="118"/>
    <x v="117"/>
    <x v="10"/>
    <e v="#REF!"/>
    <e v="#REF!"/>
    <n v="10"/>
    <s v="Valorisables"/>
    <x v="9"/>
    <n v="0.75"/>
    <n v="0.55000000000000004"/>
    <n v="0.19999999999999996"/>
    <n v="6.0331825037707376E-3"/>
    <m/>
  </r>
  <r>
    <d v="2022-01-25T00:00:00"/>
    <n v="118"/>
    <x v="117"/>
    <x v="10"/>
    <e v="#REF!"/>
    <e v="#REF!"/>
    <n v="11"/>
    <s v="Valorisables"/>
    <x v="10"/>
    <m/>
    <m/>
    <n v="0"/>
    <n v="0"/>
    <m/>
  </r>
  <r>
    <d v="2022-01-25T00:00:00"/>
    <n v="118"/>
    <x v="117"/>
    <x v="10"/>
    <e v="#REF!"/>
    <e v="#REF!"/>
    <n v="12"/>
    <s v="Refus"/>
    <x v="11"/>
    <n v="2.4"/>
    <n v="1.1000000000000001"/>
    <n v="1.2999999999999998"/>
    <n v="3.9215686274509803E-2"/>
    <m/>
  </r>
  <r>
    <d v="2022-01-25T00:00:00"/>
    <n v="119"/>
    <x v="118"/>
    <x v="11"/>
    <n v="22.400000000000002"/>
    <n v="22.350000000000009"/>
    <n v="1"/>
    <s v="Valorisables"/>
    <x v="0"/>
    <n v="0.75"/>
    <n v="0.55000000000000004"/>
    <n v="0.19999999999999996"/>
    <n v="8.9485458612975338E-3"/>
    <m/>
  </r>
  <r>
    <d v="2022-01-25T00:00:00"/>
    <n v="119"/>
    <x v="118"/>
    <x v="11"/>
    <n v="22.400000000000002"/>
    <n v="-2.2321428571425717E-3"/>
    <n v="2"/>
    <s v="Valorisables"/>
    <x v="1"/>
    <n v="77.95"/>
    <n v="58.55"/>
    <n v="19.400000000000006"/>
    <n v="0.86800894854586119"/>
    <m/>
  </r>
  <r>
    <d v="2022-01-25T00:00:00"/>
    <n v="119"/>
    <x v="118"/>
    <x v="11"/>
    <e v="#REF!"/>
    <e v="#REF!"/>
    <n v="3"/>
    <s v="Valorisables"/>
    <x v="2"/>
    <n v="1.4"/>
    <n v="0.55000000000000004"/>
    <n v="0.84999999999999987"/>
    <n v="3.8031319910514519E-2"/>
    <m/>
  </r>
  <r>
    <d v="2022-01-25T00:00:00"/>
    <n v="119"/>
    <x v="118"/>
    <x v="11"/>
    <e v="#REF!"/>
    <e v="#REF!"/>
    <n v="4"/>
    <s v="Valorisables"/>
    <x v="3"/>
    <m/>
    <m/>
    <n v="0"/>
    <n v="0"/>
    <m/>
  </r>
  <r>
    <d v="2022-01-25T00:00:00"/>
    <n v="119"/>
    <x v="118"/>
    <x v="11"/>
    <e v="#REF!"/>
    <e v="#REF!"/>
    <n v="5"/>
    <s v="Valorisables"/>
    <x v="4"/>
    <n v="0.6"/>
    <n v="0.55000000000000004"/>
    <n v="4.9999999999999933E-2"/>
    <n v="2.2371364653243808E-3"/>
    <m/>
  </r>
  <r>
    <d v="2022-01-25T00:00:00"/>
    <n v="119"/>
    <x v="118"/>
    <x v="11"/>
    <e v="#REF!"/>
    <e v="#REF!"/>
    <n v="6"/>
    <s v="Valorisables"/>
    <x v="5"/>
    <m/>
    <m/>
    <n v="0"/>
    <n v="0"/>
    <m/>
  </r>
  <r>
    <d v="2022-01-25T00:00:00"/>
    <n v="119"/>
    <x v="118"/>
    <x v="11"/>
    <e v="#REF!"/>
    <e v="#REF!"/>
    <n v="7"/>
    <s v="Valorisables"/>
    <x v="6"/>
    <m/>
    <m/>
    <n v="0"/>
    <n v="0"/>
    <m/>
  </r>
  <r>
    <d v="2022-01-25T00:00:00"/>
    <n v="119"/>
    <x v="118"/>
    <x v="11"/>
    <e v="#REF!"/>
    <e v="#REF!"/>
    <n v="8"/>
    <s v="Valorisables"/>
    <x v="7"/>
    <n v="0.75"/>
    <n v="0.55000000000000004"/>
    <n v="0.19999999999999996"/>
    <n v="8.9485458612975338E-3"/>
    <m/>
  </r>
  <r>
    <d v="2022-01-25T00:00:00"/>
    <n v="119"/>
    <x v="118"/>
    <x v="11"/>
    <e v="#REF!"/>
    <e v="#REF!"/>
    <n v="9"/>
    <s v="Valorisables"/>
    <x v="8"/>
    <m/>
    <m/>
    <n v="0"/>
    <n v="0"/>
    <m/>
  </r>
  <r>
    <d v="2022-01-25T00:00:00"/>
    <n v="119"/>
    <x v="118"/>
    <x v="11"/>
    <e v="#REF!"/>
    <e v="#REF!"/>
    <n v="10"/>
    <s v="Valorisables"/>
    <x v="9"/>
    <n v="0.05"/>
    <n v="0"/>
    <n v="0.05"/>
    <n v="2.2371364653243839E-3"/>
    <m/>
  </r>
  <r>
    <d v="2022-01-25T00:00:00"/>
    <n v="119"/>
    <x v="118"/>
    <x v="11"/>
    <e v="#REF!"/>
    <e v="#REF!"/>
    <n v="11"/>
    <s v="Valorisables"/>
    <x v="10"/>
    <m/>
    <m/>
    <n v="0"/>
    <n v="0"/>
    <m/>
  </r>
  <r>
    <d v="2022-01-25T00:00:00"/>
    <n v="119"/>
    <x v="118"/>
    <x v="11"/>
    <e v="#REF!"/>
    <e v="#REF!"/>
    <n v="12"/>
    <s v="Refus"/>
    <x v="11"/>
    <n v="10.15"/>
    <n v="8.5500000000000007"/>
    <n v="1.5999999999999996"/>
    <n v="7.158836689038027E-2"/>
    <m/>
  </r>
  <r>
    <d v="2022-01-25T00:00:00"/>
    <n v="120"/>
    <x v="119"/>
    <x v="6"/>
    <n v="40.799999999999997"/>
    <n v="40.03"/>
    <n v="1"/>
    <s v="Valorisables"/>
    <x v="0"/>
    <m/>
    <m/>
    <n v="0"/>
    <n v="0"/>
    <m/>
  </r>
  <r>
    <d v="2022-01-25T00:00:00"/>
    <n v="120"/>
    <x v="119"/>
    <x v="6"/>
    <n v="40.799999999999997"/>
    <n v="-1.8872549019607748E-2"/>
    <n v="2"/>
    <s v="Valorisables"/>
    <x v="1"/>
    <n v="1.3"/>
    <n v="0.5"/>
    <n v="0.8"/>
    <n v="1.9985011241568824E-2"/>
    <m/>
  </r>
  <r>
    <d v="2022-01-25T00:00:00"/>
    <n v="120"/>
    <x v="119"/>
    <x v="6"/>
    <e v="#REF!"/>
    <e v="#REF!"/>
    <n v="3"/>
    <s v="Valorisables"/>
    <x v="2"/>
    <m/>
    <m/>
    <n v="0"/>
    <n v="0"/>
    <m/>
  </r>
  <r>
    <d v="2022-01-25T00:00:00"/>
    <n v="120"/>
    <x v="119"/>
    <x v="6"/>
    <e v="#REF!"/>
    <e v="#REF!"/>
    <n v="4"/>
    <s v="Valorisables"/>
    <x v="3"/>
    <n v="0.15"/>
    <m/>
    <n v="0.15"/>
    <n v="3.7471896077941541E-3"/>
    <m/>
  </r>
  <r>
    <d v="2022-01-25T00:00:00"/>
    <n v="120"/>
    <x v="119"/>
    <x v="6"/>
    <e v="#REF!"/>
    <e v="#REF!"/>
    <n v="5"/>
    <s v="Valorisables"/>
    <x v="4"/>
    <n v="0.85"/>
    <n v="0.55000000000000004"/>
    <n v="0.29999999999999993"/>
    <n v="7.4943792155883066E-3"/>
    <m/>
  </r>
  <r>
    <d v="2022-01-25T00:00:00"/>
    <n v="120"/>
    <x v="119"/>
    <x v="6"/>
    <e v="#REF!"/>
    <e v="#REF!"/>
    <n v="6"/>
    <s v="Valorisables"/>
    <x v="5"/>
    <m/>
    <m/>
    <n v="0"/>
    <n v="0"/>
    <m/>
  </r>
  <r>
    <d v="2022-01-25T00:00:00"/>
    <n v="120"/>
    <x v="119"/>
    <x v="6"/>
    <e v="#REF!"/>
    <e v="#REF!"/>
    <n v="7"/>
    <s v="Valorisables"/>
    <x v="6"/>
    <n v="36"/>
    <n v="12.1"/>
    <n v="23.9"/>
    <n v="0.59705221084186855"/>
    <m/>
  </r>
  <r>
    <d v="2022-01-25T00:00:00"/>
    <n v="120"/>
    <x v="119"/>
    <x v="6"/>
    <e v="#REF!"/>
    <e v="#REF!"/>
    <n v="8"/>
    <s v="Valorisables"/>
    <x v="7"/>
    <n v="0.65"/>
    <n v="0.55000000000000004"/>
    <n v="9.9999999999999978E-2"/>
    <n v="2.4981264051961022E-3"/>
    <m/>
  </r>
  <r>
    <d v="2022-01-25T00:00:00"/>
    <n v="120"/>
    <x v="119"/>
    <x v="6"/>
    <e v="#REF!"/>
    <e v="#REF!"/>
    <n v="9"/>
    <s v="Valorisables"/>
    <x v="8"/>
    <n v="0.85"/>
    <n v="0.55000000000000004"/>
    <n v="0.29999999999999993"/>
    <n v="7.4943792155883066E-3"/>
    <m/>
  </r>
  <r>
    <d v="2022-01-25T00:00:00"/>
    <n v="120"/>
    <x v="119"/>
    <x v="6"/>
    <e v="#REF!"/>
    <e v="#REF!"/>
    <n v="10"/>
    <s v="Valorisables"/>
    <x v="9"/>
    <n v="11.75"/>
    <n v="8.8000000000000007"/>
    <n v="2.9499999999999993"/>
    <n v="7.3694728953285021E-2"/>
    <m/>
  </r>
  <r>
    <d v="2022-01-25T00:00:00"/>
    <n v="120"/>
    <x v="119"/>
    <x v="6"/>
    <e v="#REF!"/>
    <e v="#REF!"/>
    <n v="11"/>
    <s v="Valorisables"/>
    <x v="10"/>
    <n v="0.03"/>
    <n v="0"/>
    <n v="0.03"/>
    <n v="7.4943792155883081E-4"/>
    <m/>
  </r>
  <r>
    <d v="2022-01-25T00:00:00"/>
    <n v="120"/>
    <x v="119"/>
    <x v="6"/>
    <e v="#REF!"/>
    <e v="#REF!"/>
    <n v="12"/>
    <s v="Refus"/>
    <x v="11"/>
    <n v="28.6"/>
    <n v="17.100000000000001"/>
    <n v="11.5"/>
    <n v="0.28728453659755182"/>
    <m/>
  </r>
  <r>
    <d v="2022-01-25T00:00:00"/>
    <n v="121"/>
    <x v="120"/>
    <x v="13"/>
    <n v="30.8"/>
    <n v="30.499999999999993"/>
    <n v="1"/>
    <s v="Valorisables"/>
    <x v="0"/>
    <n v="0.65"/>
    <n v="0.55000000000000004"/>
    <n v="9.9999999999999978E-2"/>
    <n v="3.2786885245901639E-3"/>
    <m/>
  </r>
  <r>
    <d v="2022-01-25T00:00:00"/>
    <n v="121"/>
    <x v="120"/>
    <x v="13"/>
    <n v="30.8"/>
    <n v="-9.7402597402599933E-3"/>
    <n v="2"/>
    <s v="Valorisables"/>
    <x v="1"/>
    <n v="0.65"/>
    <n v="0.55000000000000004"/>
    <n v="9.9999999999999978E-2"/>
    <n v="3.2786885245901639E-3"/>
    <m/>
  </r>
  <r>
    <d v="2022-01-25T00:00:00"/>
    <n v="121"/>
    <x v="120"/>
    <x v="13"/>
    <e v="#REF!"/>
    <e v="#REF!"/>
    <n v="3"/>
    <s v="Valorisables"/>
    <x v="2"/>
    <m/>
    <m/>
    <n v="0"/>
    <n v="0"/>
    <m/>
  </r>
  <r>
    <d v="2022-01-25T00:00:00"/>
    <n v="121"/>
    <x v="120"/>
    <x v="13"/>
    <e v="#REF!"/>
    <e v="#REF!"/>
    <n v="4"/>
    <s v="Valorisables"/>
    <x v="3"/>
    <m/>
    <m/>
    <n v="0"/>
    <n v="0"/>
    <m/>
  </r>
  <r>
    <d v="2022-01-25T00:00:00"/>
    <n v="121"/>
    <x v="120"/>
    <x v="13"/>
    <e v="#REF!"/>
    <e v="#REF!"/>
    <n v="5"/>
    <s v="Valorisables"/>
    <x v="4"/>
    <n v="0.65"/>
    <n v="0.55000000000000004"/>
    <n v="9.9999999999999978E-2"/>
    <n v="3.2786885245901639E-3"/>
    <m/>
  </r>
  <r>
    <d v="2022-01-25T00:00:00"/>
    <n v="121"/>
    <x v="120"/>
    <x v="13"/>
    <e v="#REF!"/>
    <e v="#REF!"/>
    <n v="6"/>
    <s v="Valorisables"/>
    <x v="5"/>
    <m/>
    <m/>
    <n v="0"/>
    <n v="0"/>
    <m/>
  </r>
  <r>
    <d v="2022-01-25T00:00:00"/>
    <n v="121"/>
    <x v="120"/>
    <x v="13"/>
    <e v="#REF!"/>
    <e v="#REF!"/>
    <n v="7"/>
    <s v="Valorisables"/>
    <x v="6"/>
    <m/>
    <m/>
    <n v="0"/>
    <n v="0"/>
    <m/>
  </r>
  <r>
    <d v="2022-01-25T00:00:00"/>
    <n v="121"/>
    <x v="120"/>
    <x v="13"/>
    <e v="#REF!"/>
    <e v="#REF!"/>
    <n v="8"/>
    <s v="Valorisables"/>
    <x v="7"/>
    <n v="0.6"/>
    <n v="0.5"/>
    <n v="9.9999999999999978E-2"/>
    <n v="3.2786885245901639E-3"/>
    <m/>
  </r>
  <r>
    <d v="2022-01-25T00:00:00"/>
    <n v="121"/>
    <x v="120"/>
    <x v="13"/>
    <e v="#REF!"/>
    <e v="#REF!"/>
    <n v="9"/>
    <s v="Valorisables"/>
    <x v="8"/>
    <n v="61.55"/>
    <n v="33.450000000000003"/>
    <n v="28.099999999999994"/>
    <n v="0.92131147540983604"/>
    <m/>
  </r>
  <r>
    <d v="2022-01-25T00:00:00"/>
    <n v="121"/>
    <x v="120"/>
    <x v="13"/>
    <e v="#REF!"/>
    <e v="#REF!"/>
    <n v="10"/>
    <s v="Valorisables"/>
    <x v="9"/>
    <n v="0.9"/>
    <n v="0.5"/>
    <n v="0.4"/>
    <n v="1.3114754098360659E-2"/>
    <m/>
  </r>
  <r>
    <d v="2022-01-25T00:00:00"/>
    <n v="121"/>
    <x v="120"/>
    <x v="13"/>
    <e v="#REF!"/>
    <e v="#REF!"/>
    <n v="11"/>
    <s v="Valorisables"/>
    <x v="10"/>
    <n v="0.9"/>
    <n v="0.55000000000000004"/>
    <n v="0.35"/>
    <n v="1.1475409836065575E-2"/>
    <m/>
  </r>
  <r>
    <d v="2022-01-25T00:00:00"/>
    <n v="121"/>
    <x v="120"/>
    <x v="13"/>
    <e v="#REF!"/>
    <e v="#REF!"/>
    <n v="12"/>
    <s v="Refus"/>
    <x v="11"/>
    <n v="1.75"/>
    <n v="0.5"/>
    <n v="1.25"/>
    <n v="4.098360655737706E-2"/>
    <m/>
  </r>
  <r>
    <d v="2022-01-25T00:00:00"/>
    <n v="122"/>
    <x v="121"/>
    <x v="13"/>
    <n v="32.199999999999996"/>
    <n v="32.430000000000007"/>
    <n v="1"/>
    <s v="Valorisables"/>
    <x v="0"/>
    <n v="0.05"/>
    <n v="0"/>
    <n v="0.05"/>
    <n v="1.5417823003391919E-3"/>
    <m/>
  </r>
  <r>
    <d v="2022-01-25T00:00:00"/>
    <n v="122"/>
    <x v="121"/>
    <x v="13"/>
    <n v="32.199999999999996"/>
    <n v="7.1428571428574878E-3"/>
    <n v="2"/>
    <s v="Valorisables"/>
    <x v="1"/>
    <n v="0.6"/>
    <n v="0.55000000000000004"/>
    <n v="4.9999999999999933E-2"/>
    <n v="1.5417823003391897E-3"/>
    <m/>
  </r>
  <r>
    <d v="2022-01-25T00:00:00"/>
    <n v="122"/>
    <x v="121"/>
    <x v="13"/>
    <e v="#REF!"/>
    <e v="#REF!"/>
    <n v="3"/>
    <s v="Valorisables"/>
    <x v="2"/>
    <n v="0.05"/>
    <n v="0"/>
    <n v="0.05"/>
    <n v="1.5417823003391919E-3"/>
    <m/>
  </r>
  <r>
    <d v="2022-01-25T00:00:00"/>
    <n v="122"/>
    <x v="121"/>
    <x v="13"/>
    <e v="#REF!"/>
    <e v="#REF!"/>
    <n v="4"/>
    <s v="Valorisables"/>
    <x v="3"/>
    <n v="0.03"/>
    <n v="0"/>
    <n v="0.03"/>
    <n v="9.2506938020351498E-4"/>
    <m/>
  </r>
  <r>
    <d v="2022-01-25T00:00:00"/>
    <n v="122"/>
    <x v="121"/>
    <x v="13"/>
    <e v="#REF!"/>
    <e v="#REF!"/>
    <n v="5"/>
    <s v="Valorisables"/>
    <x v="4"/>
    <n v="0.05"/>
    <n v="0"/>
    <n v="0.05"/>
    <n v="1.5417823003391919E-3"/>
    <m/>
  </r>
  <r>
    <d v="2022-01-25T00:00:00"/>
    <n v="122"/>
    <x v="121"/>
    <x v="13"/>
    <e v="#REF!"/>
    <e v="#REF!"/>
    <n v="6"/>
    <s v="Valorisables"/>
    <x v="5"/>
    <m/>
    <m/>
    <n v="0"/>
    <n v="0"/>
    <m/>
  </r>
  <r>
    <d v="2022-01-25T00:00:00"/>
    <n v="122"/>
    <x v="121"/>
    <x v="13"/>
    <e v="#REF!"/>
    <e v="#REF!"/>
    <n v="7"/>
    <s v="Valorisables"/>
    <x v="6"/>
    <m/>
    <m/>
    <n v="0"/>
    <n v="0"/>
    <m/>
  </r>
  <r>
    <d v="2022-01-25T00:00:00"/>
    <n v="122"/>
    <x v="121"/>
    <x v="13"/>
    <e v="#REF!"/>
    <e v="#REF!"/>
    <n v="8"/>
    <s v="Valorisables"/>
    <x v="7"/>
    <m/>
    <m/>
    <n v="0"/>
    <n v="0"/>
    <m/>
  </r>
  <r>
    <d v="2022-01-25T00:00:00"/>
    <n v="122"/>
    <x v="121"/>
    <x v="13"/>
    <e v="#REF!"/>
    <e v="#REF!"/>
    <n v="9"/>
    <s v="Valorisables"/>
    <x v="8"/>
    <n v="62.800000000000004"/>
    <n v="33.700000000000003"/>
    <n v="29.1"/>
    <n v="0.89731729879740962"/>
    <m/>
  </r>
  <r>
    <d v="2022-01-25T00:00:00"/>
    <n v="122"/>
    <x v="121"/>
    <x v="13"/>
    <e v="#REF!"/>
    <e v="#REF!"/>
    <n v="10"/>
    <s v="Valorisables"/>
    <x v="9"/>
    <n v="1.05"/>
    <n v="0.55000000000000004"/>
    <n v="0.5"/>
    <n v="1.5417823003391918E-2"/>
    <m/>
  </r>
  <r>
    <d v="2022-01-25T00:00:00"/>
    <n v="122"/>
    <x v="121"/>
    <x v="13"/>
    <e v="#REF!"/>
    <e v="#REF!"/>
    <n v="11"/>
    <s v="Valorisables"/>
    <x v="10"/>
    <n v="0.85"/>
    <n v="0.5"/>
    <n v="0.35"/>
    <n v="1.0792476102374342E-2"/>
    <m/>
  </r>
  <r>
    <d v="2022-01-25T00:00:00"/>
    <n v="122"/>
    <x v="121"/>
    <x v="13"/>
    <e v="#REF!"/>
    <e v="#REF!"/>
    <n v="12"/>
    <s v="Refus"/>
    <x v="11"/>
    <n v="10.8"/>
    <n v="8.5500000000000007"/>
    <n v="2.25"/>
    <n v="6.9380203515263625E-2"/>
    <s v="aérosol et conserves pleines"/>
  </r>
  <r>
    <d v="2022-01-25T00:00:00"/>
    <n v="123"/>
    <x v="122"/>
    <x v="13"/>
    <n v="25.7"/>
    <n v="26.099999999999998"/>
    <n v="1"/>
    <s v="Valorisables"/>
    <x v="0"/>
    <m/>
    <m/>
    <n v="0"/>
    <n v="0"/>
    <m/>
  </r>
  <r>
    <d v="2022-01-25T00:00:00"/>
    <n v="123"/>
    <x v="122"/>
    <x v="13"/>
    <n v="25.7"/>
    <n v="1.5564202334630295E-2"/>
    <n v="2"/>
    <s v="Valorisables"/>
    <x v="1"/>
    <m/>
    <m/>
    <n v="0"/>
    <n v="0"/>
    <m/>
  </r>
  <r>
    <d v="2022-01-25T00:00:00"/>
    <n v="123"/>
    <x v="122"/>
    <x v="13"/>
    <e v="#REF!"/>
    <e v="#REF!"/>
    <n v="3"/>
    <s v="Valorisables"/>
    <x v="2"/>
    <n v="0.65"/>
    <n v="0.5"/>
    <n v="0.15000000000000002"/>
    <n v="5.7471264367816109E-3"/>
    <m/>
  </r>
  <r>
    <d v="2022-01-25T00:00:00"/>
    <n v="123"/>
    <x v="122"/>
    <x v="13"/>
    <e v="#REF!"/>
    <e v="#REF!"/>
    <n v="4"/>
    <s v="Valorisables"/>
    <x v="3"/>
    <n v="0.6"/>
    <n v="0.55000000000000004"/>
    <n v="4.9999999999999933E-2"/>
    <n v="1.9157088122605339E-3"/>
    <m/>
  </r>
  <r>
    <d v="2022-01-25T00:00:00"/>
    <n v="123"/>
    <x v="122"/>
    <x v="13"/>
    <e v="#REF!"/>
    <e v="#REF!"/>
    <n v="5"/>
    <s v="Valorisables"/>
    <x v="4"/>
    <n v="0.05"/>
    <n v="0"/>
    <n v="0.05"/>
    <n v="1.9157088122605367E-3"/>
    <m/>
  </r>
  <r>
    <d v="2022-01-25T00:00:00"/>
    <n v="123"/>
    <x v="122"/>
    <x v="13"/>
    <e v="#REF!"/>
    <e v="#REF!"/>
    <n v="6"/>
    <s v="Valorisables"/>
    <x v="5"/>
    <m/>
    <m/>
    <n v="0"/>
    <n v="0"/>
    <m/>
  </r>
  <r>
    <d v="2022-01-25T00:00:00"/>
    <n v="123"/>
    <x v="122"/>
    <x v="13"/>
    <e v="#REF!"/>
    <e v="#REF!"/>
    <n v="7"/>
    <s v="Valorisables"/>
    <x v="6"/>
    <m/>
    <m/>
    <n v="0"/>
    <n v="0"/>
    <m/>
  </r>
  <r>
    <d v="2022-01-25T00:00:00"/>
    <n v="123"/>
    <x v="122"/>
    <x v="13"/>
    <e v="#REF!"/>
    <e v="#REF!"/>
    <n v="8"/>
    <s v="Valorisables"/>
    <x v="7"/>
    <m/>
    <m/>
    <n v="0"/>
    <n v="0"/>
    <m/>
  </r>
  <r>
    <d v="2022-01-25T00:00:00"/>
    <n v="123"/>
    <x v="122"/>
    <x v="13"/>
    <e v="#REF!"/>
    <e v="#REF!"/>
    <n v="9"/>
    <s v="Valorisables"/>
    <x v="8"/>
    <n v="57.4"/>
    <n v="33.950000000000003"/>
    <n v="23.449999999999996"/>
    <n v="0.89846743295019149"/>
    <m/>
  </r>
  <r>
    <d v="2022-01-25T00:00:00"/>
    <n v="123"/>
    <x v="122"/>
    <x v="13"/>
    <e v="#REF!"/>
    <e v="#REF!"/>
    <n v="10"/>
    <s v="Valorisables"/>
    <x v="9"/>
    <n v="0.1"/>
    <n v="0"/>
    <n v="0.1"/>
    <n v="3.8314176245210735E-3"/>
    <m/>
  </r>
  <r>
    <d v="2022-01-25T00:00:00"/>
    <n v="123"/>
    <x v="122"/>
    <x v="13"/>
    <e v="#REF!"/>
    <e v="#REF!"/>
    <n v="11"/>
    <s v="Valorisables"/>
    <x v="10"/>
    <n v="0.85"/>
    <n v="0.55000000000000004"/>
    <n v="0.29999999999999993"/>
    <n v="1.1494252873563216E-2"/>
    <m/>
  </r>
  <r>
    <d v="2022-01-25T00:00:00"/>
    <n v="123"/>
    <x v="122"/>
    <x v="13"/>
    <e v="#REF!"/>
    <e v="#REF!"/>
    <n v="12"/>
    <s v="Refus"/>
    <x v="11"/>
    <n v="2.5499999999999998"/>
    <n v="0.55000000000000004"/>
    <n v="1.9999999999999998"/>
    <n v="7.662835249042145E-2"/>
    <m/>
  </r>
  <r>
    <d v="2022-01-25T00:00:00"/>
    <n v="124"/>
    <x v="123"/>
    <x v="9"/>
    <n v="26.8"/>
    <n v="27.049999999999997"/>
    <n v="1"/>
    <s v="Valorisables"/>
    <x v="0"/>
    <m/>
    <m/>
    <n v="0"/>
    <n v="0"/>
    <m/>
  </r>
  <r>
    <d v="2022-01-25T00:00:00"/>
    <n v="124"/>
    <x v="123"/>
    <x v="9"/>
    <n v="26.8"/>
    <n v="9.3283582089550912E-3"/>
    <n v="2"/>
    <s v="Valorisables"/>
    <x v="1"/>
    <n v="0.6"/>
    <n v="0.55000000000000004"/>
    <n v="4.9999999999999933E-2"/>
    <n v="1.8484288354898314E-3"/>
    <m/>
  </r>
  <r>
    <d v="2022-01-25T00:00:00"/>
    <n v="124"/>
    <x v="123"/>
    <x v="9"/>
    <e v="#REF!"/>
    <e v="#REF!"/>
    <n v="3"/>
    <s v="Valorisables"/>
    <x v="2"/>
    <n v="0.8"/>
    <n v="0.55000000000000004"/>
    <n v="0.25"/>
    <n v="9.242144177449169E-3"/>
    <m/>
  </r>
  <r>
    <d v="2022-01-25T00:00:00"/>
    <n v="124"/>
    <x v="123"/>
    <x v="9"/>
    <e v="#REF!"/>
    <e v="#REF!"/>
    <n v="4"/>
    <s v="Valorisables"/>
    <x v="3"/>
    <n v="58.5"/>
    <n v="33.950000000000003"/>
    <n v="24.549999999999997"/>
    <n v="0.90757855822550826"/>
    <m/>
  </r>
  <r>
    <d v="2022-01-25T00:00:00"/>
    <n v="124"/>
    <x v="123"/>
    <x v="9"/>
    <e v="#REF!"/>
    <e v="#REF!"/>
    <n v="5"/>
    <s v="Valorisables"/>
    <x v="4"/>
    <m/>
    <m/>
    <n v="0"/>
    <n v="0"/>
    <m/>
  </r>
  <r>
    <d v="2022-01-25T00:00:00"/>
    <n v="124"/>
    <x v="123"/>
    <x v="9"/>
    <e v="#REF!"/>
    <e v="#REF!"/>
    <n v="6"/>
    <s v="Valorisables"/>
    <x v="5"/>
    <m/>
    <m/>
    <n v="0"/>
    <n v="0"/>
    <m/>
  </r>
  <r>
    <d v="2022-01-25T00:00:00"/>
    <n v="124"/>
    <x v="123"/>
    <x v="9"/>
    <e v="#REF!"/>
    <e v="#REF!"/>
    <n v="7"/>
    <s v="Valorisables"/>
    <x v="6"/>
    <m/>
    <m/>
    <n v="0"/>
    <n v="0"/>
    <m/>
  </r>
  <r>
    <d v="2022-01-25T00:00:00"/>
    <n v="124"/>
    <x v="123"/>
    <x v="9"/>
    <e v="#REF!"/>
    <e v="#REF!"/>
    <n v="8"/>
    <s v="Valorisables"/>
    <x v="7"/>
    <n v="0.7"/>
    <n v="0.5"/>
    <n v="0.19999999999999996"/>
    <n v="7.3937153419593336E-3"/>
    <m/>
  </r>
  <r>
    <d v="2022-01-25T00:00:00"/>
    <n v="124"/>
    <x v="123"/>
    <x v="9"/>
    <e v="#REF!"/>
    <e v="#REF!"/>
    <n v="9"/>
    <s v="Valorisables"/>
    <x v="8"/>
    <m/>
    <m/>
    <n v="0"/>
    <n v="0"/>
    <m/>
  </r>
  <r>
    <d v="2022-01-25T00:00:00"/>
    <n v="124"/>
    <x v="123"/>
    <x v="9"/>
    <e v="#REF!"/>
    <e v="#REF!"/>
    <n v="10"/>
    <s v="Valorisables"/>
    <x v="9"/>
    <n v="1.7"/>
    <n v="0.55000000000000004"/>
    <n v="1.1499999999999999"/>
    <n v="4.2513863216266178E-2"/>
    <m/>
  </r>
  <r>
    <d v="2022-01-25T00:00:00"/>
    <n v="124"/>
    <x v="123"/>
    <x v="9"/>
    <e v="#REF!"/>
    <e v="#REF!"/>
    <n v="11"/>
    <s v="Valorisables"/>
    <x v="10"/>
    <m/>
    <m/>
    <n v="0"/>
    <n v="0"/>
    <m/>
  </r>
  <r>
    <d v="2022-01-25T00:00:00"/>
    <n v="124"/>
    <x v="123"/>
    <x v="9"/>
    <e v="#REF!"/>
    <e v="#REF!"/>
    <n v="12"/>
    <s v="Refus"/>
    <x v="11"/>
    <n v="9.15"/>
    <n v="8.3000000000000007"/>
    <n v="0.84999999999999964"/>
    <n v="3.142329020332716E-2"/>
    <m/>
  </r>
  <r>
    <d v="2022-01-25T00:00:00"/>
    <n v="125"/>
    <x v="124"/>
    <x v="9"/>
    <n v="37.599999999999994"/>
    <n v="37.650000000000006"/>
    <n v="1"/>
    <s v="Valorisables"/>
    <x v="0"/>
    <m/>
    <m/>
    <n v="0"/>
    <n v="0"/>
    <m/>
  </r>
  <r>
    <d v="2022-01-25T00:00:00"/>
    <n v="125"/>
    <x v="124"/>
    <x v="9"/>
    <n v="37.599999999999994"/>
    <n v="1.3297872340428557E-3"/>
    <n v="2"/>
    <s v="Valorisables"/>
    <x v="1"/>
    <n v="0.8"/>
    <n v="0.55000000000000004"/>
    <n v="0.25"/>
    <n v="6.6401062416998665E-3"/>
    <m/>
  </r>
  <r>
    <d v="2022-01-25T00:00:00"/>
    <n v="125"/>
    <x v="124"/>
    <x v="9"/>
    <e v="#REF!"/>
    <e v="#REF!"/>
    <n v="3"/>
    <s v="Valorisables"/>
    <x v="2"/>
    <n v="1.05"/>
    <n v="0.55000000000000004"/>
    <n v="0.5"/>
    <n v="1.3280212483399733E-2"/>
    <m/>
  </r>
  <r>
    <d v="2022-01-25T00:00:00"/>
    <n v="125"/>
    <x v="124"/>
    <x v="9"/>
    <e v="#REF!"/>
    <e v="#REF!"/>
    <n v="4"/>
    <s v="Valorisables"/>
    <x v="3"/>
    <n v="76.550000000000011"/>
    <n v="42.400000000000006"/>
    <n v="34.150000000000006"/>
    <n v="0.90703851261620183"/>
    <m/>
  </r>
  <r>
    <d v="2022-01-25T00:00:00"/>
    <n v="125"/>
    <x v="124"/>
    <x v="9"/>
    <e v="#REF!"/>
    <e v="#REF!"/>
    <n v="5"/>
    <s v="Valorisables"/>
    <x v="4"/>
    <n v="0.6"/>
    <n v="0.55000000000000004"/>
    <n v="4.9999999999999933E-2"/>
    <n v="1.3280212483399714E-3"/>
    <m/>
  </r>
  <r>
    <d v="2022-01-25T00:00:00"/>
    <n v="125"/>
    <x v="124"/>
    <x v="9"/>
    <e v="#REF!"/>
    <e v="#REF!"/>
    <n v="6"/>
    <s v="Valorisables"/>
    <x v="5"/>
    <m/>
    <m/>
    <n v="0"/>
    <n v="0"/>
    <m/>
  </r>
  <r>
    <d v="2022-01-25T00:00:00"/>
    <n v="125"/>
    <x v="124"/>
    <x v="9"/>
    <e v="#REF!"/>
    <e v="#REF!"/>
    <n v="7"/>
    <s v="Valorisables"/>
    <x v="6"/>
    <m/>
    <m/>
    <n v="0"/>
    <n v="0"/>
    <m/>
  </r>
  <r>
    <d v="2022-01-25T00:00:00"/>
    <n v="125"/>
    <x v="124"/>
    <x v="9"/>
    <e v="#REF!"/>
    <e v="#REF!"/>
    <n v="8"/>
    <s v="Valorisables"/>
    <x v="7"/>
    <n v="0.75"/>
    <n v="0.55000000000000004"/>
    <n v="0.19999999999999996"/>
    <n v="5.3120849933598916E-3"/>
    <m/>
  </r>
  <r>
    <d v="2022-01-25T00:00:00"/>
    <n v="125"/>
    <x v="124"/>
    <x v="9"/>
    <e v="#REF!"/>
    <e v="#REF!"/>
    <n v="9"/>
    <s v="Valorisables"/>
    <x v="8"/>
    <m/>
    <m/>
    <n v="0"/>
    <n v="0"/>
    <m/>
  </r>
  <r>
    <d v="2022-01-25T00:00:00"/>
    <n v="125"/>
    <x v="124"/>
    <x v="9"/>
    <e v="#REF!"/>
    <e v="#REF!"/>
    <n v="10"/>
    <s v="Valorisables"/>
    <x v="9"/>
    <n v="1.65"/>
    <n v="0.55000000000000004"/>
    <n v="1.0999999999999999"/>
    <n v="2.9216467463479407E-2"/>
    <m/>
  </r>
  <r>
    <d v="2022-01-25T00:00:00"/>
    <n v="125"/>
    <x v="124"/>
    <x v="9"/>
    <e v="#REF!"/>
    <e v="#REF!"/>
    <n v="11"/>
    <s v="Valorisables"/>
    <x v="10"/>
    <m/>
    <m/>
    <n v="0"/>
    <n v="0"/>
    <m/>
  </r>
  <r>
    <d v="2022-01-25T00:00:00"/>
    <n v="125"/>
    <x v="124"/>
    <x v="9"/>
    <e v="#REF!"/>
    <e v="#REF!"/>
    <n v="12"/>
    <s v="Refus"/>
    <x v="11"/>
    <n v="9.9499999999999993"/>
    <n v="8.5500000000000007"/>
    <n v="1.3999999999999986"/>
    <n v="3.7184594953519216E-2"/>
    <m/>
  </r>
  <r>
    <d v="2022-01-25T00:00:00"/>
    <n v="126"/>
    <x v="125"/>
    <x v="11"/>
    <n v="23.400000000000002"/>
    <n v="23.850000000000009"/>
    <n v="1"/>
    <s v="Valorisables"/>
    <x v="0"/>
    <n v="3.1"/>
    <n v="1.1000000000000001"/>
    <n v="2"/>
    <n v="8.3857442348008362E-2"/>
    <m/>
  </r>
  <r>
    <d v="2022-01-25T00:00:00"/>
    <n v="126"/>
    <x v="125"/>
    <x v="11"/>
    <n v="23.400000000000002"/>
    <n v="1.9230769230769502E-2"/>
    <n v="2"/>
    <s v="Valorisables"/>
    <x v="1"/>
    <n v="68.650000000000006"/>
    <n v="50.5"/>
    <n v="18.150000000000006"/>
    <n v="0.76100628930817604"/>
    <m/>
  </r>
  <r>
    <d v="2022-01-25T00:00:00"/>
    <n v="126"/>
    <x v="125"/>
    <x v="11"/>
    <e v="#REF!"/>
    <e v="#REF!"/>
    <n v="3"/>
    <s v="Valorisables"/>
    <x v="2"/>
    <n v="1.35"/>
    <n v="0.55000000000000004"/>
    <n v="0.8"/>
    <n v="3.3542976939203342E-2"/>
    <m/>
  </r>
  <r>
    <d v="2022-01-25T00:00:00"/>
    <n v="126"/>
    <x v="125"/>
    <x v="11"/>
    <e v="#REF!"/>
    <e v="#REF!"/>
    <n v="4"/>
    <s v="Valorisables"/>
    <x v="3"/>
    <n v="0.05"/>
    <n v="0"/>
    <n v="0.05"/>
    <n v="2.0964360587002089E-3"/>
    <m/>
  </r>
  <r>
    <d v="2022-01-25T00:00:00"/>
    <n v="126"/>
    <x v="125"/>
    <x v="11"/>
    <e v="#REF!"/>
    <e v="#REF!"/>
    <n v="5"/>
    <s v="Valorisables"/>
    <x v="4"/>
    <n v="0.8"/>
    <n v="0.5"/>
    <n v="0.30000000000000004"/>
    <n v="1.2578616352201255E-2"/>
    <m/>
  </r>
  <r>
    <d v="2022-01-25T00:00:00"/>
    <n v="126"/>
    <x v="125"/>
    <x v="11"/>
    <e v="#REF!"/>
    <e v="#REF!"/>
    <n v="6"/>
    <s v="Valorisables"/>
    <x v="5"/>
    <m/>
    <m/>
    <n v="0"/>
    <n v="0"/>
    <m/>
  </r>
  <r>
    <d v="2022-01-25T00:00:00"/>
    <n v="126"/>
    <x v="125"/>
    <x v="11"/>
    <e v="#REF!"/>
    <e v="#REF!"/>
    <n v="7"/>
    <s v="Valorisables"/>
    <x v="6"/>
    <m/>
    <m/>
    <n v="0"/>
    <n v="0"/>
    <m/>
  </r>
  <r>
    <d v="2022-01-25T00:00:00"/>
    <n v="126"/>
    <x v="125"/>
    <x v="11"/>
    <e v="#REF!"/>
    <e v="#REF!"/>
    <n v="8"/>
    <s v="Valorisables"/>
    <x v="7"/>
    <n v="0.75"/>
    <n v="0.55000000000000004"/>
    <n v="0.19999999999999996"/>
    <n v="8.3857442348008338E-3"/>
    <m/>
  </r>
  <r>
    <d v="2022-01-25T00:00:00"/>
    <n v="126"/>
    <x v="125"/>
    <x v="11"/>
    <e v="#REF!"/>
    <e v="#REF!"/>
    <n v="9"/>
    <s v="Valorisables"/>
    <x v="8"/>
    <m/>
    <m/>
    <n v="0"/>
    <n v="0"/>
    <m/>
  </r>
  <r>
    <d v="2022-01-25T00:00:00"/>
    <n v="126"/>
    <x v="125"/>
    <x v="11"/>
    <e v="#REF!"/>
    <e v="#REF!"/>
    <n v="10"/>
    <s v="Valorisables"/>
    <x v="9"/>
    <n v="1"/>
    <n v="0.55000000000000004"/>
    <n v="0.44999999999999996"/>
    <n v="1.8867924528301879E-2"/>
    <m/>
  </r>
  <r>
    <d v="2022-01-25T00:00:00"/>
    <n v="126"/>
    <x v="125"/>
    <x v="11"/>
    <e v="#REF!"/>
    <e v="#REF!"/>
    <n v="11"/>
    <s v="Valorisables"/>
    <x v="10"/>
    <n v="0.6"/>
    <n v="0.55000000000000004"/>
    <n v="4.9999999999999933E-2"/>
    <n v="2.0964360587002063E-3"/>
    <m/>
  </r>
  <r>
    <d v="2022-01-25T00:00:00"/>
    <n v="126"/>
    <x v="125"/>
    <x v="11"/>
    <e v="#REF!"/>
    <e v="#REF!"/>
    <n v="12"/>
    <s v="Refus"/>
    <x v="11"/>
    <n v="10.4"/>
    <n v="8.5500000000000007"/>
    <n v="1.8499999999999996"/>
    <n v="7.7568134171907721E-2"/>
    <m/>
  </r>
  <r>
    <d v="2022-01-25T00:00:00"/>
    <n v="127"/>
    <x v="126"/>
    <x v="11"/>
    <n v="21.8"/>
    <n v="21.849999999999994"/>
    <n v="1"/>
    <s v="Valorisables"/>
    <x v="0"/>
    <n v="11.4"/>
    <n v="8.5500000000000007"/>
    <n v="2.8499999999999996"/>
    <n v="0.13043478260869568"/>
    <m/>
  </r>
  <r>
    <d v="2022-01-25T00:00:00"/>
    <n v="127"/>
    <x v="126"/>
    <x v="11"/>
    <n v="21.8"/>
    <n v="2.2935779816510827E-3"/>
    <n v="2"/>
    <s v="Valorisables"/>
    <x v="1"/>
    <n v="58.4"/>
    <n v="42.400000000000006"/>
    <n v="15.999999999999993"/>
    <n v="0.73226544622425616"/>
    <m/>
  </r>
  <r>
    <d v="2022-01-25T00:00:00"/>
    <n v="127"/>
    <x v="126"/>
    <x v="11"/>
    <e v="#REF!"/>
    <e v="#REF!"/>
    <n v="3"/>
    <s v="Valorisables"/>
    <x v="2"/>
    <n v="1.25"/>
    <n v="0.55000000000000004"/>
    <n v="0.7"/>
    <n v="3.2036613272311221E-2"/>
    <m/>
  </r>
  <r>
    <d v="2022-01-25T00:00:00"/>
    <n v="127"/>
    <x v="126"/>
    <x v="11"/>
    <e v="#REF!"/>
    <e v="#REF!"/>
    <n v="4"/>
    <s v="Valorisables"/>
    <x v="3"/>
    <m/>
    <m/>
    <n v="0"/>
    <n v="0"/>
    <m/>
  </r>
  <r>
    <d v="2022-01-25T00:00:00"/>
    <n v="127"/>
    <x v="126"/>
    <x v="11"/>
    <e v="#REF!"/>
    <e v="#REF!"/>
    <n v="5"/>
    <s v="Valorisables"/>
    <x v="4"/>
    <n v="0.6"/>
    <n v="0.55000000000000004"/>
    <n v="4.9999999999999933E-2"/>
    <n v="2.2883295194507983E-3"/>
    <m/>
  </r>
  <r>
    <d v="2022-01-25T00:00:00"/>
    <n v="127"/>
    <x v="126"/>
    <x v="11"/>
    <e v="#REF!"/>
    <e v="#REF!"/>
    <n v="6"/>
    <s v="Valorisables"/>
    <x v="5"/>
    <m/>
    <m/>
    <n v="0"/>
    <n v="0"/>
    <m/>
  </r>
  <r>
    <d v="2022-01-25T00:00:00"/>
    <n v="127"/>
    <x v="126"/>
    <x v="11"/>
    <e v="#REF!"/>
    <e v="#REF!"/>
    <n v="7"/>
    <s v="Valorisables"/>
    <x v="6"/>
    <m/>
    <m/>
    <n v="0"/>
    <n v="0"/>
    <m/>
  </r>
  <r>
    <d v="2022-01-25T00:00:00"/>
    <n v="127"/>
    <x v="126"/>
    <x v="11"/>
    <e v="#REF!"/>
    <e v="#REF!"/>
    <n v="8"/>
    <s v="Valorisables"/>
    <x v="7"/>
    <n v="0.65"/>
    <n v="0.55000000000000004"/>
    <n v="9.9999999999999978E-2"/>
    <n v="4.5766590389016018E-3"/>
    <m/>
  </r>
  <r>
    <d v="2022-01-25T00:00:00"/>
    <n v="127"/>
    <x v="126"/>
    <x v="11"/>
    <e v="#REF!"/>
    <e v="#REF!"/>
    <n v="9"/>
    <s v="Valorisables"/>
    <x v="8"/>
    <m/>
    <m/>
    <n v="0"/>
    <n v="0"/>
    <m/>
  </r>
  <r>
    <d v="2022-01-25T00:00:00"/>
    <n v="127"/>
    <x v="126"/>
    <x v="11"/>
    <e v="#REF!"/>
    <e v="#REF!"/>
    <n v="10"/>
    <s v="Valorisables"/>
    <x v="9"/>
    <n v="1.05"/>
    <n v="0.55000000000000004"/>
    <n v="0.5"/>
    <n v="2.2883295194508015E-2"/>
    <m/>
  </r>
  <r>
    <d v="2022-01-25T00:00:00"/>
    <n v="127"/>
    <x v="126"/>
    <x v="11"/>
    <e v="#REF!"/>
    <e v="#REF!"/>
    <n v="11"/>
    <s v="Valorisables"/>
    <x v="10"/>
    <n v="0.55000000000000004"/>
    <n v="0.5"/>
    <n v="5.0000000000000044E-2"/>
    <n v="2.2883295194508035E-3"/>
    <m/>
  </r>
  <r>
    <d v="2022-01-25T00:00:00"/>
    <n v="127"/>
    <x v="126"/>
    <x v="11"/>
    <e v="#REF!"/>
    <e v="#REF!"/>
    <n v="12"/>
    <s v="Refus"/>
    <x v="11"/>
    <n v="9.9"/>
    <n v="8.3000000000000007"/>
    <n v="1.5999999999999996"/>
    <n v="7.3226544622425629E-2"/>
    <m/>
  </r>
  <r>
    <d v="2022-01-25T00:00:00"/>
    <n v="128"/>
    <x v="127"/>
    <x v="3"/>
    <n v="23.8"/>
    <n v="23.799999999999986"/>
    <n v="1"/>
    <s v="Valorisables"/>
    <x v="0"/>
    <n v="1.1499999999999999"/>
    <n v="0.55000000000000004"/>
    <n v="0.59999999999999987"/>
    <n v="2.5210084033613453E-2"/>
    <m/>
  </r>
  <r>
    <d v="2022-01-25T00:00:00"/>
    <n v="128"/>
    <x v="127"/>
    <x v="3"/>
    <n v="23.8"/>
    <n v="-5.9709473593285725E-16"/>
    <n v="2"/>
    <s v="Valorisables"/>
    <x v="1"/>
    <n v="10.25"/>
    <n v="8.5500000000000007"/>
    <n v="1.6999999999999993"/>
    <n v="7.1428571428571438E-2"/>
    <m/>
  </r>
  <r>
    <d v="2022-01-25T00:00:00"/>
    <n v="128"/>
    <x v="127"/>
    <x v="3"/>
    <e v="#REF!"/>
    <e v="#REF!"/>
    <n v="3"/>
    <s v="Valorisables"/>
    <x v="2"/>
    <n v="3.35"/>
    <n v="1.1000000000000001"/>
    <n v="2.25"/>
    <n v="9.4537815126050473E-2"/>
    <m/>
  </r>
  <r>
    <d v="2022-01-25T00:00:00"/>
    <n v="128"/>
    <x v="127"/>
    <x v="3"/>
    <e v="#REF!"/>
    <e v="#REF!"/>
    <n v="4"/>
    <s v="Valorisables"/>
    <x v="3"/>
    <n v="2.4"/>
    <n v="1.1000000000000001"/>
    <n v="1.2999999999999998"/>
    <n v="5.4621848739495819E-2"/>
    <m/>
  </r>
  <r>
    <d v="2022-01-25T00:00:00"/>
    <n v="128"/>
    <x v="127"/>
    <x v="3"/>
    <e v="#REF!"/>
    <e v="#REF!"/>
    <n v="5"/>
    <s v="Valorisables"/>
    <x v="4"/>
    <n v="0.7"/>
    <n v="0.55000000000000004"/>
    <n v="0.14999999999999991"/>
    <n v="6.3025210084033615E-3"/>
    <m/>
  </r>
  <r>
    <d v="2022-01-25T00:00:00"/>
    <n v="128"/>
    <x v="127"/>
    <x v="3"/>
    <e v="#REF!"/>
    <e v="#REF!"/>
    <n v="6"/>
    <s v="Valorisables"/>
    <x v="5"/>
    <m/>
    <m/>
    <n v="0"/>
    <n v="0"/>
    <m/>
  </r>
  <r>
    <d v="2022-01-25T00:00:00"/>
    <n v="128"/>
    <x v="127"/>
    <x v="3"/>
    <e v="#REF!"/>
    <e v="#REF!"/>
    <n v="7"/>
    <s v="Valorisables"/>
    <x v="6"/>
    <m/>
    <m/>
    <n v="0"/>
    <n v="0"/>
    <m/>
  </r>
  <r>
    <d v="2022-01-25T00:00:00"/>
    <n v="128"/>
    <x v="127"/>
    <x v="3"/>
    <e v="#REF!"/>
    <e v="#REF!"/>
    <n v="8"/>
    <s v="Valorisables"/>
    <x v="7"/>
    <n v="0.9"/>
    <n v="0.55000000000000004"/>
    <n v="0.35"/>
    <n v="1.4705882352941183E-2"/>
    <m/>
  </r>
  <r>
    <d v="2022-01-25T00:00:00"/>
    <n v="128"/>
    <x v="127"/>
    <x v="3"/>
    <e v="#REF!"/>
    <e v="#REF!"/>
    <n v="9"/>
    <s v="Valorisables"/>
    <x v="8"/>
    <m/>
    <m/>
    <n v="0"/>
    <n v="0"/>
    <m/>
  </r>
  <r>
    <d v="2022-01-25T00:00:00"/>
    <n v="128"/>
    <x v="127"/>
    <x v="3"/>
    <e v="#REF!"/>
    <e v="#REF!"/>
    <n v="10"/>
    <s v="Valorisables"/>
    <x v="9"/>
    <n v="11.2"/>
    <n v="8.3000000000000007"/>
    <n v="2.8999999999999986"/>
    <n v="0.12184873949579833"/>
    <m/>
  </r>
  <r>
    <d v="2022-01-25T00:00:00"/>
    <n v="128"/>
    <x v="127"/>
    <x v="3"/>
    <e v="#REF!"/>
    <e v="#REF!"/>
    <n v="11"/>
    <s v="Valorisables"/>
    <x v="10"/>
    <n v="1.5499999999999998"/>
    <n v="1.05"/>
    <n v="0.49999999999999978"/>
    <n v="2.100840336134454E-2"/>
    <m/>
  </r>
  <r>
    <d v="2022-01-25T00:00:00"/>
    <n v="128"/>
    <x v="127"/>
    <x v="3"/>
    <e v="#REF!"/>
    <e v="#REF!"/>
    <n v="12"/>
    <s v="Refus"/>
    <x v="11"/>
    <n v="47.999999999999993"/>
    <n v="33.950000000000003"/>
    <n v="14.04999999999999"/>
    <n v="0.59033613445378141"/>
    <m/>
  </r>
  <r>
    <d v="2022-01-25T00:00:00"/>
    <n v="129"/>
    <x v="128"/>
    <x v="3"/>
    <n v="28.400000000000002"/>
    <n v="28.499999999999993"/>
    <n v="1"/>
    <s v="Valorisables"/>
    <x v="0"/>
    <n v="1.2"/>
    <n v="0.55000000000000004"/>
    <n v="0.64999999999999991"/>
    <n v="2.2807017543859651E-2"/>
    <m/>
  </r>
  <r>
    <d v="2022-01-25T00:00:00"/>
    <n v="129"/>
    <x v="128"/>
    <x v="3"/>
    <n v="28.400000000000002"/>
    <n v="3.5211267605630547E-3"/>
    <n v="2"/>
    <s v="Valorisables"/>
    <x v="1"/>
    <n v="10.35"/>
    <n v="8.3000000000000007"/>
    <n v="2.0499999999999989"/>
    <n v="7.1929824561403483E-2"/>
    <m/>
  </r>
  <r>
    <d v="2022-01-25T00:00:00"/>
    <n v="129"/>
    <x v="128"/>
    <x v="3"/>
    <e v="#REF!"/>
    <e v="#REF!"/>
    <n v="3"/>
    <s v="Valorisables"/>
    <x v="2"/>
    <n v="11.1"/>
    <n v="8.5500000000000007"/>
    <n v="2.5499999999999989"/>
    <n v="8.9473684210526302E-2"/>
    <m/>
  </r>
  <r>
    <d v="2022-01-25T00:00:00"/>
    <n v="129"/>
    <x v="128"/>
    <x v="3"/>
    <e v="#REF!"/>
    <e v="#REF!"/>
    <n v="4"/>
    <s v="Valorisables"/>
    <x v="3"/>
    <n v="2.1"/>
    <n v="1.05"/>
    <n v="1.05"/>
    <n v="3.6842105263157905E-2"/>
    <m/>
  </r>
  <r>
    <d v="2022-01-25T00:00:00"/>
    <n v="129"/>
    <x v="128"/>
    <x v="3"/>
    <e v="#REF!"/>
    <e v="#REF!"/>
    <n v="5"/>
    <s v="Valorisables"/>
    <x v="4"/>
    <n v="1.4"/>
    <n v="0.55000000000000004"/>
    <n v="0.84999999999999987"/>
    <n v="2.9824561403508774E-2"/>
    <m/>
  </r>
  <r>
    <d v="2022-01-25T00:00:00"/>
    <n v="129"/>
    <x v="128"/>
    <x v="3"/>
    <e v="#REF!"/>
    <e v="#REF!"/>
    <n v="6"/>
    <s v="Valorisables"/>
    <x v="5"/>
    <m/>
    <m/>
    <n v="0"/>
    <n v="0"/>
    <m/>
  </r>
  <r>
    <d v="2022-01-25T00:00:00"/>
    <n v="129"/>
    <x v="128"/>
    <x v="3"/>
    <e v="#REF!"/>
    <e v="#REF!"/>
    <n v="7"/>
    <s v="Valorisables"/>
    <x v="6"/>
    <m/>
    <m/>
    <n v="0"/>
    <n v="0"/>
    <m/>
  </r>
  <r>
    <d v="2022-01-25T00:00:00"/>
    <n v="129"/>
    <x v="128"/>
    <x v="3"/>
    <e v="#REF!"/>
    <e v="#REF!"/>
    <n v="8"/>
    <s v="Valorisables"/>
    <x v="7"/>
    <n v="1.45"/>
    <n v="0.55000000000000004"/>
    <n v="0.89999999999999991"/>
    <n v="3.1578947368421061E-2"/>
    <m/>
  </r>
  <r>
    <d v="2022-01-25T00:00:00"/>
    <n v="129"/>
    <x v="128"/>
    <x v="3"/>
    <e v="#REF!"/>
    <e v="#REF!"/>
    <n v="9"/>
    <s v="Valorisables"/>
    <x v="8"/>
    <m/>
    <m/>
    <n v="0"/>
    <n v="0"/>
    <m/>
  </r>
  <r>
    <d v="2022-01-25T00:00:00"/>
    <n v="129"/>
    <x v="128"/>
    <x v="3"/>
    <e v="#REF!"/>
    <e v="#REF!"/>
    <n v="10"/>
    <s v="Valorisables"/>
    <x v="9"/>
    <n v="12.3"/>
    <n v="8.5500000000000007"/>
    <n v="3.75"/>
    <n v="0.13157894736842107"/>
    <m/>
  </r>
  <r>
    <d v="2022-01-25T00:00:00"/>
    <n v="129"/>
    <x v="128"/>
    <x v="3"/>
    <e v="#REF!"/>
    <e v="#REF!"/>
    <n v="11"/>
    <s v="Valorisables"/>
    <x v="10"/>
    <n v="10"/>
    <n v="9.1000000000000014"/>
    <n v="0.89999999999999858"/>
    <n v="3.1578947368421012E-2"/>
    <m/>
  </r>
  <r>
    <d v="2022-01-25T00:00:00"/>
    <n v="129"/>
    <x v="128"/>
    <x v="3"/>
    <e v="#REF!"/>
    <e v="#REF!"/>
    <n v="12"/>
    <s v="Refus"/>
    <x v="11"/>
    <n v="49.7"/>
    <n v="33.900000000000006"/>
    <n v="15.799999999999997"/>
    <n v="0.55438596491228076"/>
    <m/>
  </r>
  <r>
    <d v="2022-01-26T00:00:00"/>
    <n v="130"/>
    <x v="129"/>
    <x v="6"/>
    <n v="35"/>
    <n v="34.999999999999993"/>
    <n v="1"/>
    <s v="Valorisables"/>
    <x v="0"/>
    <n v="0.6"/>
    <n v="0.55000000000000004"/>
    <n v="4.9999999999999933E-2"/>
    <n v="1.4285714285714271E-3"/>
    <m/>
  </r>
  <r>
    <d v="2022-01-26T00:00:00"/>
    <n v="130"/>
    <x v="129"/>
    <x v="6"/>
    <n v="35"/>
    <n v="-2.0301221021717148E-16"/>
    <n v="2"/>
    <s v="Valorisables"/>
    <x v="1"/>
    <n v="0.75"/>
    <n v="0.55000000000000004"/>
    <n v="0.19999999999999996"/>
    <n v="5.7142857142857143E-3"/>
    <m/>
  </r>
  <r>
    <d v="2022-01-26T00:00:00"/>
    <n v="130"/>
    <x v="129"/>
    <x v="6"/>
    <e v="#REF!"/>
    <e v="#REF!"/>
    <n v="3"/>
    <s v="Valorisables"/>
    <x v="2"/>
    <n v="0.65"/>
    <n v="0.5"/>
    <n v="0.15000000000000002"/>
    <n v="4.2857142857142868E-3"/>
    <m/>
  </r>
  <r>
    <d v="2022-01-26T00:00:00"/>
    <n v="130"/>
    <x v="129"/>
    <x v="6"/>
    <e v="#REF!"/>
    <e v="#REF!"/>
    <n v="4"/>
    <s v="Valorisables"/>
    <x v="3"/>
    <n v="0.6"/>
    <n v="0.55000000000000004"/>
    <n v="4.9999999999999933E-2"/>
    <n v="1.4285714285714271E-3"/>
    <m/>
  </r>
  <r>
    <d v="2022-01-26T00:00:00"/>
    <n v="130"/>
    <x v="129"/>
    <x v="6"/>
    <e v="#REF!"/>
    <e v="#REF!"/>
    <n v="5"/>
    <s v="Valorisables"/>
    <x v="4"/>
    <n v="0.75"/>
    <n v="0.55000000000000004"/>
    <n v="0.19999999999999996"/>
    <n v="5.7142857142857143E-3"/>
    <m/>
  </r>
  <r>
    <d v="2022-01-26T00:00:00"/>
    <n v="130"/>
    <x v="129"/>
    <x v="6"/>
    <e v="#REF!"/>
    <e v="#REF!"/>
    <n v="6"/>
    <s v="Valorisables"/>
    <x v="5"/>
    <m/>
    <m/>
    <n v="0"/>
    <n v="0"/>
    <m/>
  </r>
  <r>
    <d v="2022-01-26T00:00:00"/>
    <n v="130"/>
    <x v="129"/>
    <x v="6"/>
    <e v="#REF!"/>
    <e v="#REF!"/>
    <n v="7"/>
    <s v="Valorisables"/>
    <x v="6"/>
    <n v="35.35"/>
    <n v="12.1"/>
    <n v="23.25"/>
    <n v="0.66428571428571437"/>
    <m/>
  </r>
  <r>
    <d v="2022-01-26T00:00:00"/>
    <n v="130"/>
    <x v="129"/>
    <x v="6"/>
    <e v="#REF!"/>
    <e v="#REF!"/>
    <n v="8"/>
    <s v="Valorisables"/>
    <x v="7"/>
    <n v="9.6999999999999993"/>
    <n v="8.3000000000000007"/>
    <n v="1.3999999999999986"/>
    <n v="3.9999999999999966E-2"/>
    <m/>
  </r>
  <r>
    <d v="2022-01-26T00:00:00"/>
    <n v="130"/>
    <x v="129"/>
    <x v="6"/>
    <e v="#REF!"/>
    <e v="#REF!"/>
    <n v="9"/>
    <s v="Valorisables"/>
    <x v="8"/>
    <m/>
    <m/>
    <n v="0"/>
    <n v="0"/>
    <m/>
  </r>
  <r>
    <d v="2022-01-26T00:00:00"/>
    <n v="130"/>
    <x v="129"/>
    <x v="6"/>
    <e v="#REF!"/>
    <e v="#REF!"/>
    <n v="10"/>
    <s v="Valorisables"/>
    <x v="9"/>
    <n v="19.899999999999999"/>
    <n v="16.8"/>
    <n v="3.0999999999999979"/>
    <n v="8.8571428571428523E-2"/>
    <m/>
  </r>
  <r>
    <d v="2022-01-26T00:00:00"/>
    <n v="130"/>
    <x v="129"/>
    <x v="6"/>
    <e v="#REF!"/>
    <e v="#REF!"/>
    <n v="11"/>
    <s v="Valorisables"/>
    <x v="10"/>
    <n v="0"/>
    <n v="0"/>
    <n v="0"/>
    <n v="0"/>
    <m/>
  </r>
  <r>
    <d v="2022-01-26T00:00:00"/>
    <n v="130"/>
    <x v="129"/>
    <x v="6"/>
    <e v="#REF!"/>
    <e v="#REF!"/>
    <n v="12"/>
    <s v="Refus"/>
    <x v="11"/>
    <n v="23.45"/>
    <n v="16.850000000000001"/>
    <n v="6.5999999999999979"/>
    <n v="0.18857142857142856"/>
    <m/>
  </r>
  <r>
    <d v="2022-01-26T00:00:00"/>
    <n v="131"/>
    <x v="130"/>
    <x v="6"/>
    <n v="30.400000000000002"/>
    <n v="30.4"/>
    <n v="1"/>
    <s v="Valorisables"/>
    <x v="0"/>
    <m/>
    <m/>
    <n v="0"/>
    <n v="0"/>
    <m/>
  </r>
  <r>
    <d v="2022-01-26T00:00:00"/>
    <n v="131"/>
    <x v="130"/>
    <x v="6"/>
    <n v="30.400000000000002"/>
    <n v="-1.1686558153949016E-16"/>
    <n v="2"/>
    <s v="Valorisables"/>
    <x v="1"/>
    <n v="0.7"/>
    <n v="0.5"/>
    <n v="0.19999999999999996"/>
    <n v="6.5789473684210514E-3"/>
    <m/>
  </r>
  <r>
    <d v="2022-01-26T00:00:00"/>
    <n v="131"/>
    <x v="130"/>
    <x v="6"/>
    <e v="#REF!"/>
    <e v="#REF!"/>
    <n v="3"/>
    <s v="Valorisables"/>
    <x v="2"/>
    <n v="0.6"/>
    <n v="0.55000000000000004"/>
    <n v="4.9999999999999933E-2"/>
    <n v="1.6447368421052611E-3"/>
    <m/>
  </r>
  <r>
    <d v="2022-01-26T00:00:00"/>
    <n v="131"/>
    <x v="130"/>
    <x v="6"/>
    <e v="#REF!"/>
    <e v="#REF!"/>
    <n v="4"/>
    <s v="Valorisables"/>
    <x v="3"/>
    <n v="0.65"/>
    <n v="0.5"/>
    <n v="0.15000000000000002"/>
    <n v="4.9342105263157901E-3"/>
    <m/>
  </r>
  <r>
    <d v="2022-01-26T00:00:00"/>
    <n v="131"/>
    <x v="130"/>
    <x v="6"/>
    <e v="#REF!"/>
    <e v="#REF!"/>
    <n v="5"/>
    <s v="Valorisables"/>
    <x v="4"/>
    <n v="0.65"/>
    <n v="0.55000000000000004"/>
    <n v="9.9999999999999978E-2"/>
    <n v="3.2894736842105257E-3"/>
    <m/>
  </r>
  <r>
    <d v="2022-01-26T00:00:00"/>
    <n v="131"/>
    <x v="130"/>
    <x v="6"/>
    <e v="#REF!"/>
    <e v="#REF!"/>
    <n v="6"/>
    <s v="Valorisables"/>
    <x v="5"/>
    <m/>
    <m/>
    <n v="0"/>
    <n v="0"/>
    <m/>
  </r>
  <r>
    <d v="2022-01-26T00:00:00"/>
    <n v="131"/>
    <x v="130"/>
    <x v="6"/>
    <e v="#REF!"/>
    <e v="#REF!"/>
    <n v="7"/>
    <s v="Valorisables"/>
    <x v="6"/>
    <n v="32.200000000000003"/>
    <n v="12.1"/>
    <n v="20.100000000000001"/>
    <n v="0.66118421052631582"/>
    <m/>
  </r>
  <r>
    <d v="2022-01-26T00:00:00"/>
    <n v="131"/>
    <x v="130"/>
    <x v="6"/>
    <e v="#REF!"/>
    <e v="#REF!"/>
    <n v="8"/>
    <s v="Valorisables"/>
    <x v="7"/>
    <n v="2.65"/>
    <n v="1.1000000000000001"/>
    <n v="1.5499999999999998"/>
    <n v="5.0986842105263157E-2"/>
    <m/>
  </r>
  <r>
    <d v="2022-01-26T00:00:00"/>
    <n v="131"/>
    <x v="130"/>
    <x v="6"/>
    <e v="#REF!"/>
    <e v="#REF!"/>
    <n v="9"/>
    <s v="Valorisables"/>
    <x v="8"/>
    <m/>
    <m/>
    <n v="0"/>
    <n v="0"/>
    <m/>
  </r>
  <r>
    <d v="2022-01-26T00:00:00"/>
    <n v="131"/>
    <x v="130"/>
    <x v="6"/>
    <e v="#REF!"/>
    <e v="#REF!"/>
    <n v="10"/>
    <s v="Valorisables"/>
    <x v="9"/>
    <n v="20.25"/>
    <n v="16.600000000000001"/>
    <n v="3.6499999999999986"/>
    <n v="0.12006578947368417"/>
    <m/>
  </r>
  <r>
    <d v="2022-01-26T00:00:00"/>
    <n v="131"/>
    <x v="130"/>
    <x v="6"/>
    <e v="#REF!"/>
    <e v="#REF!"/>
    <n v="11"/>
    <s v="Valorisables"/>
    <x v="10"/>
    <m/>
    <m/>
    <n v="0"/>
    <n v="0"/>
    <m/>
  </r>
  <r>
    <d v="2022-01-26T00:00:00"/>
    <n v="131"/>
    <x v="130"/>
    <x v="6"/>
    <e v="#REF!"/>
    <e v="#REF!"/>
    <n v="12"/>
    <s v="Refus"/>
    <x v="11"/>
    <n v="21.45"/>
    <n v="16.850000000000001"/>
    <n v="4.5999999999999979"/>
    <n v="0.15131578947368415"/>
    <m/>
  </r>
  <r>
    <d v="2022-01-26T00:00:00"/>
    <n v="132"/>
    <x v="131"/>
    <x v="3"/>
    <n v="35"/>
    <n v="35.849999999999994"/>
    <n v="1"/>
    <s v="Valorisables"/>
    <x v="0"/>
    <n v="0.95"/>
    <n v="0.55000000000000004"/>
    <n v="0.39999999999999991"/>
    <n v="1.1157601115760111E-2"/>
    <m/>
  </r>
  <r>
    <d v="2022-01-26T00:00:00"/>
    <n v="132"/>
    <x v="131"/>
    <x v="3"/>
    <n v="35"/>
    <n v="2.4285714285714122E-2"/>
    <n v="2"/>
    <s v="Valorisables"/>
    <x v="1"/>
    <n v="10.1"/>
    <n v="8.5500000000000007"/>
    <n v="1.5499999999999989"/>
    <n v="4.3235704323570406E-2"/>
    <m/>
  </r>
  <r>
    <d v="2022-01-26T00:00:00"/>
    <n v="132"/>
    <x v="131"/>
    <x v="3"/>
    <e v="#REF!"/>
    <e v="#REF!"/>
    <n v="3"/>
    <s v="Valorisables"/>
    <x v="2"/>
    <n v="4.5999999999999996"/>
    <n v="1.6500000000000001"/>
    <n v="2.9499999999999993"/>
    <n v="8.2287308228730816E-2"/>
    <m/>
  </r>
  <r>
    <d v="2022-01-26T00:00:00"/>
    <n v="132"/>
    <x v="131"/>
    <x v="3"/>
    <e v="#REF!"/>
    <e v="#REF!"/>
    <n v="4"/>
    <s v="Valorisables"/>
    <x v="3"/>
    <n v="1.45"/>
    <n v="0.55000000000000004"/>
    <n v="0.89999999999999991"/>
    <n v="2.5104602510460254E-2"/>
    <m/>
  </r>
  <r>
    <d v="2022-01-26T00:00:00"/>
    <n v="132"/>
    <x v="131"/>
    <x v="3"/>
    <e v="#REF!"/>
    <e v="#REF!"/>
    <n v="5"/>
    <s v="Valorisables"/>
    <x v="4"/>
    <n v="2.5999999999999996"/>
    <n v="1.1000000000000001"/>
    <n v="1.4999999999999996"/>
    <n v="4.184100418410041E-2"/>
    <m/>
  </r>
  <r>
    <d v="2022-01-26T00:00:00"/>
    <n v="132"/>
    <x v="131"/>
    <x v="3"/>
    <e v="#REF!"/>
    <e v="#REF!"/>
    <n v="6"/>
    <s v="Valorisables"/>
    <x v="5"/>
    <m/>
    <m/>
    <n v="0"/>
    <n v="0"/>
    <m/>
  </r>
  <r>
    <d v="2022-01-26T00:00:00"/>
    <n v="132"/>
    <x v="131"/>
    <x v="3"/>
    <e v="#REF!"/>
    <e v="#REF!"/>
    <n v="7"/>
    <s v="Valorisables"/>
    <x v="6"/>
    <m/>
    <m/>
    <n v="0"/>
    <n v="0"/>
    <m/>
  </r>
  <r>
    <d v="2022-01-26T00:00:00"/>
    <n v="132"/>
    <x v="131"/>
    <x v="3"/>
    <e v="#REF!"/>
    <e v="#REF!"/>
    <n v="8"/>
    <s v="Valorisables"/>
    <x v="7"/>
    <n v="1.85"/>
    <n v="0.55000000000000004"/>
    <n v="1.3"/>
    <n v="3.6262203626220367E-2"/>
    <m/>
  </r>
  <r>
    <d v="2022-01-26T00:00:00"/>
    <n v="132"/>
    <x v="131"/>
    <x v="3"/>
    <e v="#REF!"/>
    <e v="#REF!"/>
    <n v="9"/>
    <s v="Valorisables"/>
    <x v="8"/>
    <m/>
    <m/>
    <n v="0"/>
    <n v="0"/>
    <m/>
  </r>
  <r>
    <d v="2022-01-26T00:00:00"/>
    <n v="132"/>
    <x v="131"/>
    <x v="3"/>
    <e v="#REF!"/>
    <e v="#REF!"/>
    <n v="10"/>
    <s v="Valorisables"/>
    <x v="9"/>
    <n v="12.05"/>
    <n v="8.3000000000000007"/>
    <n v="3.75"/>
    <n v="0.10460251046025107"/>
    <m/>
  </r>
  <r>
    <d v="2022-01-26T00:00:00"/>
    <n v="132"/>
    <x v="131"/>
    <x v="3"/>
    <e v="#REF!"/>
    <e v="#REF!"/>
    <n v="11"/>
    <s v="Valorisables"/>
    <x v="10"/>
    <n v="0.65"/>
    <n v="0.5"/>
    <n v="0.15000000000000002"/>
    <n v="4.1841004184100432E-3"/>
    <m/>
  </r>
  <r>
    <d v="2022-01-26T00:00:00"/>
    <n v="132"/>
    <x v="131"/>
    <x v="3"/>
    <e v="#REF!"/>
    <e v="#REF!"/>
    <n v="12"/>
    <s v="Refus"/>
    <x v="11"/>
    <n v="48.75"/>
    <n v="25.400000000000002"/>
    <n v="23.349999999999998"/>
    <n v="0.6513249651324966"/>
    <m/>
  </r>
  <r>
    <d v="2022-01-26T00:00:00"/>
    <n v="133"/>
    <x v="132"/>
    <x v="12"/>
    <n v="24.2"/>
    <n v="24.300000000000004"/>
    <n v="1"/>
    <s v="Valorisables"/>
    <x v="0"/>
    <m/>
    <m/>
    <n v="0"/>
    <n v="0"/>
    <m/>
  </r>
  <r>
    <d v="2022-01-26T00:00:00"/>
    <n v="133"/>
    <x v="132"/>
    <x v="12"/>
    <n v="24.2"/>
    <n v="4.1322314049588834E-3"/>
    <n v="2"/>
    <s v="Valorisables"/>
    <x v="1"/>
    <n v="0.65"/>
    <n v="0.5"/>
    <n v="0.15000000000000002"/>
    <n v="6.1728395061728392E-3"/>
    <m/>
  </r>
  <r>
    <d v="2022-01-26T00:00:00"/>
    <n v="133"/>
    <x v="132"/>
    <x v="12"/>
    <e v="#REF!"/>
    <e v="#REF!"/>
    <n v="3"/>
    <s v="Valorisables"/>
    <x v="2"/>
    <n v="0.55000000000000004"/>
    <n v="0.5"/>
    <n v="5.0000000000000044E-2"/>
    <n v="2.0576131687242813E-3"/>
    <m/>
  </r>
  <r>
    <d v="2022-01-26T00:00:00"/>
    <n v="133"/>
    <x v="132"/>
    <x v="12"/>
    <e v="#REF!"/>
    <e v="#REF!"/>
    <n v="4"/>
    <s v="Valorisables"/>
    <x v="3"/>
    <m/>
    <m/>
    <n v="0"/>
    <n v="0"/>
    <m/>
  </r>
  <r>
    <d v="2022-01-26T00:00:00"/>
    <n v="133"/>
    <x v="132"/>
    <x v="12"/>
    <e v="#REF!"/>
    <e v="#REF!"/>
    <n v="5"/>
    <s v="Valorisables"/>
    <x v="4"/>
    <m/>
    <m/>
    <n v="0"/>
    <n v="0"/>
    <m/>
  </r>
  <r>
    <d v="2022-01-26T00:00:00"/>
    <n v="133"/>
    <x v="132"/>
    <x v="12"/>
    <e v="#REF!"/>
    <e v="#REF!"/>
    <n v="6"/>
    <s v="Valorisables"/>
    <x v="5"/>
    <m/>
    <m/>
    <n v="0"/>
    <n v="0"/>
    <m/>
  </r>
  <r>
    <d v="2022-01-26T00:00:00"/>
    <n v="133"/>
    <x v="132"/>
    <x v="12"/>
    <e v="#REF!"/>
    <e v="#REF!"/>
    <n v="7"/>
    <s v="Valorisables"/>
    <x v="6"/>
    <m/>
    <m/>
    <n v="0"/>
    <n v="0"/>
    <m/>
  </r>
  <r>
    <d v="2022-01-26T00:00:00"/>
    <n v="133"/>
    <x v="132"/>
    <x v="12"/>
    <e v="#REF!"/>
    <e v="#REF!"/>
    <n v="8"/>
    <s v="Valorisables"/>
    <x v="7"/>
    <n v="0.7"/>
    <n v="0.55000000000000004"/>
    <n v="0.14999999999999991"/>
    <n v="6.1728395061728348E-3"/>
    <m/>
  </r>
  <r>
    <d v="2022-01-26T00:00:00"/>
    <n v="133"/>
    <x v="132"/>
    <x v="12"/>
    <e v="#REF!"/>
    <e v="#REF!"/>
    <n v="9"/>
    <s v="Valorisables"/>
    <x v="8"/>
    <m/>
    <m/>
    <n v="0"/>
    <n v="0"/>
    <m/>
  </r>
  <r>
    <d v="2022-01-26T00:00:00"/>
    <n v="133"/>
    <x v="132"/>
    <x v="12"/>
    <e v="#REF!"/>
    <e v="#REF!"/>
    <n v="10"/>
    <s v="Valorisables"/>
    <x v="9"/>
    <n v="0.05"/>
    <m/>
    <n v="0.05"/>
    <n v="2.0576131687242796E-3"/>
    <m/>
  </r>
  <r>
    <d v="2022-01-26T00:00:00"/>
    <n v="133"/>
    <x v="132"/>
    <x v="12"/>
    <e v="#REF!"/>
    <e v="#REF!"/>
    <n v="11"/>
    <s v="Valorisables"/>
    <x v="10"/>
    <n v="83.45"/>
    <n v="59.55"/>
    <n v="23.900000000000006"/>
    <n v="0.98353909465020584"/>
    <m/>
  </r>
  <r>
    <d v="2022-01-26T00:00:00"/>
    <n v="133"/>
    <x v="132"/>
    <x v="12"/>
    <e v="#REF!"/>
    <e v="#REF!"/>
    <n v="12"/>
    <s v="Refus"/>
    <x v="11"/>
    <m/>
    <m/>
    <n v="0"/>
    <n v="0"/>
    <m/>
  </r>
  <r>
    <d v="2022-01-26T00:00:00"/>
    <n v="134"/>
    <x v="133"/>
    <x v="4"/>
    <n v="25"/>
    <n v="25.600000000000009"/>
    <n v="1"/>
    <s v="Valorisables"/>
    <x v="0"/>
    <n v="78.7"/>
    <n v="59.099999999999994"/>
    <n v="19.600000000000009"/>
    <n v="0.76562500000000011"/>
    <m/>
  </r>
  <r>
    <d v="2022-01-26T00:00:00"/>
    <n v="134"/>
    <x v="133"/>
    <x v="4"/>
    <n v="25"/>
    <n v="2.4000000000000341E-2"/>
    <n v="2"/>
    <s v="Valorisables"/>
    <x v="1"/>
    <n v="22.4"/>
    <n v="17.05"/>
    <n v="5.3499999999999979"/>
    <n v="0.20898437499999983"/>
    <m/>
  </r>
  <r>
    <d v="2022-01-26T00:00:00"/>
    <n v="134"/>
    <x v="133"/>
    <x v="4"/>
    <e v="#REF!"/>
    <e v="#REF!"/>
    <n v="3"/>
    <s v="Valorisables"/>
    <x v="2"/>
    <n v="0.75"/>
    <n v="0.55000000000000004"/>
    <n v="0.19999999999999996"/>
    <n v="7.8124999999999957E-3"/>
    <m/>
  </r>
  <r>
    <d v="2022-01-26T00:00:00"/>
    <n v="134"/>
    <x v="133"/>
    <x v="4"/>
    <e v="#REF!"/>
    <e v="#REF!"/>
    <n v="4"/>
    <s v="Valorisables"/>
    <x v="3"/>
    <m/>
    <m/>
    <n v="0"/>
    <n v="0"/>
    <m/>
  </r>
  <r>
    <d v="2022-01-26T00:00:00"/>
    <n v="134"/>
    <x v="133"/>
    <x v="4"/>
    <e v="#REF!"/>
    <e v="#REF!"/>
    <n v="5"/>
    <s v="Valorisables"/>
    <x v="4"/>
    <m/>
    <m/>
    <n v="0"/>
    <n v="0"/>
    <m/>
  </r>
  <r>
    <d v="2022-01-26T00:00:00"/>
    <n v="134"/>
    <x v="133"/>
    <x v="4"/>
    <e v="#REF!"/>
    <e v="#REF!"/>
    <n v="6"/>
    <s v="Valorisables"/>
    <x v="5"/>
    <m/>
    <m/>
    <n v="0"/>
    <n v="0"/>
    <m/>
  </r>
  <r>
    <d v="2022-01-26T00:00:00"/>
    <n v="134"/>
    <x v="133"/>
    <x v="4"/>
    <e v="#REF!"/>
    <e v="#REF!"/>
    <n v="7"/>
    <s v="Valorisables"/>
    <x v="6"/>
    <m/>
    <m/>
    <n v="0"/>
    <n v="0"/>
    <m/>
  </r>
  <r>
    <d v="2022-01-26T00:00:00"/>
    <n v="134"/>
    <x v="133"/>
    <x v="4"/>
    <e v="#REF!"/>
    <e v="#REF!"/>
    <n v="8"/>
    <s v="Valorisables"/>
    <x v="7"/>
    <n v="0.05"/>
    <m/>
    <n v="0.05"/>
    <n v="1.9531249999999996E-3"/>
    <m/>
  </r>
  <r>
    <d v="2022-01-26T00:00:00"/>
    <n v="134"/>
    <x v="133"/>
    <x v="4"/>
    <e v="#REF!"/>
    <e v="#REF!"/>
    <n v="9"/>
    <s v="Valorisables"/>
    <x v="8"/>
    <m/>
    <m/>
    <n v="0"/>
    <n v="0"/>
    <m/>
  </r>
  <r>
    <d v="2022-01-26T00:00:00"/>
    <n v="134"/>
    <x v="133"/>
    <x v="4"/>
    <e v="#REF!"/>
    <e v="#REF!"/>
    <n v="10"/>
    <s v="Valorisables"/>
    <x v="9"/>
    <m/>
    <m/>
    <n v="0"/>
    <n v="0"/>
    <m/>
  </r>
  <r>
    <d v="2022-01-26T00:00:00"/>
    <n v="134"/>
    <x v="133"/>
    <x v="4"/>
    <e v="#REF!"/>
    <e v="#REF!"/>
    <n v="11"/>
    <s v="Valorisables"/>
    <x v="10"/>
    <n v="0.6"/>
    <n v="0.55000000000000004"/>
    <n v="4.9999999999999933E-2"/>
    <n v="1.9531249999999967E-3"/>
    <m/>
  </r>
  <r>
    <d v="2022-01-26T00:00:00"/>
    <n v="134"/>
    <x v="133"/>
    <x v="4"/>
    <e v="#REF!"/>
    <e v="#REF!"/>
    <n v="12"/>
    <s v="Refus"/>
    <x v="11"/>
    <n v="0.9"/>
    <n v="0.55000000000000004"/>
    <n v="0.35"/>
    <n v="1.3671874999999995E-2"/>
    <m/>
  </r>
  <r>
    <d v="2022-01-26T00:00:00"/>
    <n v="135"/>
    <x v="134"/>
    <x v="10"/>
    <n v="33.299999999999997"/>
    <n v="34.350000000000023"/>
    <n v="1"/>
    <s v="Valorisables"/>
    <x v="0"/>
    <n v="0.65"/>
    <n v="0.55000000000000004"/>
    <n v="9.9999999999999978E-2"/>
    <n v="2.9112081513828214E-3"/>
    <m/>
  </r>
  <r>
    <d v="2022-01-26T00:00:00"/>
    <n v="135"/>
    <x v="134"/>
    <x v="10"/>
    <n v="33.299999999999997"/>
    <n v="3.1531531531532306E-2"/>
    <n v="2"/>
    <s v="Valorisables"/>
    <x v="1"/>
    <n v="0.85"/>
    <n v="0.5"/>
    <n v="0.35"/>
    <n v="1.0189228529839877E-2"/>
    <m/>
  </r>
  <r>
    <d v="2022-01-26T00:00:00"/>
    <n v="135"/>
    <x v="134"/>
    <x v="10"/>
    <e v="#REF!"/>
    <e v="#REF!"/>
    <n v="3"/>
    <s v="Valorisables"/>
    <x v="2"/>
    <n v="106.10000000000002"/>
    <n v="75.899999999999991"/>
    <n v="30.200000000000031"/>
    <n v="0.87918486171761312"/>
    <m/>
  </r>
  <r>
    <d v="2022-01-26T00:00:00"/>
    <n v="135"/>
    <x v="134"/>
    <x v="10"/>
    <e v="#REF!"/>
    <e v="#REF!"/>
    <n v="4"/>
    <s v="Valorisables"/>
    <x v="3"/>
    <n v="1.3"/>
    <n v="0.55000000000000004"/>
    <n v="0.75"/>
    <n v="2.1834061135371164E-2"/>
    <m/>
  </r>
  <r>
    <d v="2022-01-26T00:00:00"/>
    <n v="135"/>
    <x v="134"/>
    <x v="10"/>
    <e v="#REF!"/>
    <e v="#REF!"/>
    <n v="5"/>
    <s v="Valorisables"/>
    <x v="4"/>
    <n v="0.65"/>
    <n v="0.5"/>
    <n v="0.15000000000000002"/>
    <n v="4.3668122270742338E-3"/>
    <m/>
  </r>
  <r>
    <d v="2022-01-26T00:00:00"/>
    <n v="135"/>
    <x v="134"/>
    <x v="10"/>
    <e v="#REF!"/>
    <e v="#REF!"/>
    <n v="6"/>
    <s v="Valorisables"/>
    <x v="5"/>
    <m/>
    <m/>
    <n v="0"/>
    <n v="0"/>
    <m/>
  </r>
  <r>
    <d v="2022-01-26T00:00:00"/>
    <n v="135"/>
    <x v="134"/>
    <x v="10"/>
    <e v="#REF!"/>
    <e v="#REF!"/>
    <n v="7"/>
    <s v="Valorisables"/>
    <x v="6"/>
    <m/>
    <m/>
    <n v="0"/>
    <n v="0"/>
    <m/>
  </r>
  <r>
    <d v="2022-01-26T00:00:00"/>
    <n v="135"/>
    <x v="134"/>
    <x v="10"/>
    <e v="#REF!"/>
    <e v="#REF!"/>
    <n v="8"/>
    <s v="Valorisables"/>
    <x v="7"/>
    <n v="0.75"/>
    <n v="0.55000000000000004"/>
    <n v="0.19999999999999996"/>
    <n v="5.8224163027656428E-3"/>
    <m/>
  </r>
  <r>
    <d v="2022-01-26T00:00:00"/>
    <n v="135"/>
    <x v="134"/>
    <x v="10"/>
    <e v="#REF!"/>
    <e v="#REF!"/>
    <n v="9"/>
    <s v="Valorisables"/>
    <x v="8"/>
    <m/>
    <m/>
    <n v="0"/>
    <n v="0"/>
    <m/>
  </r>
  <r>
    <d v="2022-01-26T00:00:00"/>
    <n v="135"/>
    <x v="134"/>
    <x v="10"/>
    <e v="#REF!"/>
    <e v="#REF!"/>
    <n v="10"/>
    <s v="Valorisables"/>
    <x v="9"/>
    <n v="1.05"/>
    <n v="0.55000000000000004"/>
    <n v="0.5"/>
    <n v="1.4556040756914111E-2"/>
    <m/>
  </r>
  <r>
    <d v="2022-01-26T00:00:00"/>
    <n v="135"/>
    <x v="134"/>
    <x v="10"/>
    <e v="#REF!"/>
    <e v="#REF!"/>
    <n v="11"/>
    <s v="Valorisables"/>
    <x v="10"/>
    <n v="0.6"/>
    <n v="0.55000000000000004"/>
    <n v="4.9999999999999933E-2"/>
    <n v="1.455604075691409E-3"/>
    <m/>
  </r>
  <r>
    <d v="2022-01-26T00:00:00"/>
    <n v="135"/>
    <x v="134"/>
    <x v="10"/>
    <e v="#REF!"/>
    <e v="#REF!"/>
    <n v="12"/>
    <s v="Refus"/>
    <x v="11"/>
    <n v="11.149999999999999"/>
    <n v="9.1000000000000014"/>
    <n v="2.0499999999999972"/>
    <n v="5.9679767103347769E-2"/>
    <m/>
  </r>
  <r>
    <d v="2022-01-26T00:00:00"/>
    <n v="136"/>
    <x v="135"/>
    <x v="10"/>
    <n v="38"/>
    <n v="38.050000000000004"/>
    <n v="1"/>
    <s v="Valorisables"/>
    <x v="0"/>
    <n v="0.8"/>
    <n v="0.55000000000000004"/>
    <n v="0.25"/>
    <n v="6.5703022339027584E-3"/>
    <m/>
  </r>
  <r>
    <d v="2022-01-26T00:00:00"/>
    <n v="136"/>
    <x v="135"/>
    <x v="10"/>
    <n v="38"/>
    <n v="1.3157894736843228E-3"/>
    <n v="2"/>
    <s v="Valorisables"/>
    <x v="1"/>
    <n v="1"/>
    <n v="0.5"/>
    <n v="0.5"/>
    <n v="1.3140604467805517E-2"/>
    <m/>
  </r>
  <r>
    <d v="2022-01-26T00:00:00"/>
    <n v="136"/>
    <x v="135"/>
    <x v="10"/>
    <e v="#REF!"/>
    <e v="#REF!"/>
    <n v="3"/>
    <s v="Valorisables"/>
    <x v="2"/>
    <n v="91.4"/>
    <n v="59.05"/>
    <n v="32.350000000000009"/>
    <n v="0.85019710906701718"/>
    <m/>
  </r>
  <r>
    <d v="2022-01-26T00:00:00"/>
    <n v="136"/>
    <x v="135"/>
    <x v="10"/>
    <e v="#REF!"/>
    <e v="#REF!"/>
    <n v="4"/>
    <s v="Valorisables"/>
    <x v="3"/>
    <n v="1.05"/>
    <n v="0.55000000000000004"/>
    <n v="0.5"/>
    <n v="1.3140604467805517E-2"/>
    <m/>
  </r>
  <r>
    <d v="2022-01-26T00:00:00"/>
    <n v="136"/>
    <x v="135"/>
    <x v="10"/>
    <e v="#REF!"/>
    <e v="#REF!"/>
    <n v="5"/>
    <s v="Valorisables"/>
    <x v="4"/>
    <n v="0.65"/>
    <n v="0.55000000000000004"/>
    <n v="9.9999999999999978E-2"/>
    <n v="2.628120893561103E-3"/>
    <m/>
  </r>
  <r>
    <d v="2022-01-26T00:00:00"/>
    <n v="136"/>
    <x v="135"/>
    <x v="10"/>
    <e v="#REF!"/>
    <e v="#REF!"/>
    <n v="6"/>
    <s v="Valorisables"/>
    <x v="5"/>
    <m/>
    <m/>
    <n v="0"/>
    <n v="0"/>
    <m/>
  </r>
  <r>
    <d v="2022-01-26T00:00:00"/>
    <n v="136"/>
    <x v="135"/>
    <x v="10"/>
    <e v="#REF!"/>
    <e v="#REF!"/>
    <n v="7"/>
    <s v="Valorisables"/>
    <x v="6"/>
    <m/>
    <m/>
    <n v="0"/>
    <n v="0"/>
    <m/>
  </r>
  <r>
    <d v="2022-01-26T00:00:00"/>
    <n v="136"/>
    <x v="135"/>
    <x v="10"/>
    <e v="#REF!"/>
    <e v="#REF!"/>
    <n v="8"/>
    <s v="Valorisables"/>
    <x v="7"/>
    <n v="1.1000000000000001"/>
    <n v="0.55000000000000004"/>
    <n v="0.55000000000000004"/>
    <n v="1.4454664914586071E-2"/>
    <m/>
  </r>
  <r>
    <d v="2022-01-26T00:00:00"/>
    <n v="136"/>
    <x v="135"/>
    <x v="10"/>
    <e v="#REF!"/>
    <e v="#REF!"/>
    <n v="9"/>
    <s v="Valorisables"/>
    <x v="8"/>
    <m/>
    <m/>
    <n v="0"/>
    <n v="0"/>
    <m/>
  </r>
  <r>
    <d v="2022-01-26T00:00:00"/>
    <n v="136"/>
    <x v="135"/>
    <x v="10"/>
    <e v="#REF!"/>
    <e v="#REF!"/>
    <n v="10"/>
    <s v="Valorisables"/>
    <x v="9"/>
    <n v="1.25"/>
    <n v="0.5"/>
    <n v="0.75"/>
    <n v="1.9710906701708275E-2"/>
    <m/>
  </r>
  <r>
    <d v="2022-01-26T00:00:00"/>
    <n v="136"/>
    <x v="135"/>
    <x v="10"/>
    <e v="#REF!"/>
    <e v="#REF!"/>
    <n v="11"/>
    <s v="Valorisables"/>
    <x v="10"/>
    <m/>
    <m/>
    <n v="0"/>
    <n v="0"/>
    <m/>
  </r>
  <r>
    <d v="2022-01-26T00:00:00"/>
    <n v="136"/>
    <x v="135"/>
    <x v="10"/>
    <e v="#REF!"/>
    <e v="#REF!"/>
    <n v="12"/>
    <s v="Refus"/>
    <x v="11"/>
    <n v="11.6"/>
    <n v="8.5500000000000007"/>
    <n v="3.0499999999999989"/>
    <n v="8.0157687253613635E-2"/>
    <m/>
  </r>
  <r>
    <d v="2022-01-26T00:00:00"/>
    <n v="137"/>
    <x v="136"/>
    <x v="14"/>
    <n v="37"/>
    <n v="37.400000000000006"/>
    <n v="1"/>
    <s v="Valorisables"/>
    <x v="0"/>
    <n v="0.65"/>
    <n v="0.55000000000000004"/>
    <n v="9.9999999999999978E-2"/>
    <n v="2.6737967914438492E-3"/>
    <m/>
  </r>
  <r>
    <d v="2022-01-26T00:00:00"/>
    <n v="137"/>
    <x v="136"/>
    <x v="14"/>
    <n v="37"/>
    <n v="1.0810810810810964E-2"/>
    <n v="2"/>
    <s v="Valorisables"/>
    <x v="1"/>
    <n v="0.75"/>
    <n v="0.55000000000000004"/>
    <n v="0.19999999999999996"/>
    <n v="5.3475935828876985E-3"/>
    <m/>
  </r>
  <r>
    <d v="2022-01-26T00:00:00"/>
    <n v="137"/>
    <x v="136"/>
    <x v="14"/>
    <e v="#REF!"/>
    <e v="#REF!"/>
    <n v="3"/>
    <s v="Valorisables"/>
    <x v="2"/>
    <n v="9.85"/>
    <n v="8.5500000000000007"/>
    <n v="1.2999999999999989"/>
    <n v="3.4759358288770019E-2"/>
    <m/>
  </r>
  <r>
    <d v="2022-01-26T00:00:00"/>
    <n v="137"/>
    <x v="136"/>
    <x v="14"/>
    <e v="#REF!"/>
    <e v="#REF!"/>
    <n v="4"/>
    <s v="Valorisables"/>
    <x v="3"/>
    <n v="1.35"/>
    <n v="0.55000000000000004"/>
    <n v="0.8"/>
    <n v="2.1390374331550801E-2"/>
    <m/>
  </r>
  <r>
    <d v="2022-01-26T00:00:00"/>
    <n v="137"/>
    <x v="136"/>
    <x v="14"/>
    <e v="#REF!"/>
    <e v="#REF!"/>
    <n v="5"/>
    <s v="Valorisables"/>
    <x v="4"/>
    <n v="52.45"/>
    <n v="33.700000000000003"/>
    <n v="18.75"/>
    <n v="0.50133689839572182"/>
    <m/>
  </r>
  <r>
    <d v="2022-01-26T00:00:00"/>
    <n v="137"/>
    <x v="136"/>
    <x v="14"/>
    <e v="#REF!"/>
    <e v="#REF!"/>
    <n v="6"/>
    <s v="Valorisables"/>
    <x v="5"/>
    <n v="0.85"/>
    <n v="0.55000000000000004"/>
    <n v="0.29999999999999993"/>
    <n v="8.0213903743315482E-3"/>
    <m/>
  </r>
  <r>
    <d v="2022-01-26T00:00:00"/>
    <n v="137"/>
    <x v="136"/>
    <x v="14"/>
    <e v="#REF!"/>
    <e v="#REF!"/>
    <n v="7"/>
    <s v="Valorisables"/>
    <x v="6"/>
    <m/>
    <m/>
    <n v="0"/>
    <n v="0"/>
    <m/>
  </r>
  <r>
    <d v="2022-01-26T00:00:00"/>
    <n v="137"/>
    <x v="136"/>
    <x v="14"/>
    <e v="#REF!"/>
    <e v="#REF!"/>
    <n v="8"/>
    <s v="Valorisables"/>
    <x v="7"/>
    <n v="1.45"/>
    <n v="0.55000000000000004"/>
    <n v="0.89999999999999991"/>
    <n v="2.4064171122994648E-2"/>
    <m/>
  </r>
  <r>
    <d v="2022-01-26T00:00:00"/>
    <n v="137"/>
    <x v="136"/>
    <x v="14"/>
    <e v="#REF!"/>
    <e v="#REF!"/>
    <n v="9"/>
    <s v="Valorisables"/>
    <x v="8"/>
    <m/>
    <m/>
    <n v="0"/>
    <n v="0"/>
    <m/>
  </r>
  <r>
    <d v="2022-01-26T00:00:00"/>
    <n v="137"/>
    <x v="136"/>
    <x v="14"/>
    <e v="#REF!"/>
    <e v="#REF!"/>
    <n v="10"/>
    <s v="Valorisables"/>
    <x v="9"/>
    <n v="12.2"/>
    <n v="1.05"/>
    <n v="11.149999999999999"/>
    <n v="0.29812834224598922"/>
    <m/>
  </r>
  <r>
    <d v="2022-01-26T00:00:00"/>
    <n v="137"/>
    <x v="136"/>
    <x v="14"/>
    <e v="#REF!"/>
    <e v="#REF!"/>
    <n v="11"/>
    <s v="Valorisables"/>
    <x v="10"/>
    <n v="0.75"/>
    <n v="0.5"/>
    <n v="0.25"/>
    <n v="6.6844919786096246E-3"/>
    <m/>
  </r>
  <r>
    <d v="2022-01-26T00:00:00"/>
    <n v="137"/>
    <x v="136"/>
    <x v="14"/>
    <e v="#REF!"/>
    <e v="#REF!"/>
    <n v="12"/>
    <s v="Refus"/>
    <x v="11"/>
    <n v="20.700000000000003"/>
    <n v="17.05"/>
    <n v="3.6500000000000021"/>
    <n v="9.7593582887700578E-2"/>
    <m/>
  </r>
  <r>
    <d v="2022-01-26T00:00:00"/>
    <n v="138"/>
    <x v="137"/>
    <x v="14"/>
    <n v="32.799999999999997"/>
    <n v="32.699999999999996"/>
    <n v="1"/>
    <s v="Valorisables"/>
    <x v="0"/>
    <n v="0.8"/>
    <n v="0.55000000000000004"/>
    <n v="0.25"/>
    <n v="7.6452599388379212E-3"/>
    <m/>
  </r>
  <r>
    <d v="2022-01-26T00:00:00"/>
    <n v="138"/>
    <x v="137"/>
    <x v="14"/>
    <n v="32.799999999999997"/>
    <n v="-3.0487804878049215E-3"/>
    <n v="2"/>
    <s v="Valorisables"/>
    <x v="1"/>
    <n v="0.7"/>
    <n v="0.55000000000000004"/>
    <n v="0.14999999999999991"/>
    <n v="4.5871559633027499E-3"/>
    <m/>
  </r>
  <r>
    <d v="2022-01-26T00:00:00"/>
    <n v="138"/>
    <x v="137"/>
    <x v="14"/>
    <e v="#REF!"/>
    <e v="#REF!"/>
    <n v="3"/>
    <s v="Valorisables"/>
    <x v="2"/>
    <n v="1.2"/>
    <n v="0.55000000000000004"/>
    <n v="0.64999999999999991"/>
    <n v="1.9877675840978593E-2"/>
    <m/>
  </r>
  <r>
    <d v="2022-01-26T00:00:00"/>
    <n v="138"/>
    <x v="137"/>
    <x v="14"/>
    <e v="#REF!"/>
    <e v="#REF!"/>
    <n v="4"/>
    <s v="Valorisables"/>
    <x v="3"/>
    <n v="1.25"/>
    <n v="0.55000000000000004"/>
    <n v="0.7"/>
    <n v="2.140672782874618E-2"/>
    <m/>
  </r>
  <r>
    <d v="2022-01-26T00:00:00"/>
    <n v="138"/>
    <x v="137"/>
    <x v="14"/>
    <e v="#REF!"/>
    <e v="#REF!"/>
    <n v="5"/>
    <s v="Valorisables"/>
    <x v="4"/>
    <n v="55.900000000000006"/>
    <n v="34.150000000000006"/>
    <n v="21.75"/>
    <n v="0.6651376146788992"/>
    <m/>
  </r>
  <r>
    <d v="2022-01-26T00:00:00"/>
    <n v="138"/>
    <x v="137"/>
    <x v="14"/>
    <e v="#REF!"/>
    <e v="#REF!"/>
    <n v="6"/>
    <s v="Valorisables"/>
    <x v="5"/>
    <n v="1.35"/>
    <n v="0.5"/>
    <n v="0.85000000000000009"/>
    <n v="2.5993883792048936E-2"/>
    <m/>
  </r>
  <r>
    <d v="2022-01-26T00:00:00"/>
    <n v="138"/>
    <x v="137"/>
    <x v="14"/>
    <e v="#REF!"/>
    <e v="#REF!"/>
    <n v="7"/>
    <s v="Valorisables"/>
    <x v="6"/>
    <m/>
    <m/>
    <n v="0"/>
    <n v="0"/>
    <m/>
  </r>
  <r>
    <d v="2022-01-26T00:00:00"/>
    <n v="138"/>
    <x v="137"/>
    <x v="14"/>
    <e v="#REF!"/>
    <e v="#REF!"/>
    <n v="8"/>
    <s v="Valorisables"/>
    <x v="7"/>
    <n v="0.9"/>
    <n v="0.5"/>
    <n v="0.4"/>
    <n v="1.2232415902140675E-2"/>
    <m/>
  </r>
  <r>
    <d v="2022-01-26T00:00:00"/>
    <n v="138"/>
    <x v="137"/>
    <x v="14"/>
    <e v="#REF!"/>
    <e v="#REF!"/>
    <n v="9"/>
    <s v="Valorisables"/>
    <x v="8"/>
    <m/>
    <m/>
    <n v="0"/>
    <n v="0"/>
    <m/>
  </r>
  <r>
    <d v="2022-01-26T00:00:00"/>
    <n v="138"/>
    <x v="137"/>
    <x v="14"/>
    <e v="#REF!"/>
    <e v="#REF!"/>
    <n v="10"/>
    <s v="Valorisables"/>
    <x v="9"/>
    <n v="11.3"/>
    <n v="8.5500000000000007"/>
    <n v="2.75"/>
    <n v="8.4097859327217139E-2"/>
    <m/>
  </r>
  <r>
    <d v="2022-01-26T00:00:00"/>
    <n v="138"/>
    <x v="137"/>
    <x v="14"/>
    <e v="#REF!"/>
    <e v="#REF!"/>
    <n v="11"/>
    <s v="Valorisables"/>
    <x v="10"/>
    <n v="0.9"/>
    <n v="0.5"/>
    <n v="0.4"/>
    <n v="1.2232415902140675E-2"/>
    <m/>
  </r>
  <r>
    <d v="2022-01-26T00:00:00"/>
    <n v="138"/>
    <x v="137"/>
    <x v="14"/>
    <e v="#REF!"/>
    <e v="#REF!"/>
    <n v="12"/>
    <s v="Refus"/>
    <x v="11"/>
    <n v="21.65"/>
    <n v="16.850000000000001"/>
    <n v="4.7999999999999972"/>
    <n v="0.146788990825688"/>
    <m/>
  </r>
  <r>
    <d v="2022-01-26T00:00:00"/>
    <n v="139"/>
    <x v="138"/>
    <x v="8"/>
    <n v="30.8"/>
    <n v="30.400000000000013"/>
    <n v="1"/>
    <s v="Valorisables"/>
    <x v="0"/>
    <m/>
    <m/>
    <n v="0"/>
    <n v="0"/>
    <m/>
  </r>
  <r>
    <d v="2022-01-26T00:00:00"/>
    <n v="139"/>
    <x v="138"/>
    <x v="8"/>
    <n v="30.8"/>
    <n v="-1.2987012987012594E-2"/>
    <n v="2"/>
    <s v="Valorisables"/>
    <x v="1"/>
    <m/>
    <m/>
    <n v="0"/>
    <n v="0"/>
    <m/>
  </r>
  <r>
    <d v="2022-01-26T00:00:00"/>
    <n v="139"/>
    <x v="138"/>
    <x v="8"/>
    <e v="#REF!"/>
    <e v="#REF!"/>
    <n v="3"/>
    <s v="Valorisables"/>
    <x v="2"/>
    <m/>
    <m/>
    <n v="0"/>
    <n v="0"/>
    <m/>
  </r>
  <r>
    <d v="2022-01-26T00:00:00"/>
    <n v="139"/>
    <x v="138"/>
    <x v="8"/>
    <e v="#REF!"/>
    <e v="#REF!"/>
    <n v="4"/>
    <s v="Valorisables"/>
    <x v="3"/>
    <m/>
    <m/>
    <n v="0"/>
    <n v="0"/>
    <m/>
  </r>
  <r>
    <d v="2022-01-26T00:00:00"/>
    <n v="139"/>
    <x v="138"/>
    <x v="8"/>
    <e v="#REF!"/>
    <e v="#REF!"/>
    <n v="5"/>
    <s v="Valorisables"/>
    <x v="4"/>
    <m/>
    <m/>
    <n v="0"/>
    <n v="0"/>
    <m/>
  </r>
  <r>
    <d v="2022-01-26T00:00:00"/>
    <n v="139"/>
    <x v="138"/>
    <x v="8"/>
    <e v="#REF!"/>
    <e v="#REF!"/>
    <n v="6"/>
    <s v="Valorisables"/>
    <x v="5"/>
    <m/>
    <m/>
    <n v="0"/>
    <n v="0"/>
    <m/>
  </r>
  <r>
    <d v="2022-01-26T00:00:00"/>
    <n v="139"/>
    <x v="138"/>
    <x v="8"/>
    <e v="#REF!"/>
    <e v="#REF!"/>
    <n v="7"/>
    <s v="Valorisables"/>
    <x v="6"/>
    <m/>
    <m/>
    <n v="0"/>
    <n v="0"/>
    <m/>
  </r>
  <r>
    <d v="2022-01-26T00:00:00"/>
    <n v="139"/>
    <x v="138"/>
    <x v="8"/>
    <e v="#REF!"/>
    <e v="#REF!"/>
    <n v="8"/>
    <s v="Valorisables"/>
    <x v="7"/>
    <n v="0.9"/>
    <n v="0.55000000000000004"/>
    <n v="0.35"/>
    <n v="1.1513157894736836E-2"/>
    <m/>
  </r>
  <r>
    <d v="2022-01-26T00:00:00"/>
    <n v="139"/>
    <x v="138"/>
    <x v="8"/>
    <e v="#REF!"/>
    <e v="#REF!"/>
    <n v="9"/>
    <s v="Valorisables"/>
    <x v="8"/>
    <m/>
    <m/>
    <n v="0"/>
    <n v="0"/>
    <m/>
  </r>
  <r>
    <d v="2022-01-26T00:00:00"/>
    <n v="139"/>
    <x v="138"/>
    <x v="8"/>
    <e v="#REF!"/>
    <e v="#REF!"/>
    <n v="10"/>
    <s v="Valorisables"/>
    <x v="9"/>
    <n v="88.9"/>
    <n v="59.349999999999994"/>
    <n v="29.550000000000011"/>
    <n v="0.97203947368421051"/>
    <m/>
  </r>
  <r>
    <d v="2022-01-26T00:00:00"/>
    <n v="139"/>
    <x v="138"/>
    <x v="8"/>
    <e v="#REF!"/>
    <e v="#REF!"/>
    <n v="11"/>
    <s v="Valorisables"/>
    <x v="10"/>
    <n v="0.9"/>
    <n v="0.5"/>
    <n v="0.4"/>
    <n v="1.3157894736842101E-2"/>
    <m/>
  </r>
  <r>
    <d v="2022-01-26T00:00:00"/>
    <n v="139"/>
    <x v="138"/>
    <x v="8"/>
    <e v="#REF!"/>
    <e v="#REF!"/>
    <n v="12"/>
    <s v="Refus"/>
    <x v="11"/>
    <n v="0.65"/>
    <n v="0.55000000000000004"/>
    <n v="9.9999999999999978E-2"/>
    <n v="3.2894736842105244E-3"/>
    <m/>
  </r>
  <r>
    <d v="2022-01-26T00:00:00"/>
    <n v="140"/>
    <x v="139"/>
    <x v="8"/>
    <n v="34"/>
    <n v="33.75"/>
    <n v="1"/>
    <s v="Valorisables"/>
    <x v="0"/>
    <m/>
    <m/>
    <n v="0"/>
    <n v="0"/>
    <m/>
  </r>
  <r>
    <d v="2022-01-26T00:00:00"/>
    <n v="140"/>
    <x v="139"/>
    <x v="8"/>
    <n v="34"/>
    <n v="-7.3529411764705881E-3"/>
    <n v="2"/>
    <s v="Valorisables"/>
    <x v="1"/>
    <m/>
    <m/>
    <n v="0"/>
    <n v="0"/>
    <m/>
  </r>
  <r>
    <d v="2022-01-26T00:00:00"/>
    <n v="140"/>
    <x v="139"/>
    <x v="8"/>
    <e v="#REF!"/>
    <e v="#REF!"/>
    <n v="3"/>
    <s v="Valorisables"/>
    <x v="2"/>
    <m/>
    <m/>
    <n v="0"/>
    <n v="0"/>
    <m/>
  </r>
  <r>
    <d v="2022-01-26T00:00:00"/>
    <n v="140"/>
    <x v="139"/>
    <x v="8"/>
    <e v="#REF!"/>
    <e v="#REF!"/>
    <n v="4"/>
    <s v="Valorisables"/>
    <x v="3"/>
    <m/>
    <m/>
    <n v="0"/>
    <n v="0"/>
    <m/>
  </r>
  <r>
    <d v="2022-01-26T00:00:00"/>
    <n v="140"/>
    <x v="139"/>
    <x v="8"/>
    <e v="#REF!"/>
    <e v="#REF!"/>
    <n v="5"/>
    <s v="Valorisables"/>
    <x v="4"/>
    <m/>
    <m/>
    <n v="0"/>
    <n v="0"/>
    <m/>
  </r>
  <r>
    <d v="2022-01-26T00:00:00"/>
    <n v="140"/>
    <x v="139"/>
    <x v="8"/>
    <e v="#REF!"/>
    <e v="#REF!"/>
    <n v="6"/>
    <s v="Valorisables"/>
    <x v="5"/>
    <m/>
    <m/>
    <n v="0"/>
    <n v="0"/>
    <m/>
  </r>
  <r>
    <d v="2022-01-26T00:00:00"/>
    <n v="140"/>
    <x v="139"/>
    <x v="8"/>
    <e v="#REF!"/>
    <e v="#REF!"/>
    <n v="7"/>
    <s v="Valorisables"/>
    <x v="6"/>
    <m/>
    <m/>
    <n v="0"/>
    <n v="0"/>
    <m/>
  </r>
  <r>
    <d v="2022-01-26T00:00:00"/>
    <n v="140"/>
    <x v="139"/>
    <x v="8"/>
    <e v="#REF!"/>
    <e v="#REF!"/>
    <n v="8"/>
    <s v="Valorisables"/>
    <x v="7"/>
    <n v="0.85"/>
    <n v="0.5"/>
    <n v="0.35"/>
    <n v="1.037037037037037E-2"/>
    <m/>
  </r>
  <r>
    <d v="2022-01-26T00:00:00"/>
    <n v="140"/>
    <x v="139"/>
    <x v="8"/>
    <e v="#REF!"/>
    <e v="#REF!"/>
    <n v="9"/>
    <s v="Valorisables"/>
    <x v="8"/>
    <m/>
    <m/>
    <n v="0"/>
    <n v="0"/>
    <m/>
  </r>
  <r>
    <d v="2022-01-26T00:00:00"/>
    <n v="140"/>
    <x v="139"/>
    <x v="8"/>
    <e v="#REF!"/>
    <e v="#REF!"/>
    <n v="10"/>
    <s v="Valorisables"/>
    <x v="9"/>
    <n v="92.25"/>
    <n v="59.3"/>
    <n v="32.950000000000003"/>
    <n v="0.97629629629629633"/>
    <m/>
  </r>
  <r>
    <d v="2022-01-26T00:00:00"/>
    <n v="140"/>
    <x v="139"/>
    <x v="8"/>
    <e v="#REF!"/>
    <e v="#REF!"/>
    <n v="11"/>
    <s v="Valorisables"/>
    <x v="10"/>
    <n v="0.6"/>
    <n v="0.55000000000000004"/>
    <n v="4.9999999999999933E-2"/>
    <n v="1.4814814814814795E-3"/>
    <m/>
  </r>
  <r>
    <d v="2022-01-26T00:00:00"/>
    <n v="140"/>
    <x v="139"/>
    <x v="8"/>
    <e v="#REF!"/>
    <e v="#REF!"/>
    <n v="12"/>
    <s v="Refus"/>
    <x v="11"/>
    <n v="0.95"/>
    <n v="0.55000000000000004"/>
    <n v="0.39999999999999991"/>
    <n v="1.185185185185185E-2"/>
    <m/>
  </r>
  <r>
    <d v="2022-01-27T00:00:00"/>
    <n v="141"/>
    <x v="140"/>
    <x v="8"/>
    <n v="39.199999999999996"/>
    <n v="39.79999999999999"/>
    <n v="1"/>
    <s v="Valorisables"/>
    <x v="0"/>
    <m/>
    <m/>
    <n v="0"/>
    <n v="0"/>
    <m/>
  </r>
  <r>
    <d v="2022-01-27T00:00:00"/>
    <n v="141"/>
    <x v="140"/>
    <x v="8"/>
    <n v="39.199999999999996"/>
    <n v="1.5306122448979449E-2"/>
    <n v="2"/>
    <s v="Valorisables"/>
    <x v="1"/>
    <m/>
    <m/>
    <n v="0"/>
    <n v="0"/>
    <m/>
  </r>
  <r>
    <d v="2022-01-27T00:00:00"/>
    <n v="141"/>
    <x v="140"/>
    <x v="8"/>
    <e v="#REF!"/>
    <e v="#REF!"/>
    <n v="3"/>
    <s v="Valorisables"/>
    <x v="2"/>
    <m/>
    <m/>
    <n v="0"/>
    <n v="0"/>
    <m/>
  </r>
  <r>
    <d v="2022-01-27T00:00:00"/>
    <n v="141"/>
    <x v="140"/>
    <x v="8"/>
    <e v="#REF!"/>
    <e v="#REF!"/>
    <n v="4"/>
    <s v="Valorisables"/>
    <x v="3"/>
    <n v="0.55000000000000004"/>
    <n v="0.5"/>
    <n v="5.0000000000000044E-2"/>
    <n v="1.2562814070351774E-3"/>
    <m/>
  </r>
  <r>
    <d v="2022-01-27T00:00:00"/>
    <n v="141"/>
    <x v="140"/>
    <x v="8"/>
    <e v="#REF!"/>
    <e v="#REF!"/>
    <n v="5"/>
    <s v="Valorisables"/>
    <x v="4"/>
    <m/>
    <m/>
    <n v="0"/>
    <n v="0"/>
    <m/>
  </r>
  <r>
    <d v="2022-01-27T00:00:00"/>
    <n v="141"/>
    <x v="140"/>
    <x v="8"/>
    <e v="#REF!"/>
    <e v="#REF!"/>
    <n v="6"/>
    <s v="Valorisables"/>
    <x v="5"/>
    <m/>
    <m/>
    <n v="0"/>
    <n v="0"/>
    <m/>
  </r>
  <r>
    <d v="2022-01-27T00:00:00"/>
    <n v="141"/>
    <x v="140"/>
    <x v="8"/>
    <e v="#REF!"/>
    <e v="#REF!"/>
    <n v="7"/>
    <s v="Valorisables"/>
    <x v="6"/>
    <m/>
    <m/>
    <n v="0"/>
    <n v="0"/>
    <m/>
  </r>
  <r>
    <d v="2022-01-27T00:00:00"/>
    <n v="141"/>
    <x v="140"/>
    <x v="8"/>
    <e v="#REF!"/>
    <e v="#REF!"/>
    <n v="8"/>
    <s v="Valorisables"/>
    <x v="7"/>
    <n v="10.15"/>
    <n v="9.1000000000000014"/>
    <n v="1.0499999999999989"/>
    <n v="2.6381909547738672E-2"/>
    <m/>
  </r>
  <r>
    <d v="2022-01-27T00:00:00"/>
    <n v="141"/>
    <x v="140"/>
    <x v="8"/>
    <e v="#REF!"/>
    <e v="#REF!"/>
    <n v="9"/>
    <s v="Valorisables"/>
    <x v="8"/>
    <n v="0.6"/>
    <n v="0.55000000000000004"/>
    <n v="4.9999999999999933E-2"/>
    <n v="1.2562814070351746E-3"/>
    <m/>
  </r>
  <r>
    <d v="2022-01-27T00:00:00"/>
    <n v="141"/>
    <x v="140"/>
    <x v="8"/>
    <e v="#REF!"/>
    <e v="#REF!"/>
    <n v="10"/>
    <s v="Valorisables"/>
    <x v="9"/>
    <n v="105.74999999999999"/>
    <n v="67.599999999999994"/>
    <n v="38.149999999999991"/>
    <n v="0.95854271356783927"/>
    <m/>
  </r>
  <r>
    <d v="2022-01-27T00:00:00"/>
    <n v="141"/>
    <x v="140"/>
    <x v="8"/>
    <e v="#REF!"/>
    <e v="#REF!"/>
    <n v="11"/>
    <s v="Valorisables"/>
    <x v="10"/>
    <n v="0.6"/>
    <n v="0.5"/>
    <n v="9.9999999999999978E-2"/>
    <n v="2.5125628140703518E-3"/>
    <m/>
  </r>
  <r>
    <d v="2022-01-27T00:00:00"/>
    <n v="141"/>
    <x v="140"/>
    <x v="8"/>
    <e v="#REF!"/>
    <e v="#REF!"/>
    <n v="12"/>
    <s v="Refus"/>
    <x v="11"/>
    <n v="0.95"/>
    <n v="0.55000000000000004"/>
    <n v="0.39999999999999991"/>
    <n v="1.0050251256281407E-2"/>
    <m/>
  </r>
  <r>
    <d v="2022-01-27T00:00:00"/>
    <n v="142"/>
    <x v="141"/>
    <x v="23"/>
    <n v="7.3999999999999995"/>
    <n v="7.2999999999999989"/>
    <n v="1"/>
    <s v="Valorisables"/>
    <x v="0"/>
    <n v="38.700000000000003"/>
    <n v="33.700000000000003"/>
    <n v="5"/>
    <n v="0.68493150684931514"/>
    <m/>
  </r>
  <r>
    <d v="2022-01-27T00:00:00"/>
    <n v="142"/>
    <x v="141"/>
    <x v="23"/>
    <n v="7.3999999999999995"/>
    <n v="-1.3513513513513587E-2"/>
    <n v="2"/>
    <s v="Valorisables"/>
    <x v="1"/>
    <n v="9.75"/>
    <n v="8.5500000000000007"/>
    <n v="1.1999999999999993"/>
    <n v="0.16438356164383555"/>
    <m/>
  </r>
  <r>
    <d v="2022-01-27T00:00:00"/>
    <n v="142"/>
    <x v="141"/>
    <x v="23"/>
    <e v="#REF!"/>
    <e v="#REF!"/>
    <n v="3"/>
    <s v="Valorisables"/>
    <x v="2"/>
    <n v="0.6"/>
    <n v="0.55000000000000004"/>
    <n v="4.9999999999999933E-2"/>
    <n v="6.8493150684931425E-3"/>
    <m/>
  </r>
  <r>
    <d v="2022-01-27T00:00:00"/>
    <n v="142"/>
    <x v="141"/>
    <x v="23"/>
    <e v="#REF!"/>
    <e v="#REF!"/>
    <n v="4"/>
    <s v="Valorisables"/>
    <x v="3"/>
    <m/>
    <m/>
    <n v="0"/>
    <n v="0"/>
    <m/>
  </r>
  <r>
    <d v="2022-01-27T00:00:00"/>
    <n v="142"/>
    <x v="141"/>
    <x v="23"/>
    <e v="#REF!"/>
    <e v="#REF!"/>
    <n v="5"/>
    <s v="Valorisables"/>
    <x v="4"/>
    <n v="0.7"/>
    <n v="0.5"/>
    <n v="0.19999999999999996"/>
    <n v="2.7397260273972601E-2"/>
    <m/>
  </r>
  <r>
    <d v="2022-01-27T00:00:00"/>
    <n v="142"/>
    <x v="141"/>
    <x v="23"/>
    <e v="#REF!"/>
    <e v="#REF!"/>
    <n v="6"/>
    <s v="Valorisables"/>
    <x v="5"/>
    <m/>
    <m/>
    <n v="0"/>
    <n v="0"/>
    <m/>
  </r>
  <r>
    <d v="2022-01-27T00:00:00"/>
    <n v="142"/>
    <x v="141"/>
    <x v="23"/>
    <e v="#REF!"/>
    <e v="#REF!"/>
    <n v="7"/>
    <s v="Valorisables"/>
    <x v="6"/>
    <m/>
    <m/>
    <n v="0"/>
    <n v="0"/>
    <m/>
  </r>
  <r>
    <d v="2022-01-27T00:00:00"/>
    <n v="142"/>
    <x v="141"/>
    <x v="23"/>
    <e v="#REF!"/>
    <e v="#REF!"/>
    <n v="8"/>
    <s v="Valorisables"/>
    <x v="7"/>
    <m/>
    <m/>
    <n v="0"/>
    <n v="0"/>
    <m/>
  </r>
  <r>
    <d v="2022-01-27T00:00:00"/>
    <n v="142"/>
    <x v="141"/>
    <x v="23"/>
    <e v="#REF!"/>
    <e v="#REF!"/>
    <n v="9"/>
    <s v="Valorisables"/>
    <x v="8"/>
    <m/>
    <m/>
    <n v="0"/>
    <n v="0"/>
    <m/>
  </r>
  <r>
    <d v="2022-01-27T00:00:00"/>
    <n v="142"/>
    <x v="141"/>
    <x v="23"/>
    <e v="#REF!"/>
    <e v="#REF!"/>
    <n v="10"/>
    <s v="Valorisables"/>
    <x v="9"/>
    <n v="1.55"/>
    <n v="1.05"/>
    <n v="0.5"/>
    <n v="6.8493150684931517E-2"/>
    <m/>
  </r>
  <r>
    <d v="2022-01-27T00:00:00"/>
    <n v="142"/>
    <x v="141"/>
    <x v="23"/>
    <e v="#REF!"/>
    <e v="#REF!"/>
    <n v="11"/>
    <s v="Valorisables"/>
    <x v="10"/>
    <m/>
    <m/>
    <n v="0"/>
    <n v="0"/>
    <m/>
  </r>
  <r>
    <d v="2022-01-27T00:00:00"/>
    <n v="142"/>
    <x v="141"/>
    <x v="23"/>
    <e v="#REF!"/>
    <e v="#REF!"/>
    <n v="12"/>
    <s v="Refus"/>
    <x v="11"/>
    <n v="0.9"/>
    <n v="0.55000000000000004"/>
    <n v="0.35"/>
    <n v="4.7945205479452059E-2"/>
    <m/>
  </r>
  <r>
    <d v="2022-01-27T00:00:00"/>
    <n v="143"/>
    <x v="142"/>
    <x v="24"/>
    <n v="40.199999999999996"/>
    <n v="39.950000000000003"/>
    <n v="1"/>
    <s v="Valorisables"/>
    <x v="0"/>
    <n v="28.650000000000002"/>
    <n v="25.400000000000002"/>
    <n v="3.25"/>
    <n v="8.1351689612015013E-2"/>
    <m/>
  </r>
  <r>
    <d v="2022-01-27T00:00:00"/>
    <n v="143"/>
    <x v="142"/>
    <x v="24"/>
    <n v="40.199999999999996"/>
    <n v="-6.2189054726366402E-3"/>
    <n v="2"/>
    <s v="Valorisables"/>
    <x v="1"/>
    <n v="29.099999999999998"/>
    <n v="17.899999999999999"/>
    <n v="11.2"/>
    <n v="0.28035043804755944"/>
    <m/>
  </r>
  <r>
    <d v="2022-01-27T00:00:00"/>
    <n v="143"/>
    <x v="142"/>
    <x v="24"/>
    <e v="#REF!"/>
    <e v="#REF!"/>
    <n v="3"/>
    <s v="Valorisables"/>
    <x v="2"/>
    <n v="12.35"/>
    <n v="8.5500000000000007"/>
    <n v="3.7999999999999989"/>
    <n v="9.5118898623279061E-2"/>
    <m/>
  </r>
  <r>
    <d v="2022-01-27T00:00:00"/>
    <n v="143"/>
    <x v="142"/>
    <x v="24"/>
    <e v="#REF!"/>
    <e v="#REF!"/>
    <n v="4"/>
    <s v="Valorisables"/>
    <x v="3"/>
    <n v="1.1499999999999999"/>
    <n v="0.55000000000000004"/>
    <n v="0.59999999999999987"/>
    <n v="1.5018773466833538E-2"/>
    <m/>
  </r>
  <r>
    <d v="2022-01-27T00:00:00"/>
    <n v="143"/>
    <x v="142"/>
    <x v="24"/>
    <e v="#REF!"/>
    <e v="#REF!"/>
    <n v="5"/>
    <s v="Valorisables"/>
    <x v="4"/>
    <n v="6.9"/>
    <n v="1.6500000000000001"/>
    <n v="5.25"/>
    <n v="0.13141426783479349"/>
    <m/>
  </r>
  <r>
    <d v="2022-01-27T00:00:00"/>
    <n v="143"/>
    <x v="142"/>
    <x v="24"/>
    <e v="#REF!"/>
    <e v="#REF!"/>
    <n v="6"/>
    <s v="Valorisables"/>
    <x v="5"/>
    <m/>
    <m/>
    <n v="0"/>
    <n v="0"/>
    <m/>
  </r>
  <r>
    <d v="2022-01-27T00:00:00"/>
    <n v="143"/>
    <x v="142"/>
    <x v="24"/>
    <e v="#REF!"/>
    <e v="#REF!"/>
    <n v="7"/>
    <s v="Valorisables"/>
    <x v="6"/>
    <m/>
    <m/>
    <n v="0"/>
    <n v="0"/>
    <m/>
  </r>
  <r>
    <d v="2022-01-27T00:00:00"/>
    <n v="143"/>
    <x v="142"/>
    <x v="24"/>
    <e v="#REF!"/>
    <e v="#REF!"/>
    <n v="8"/>
    <s v="Valorisables"/>
    <x v="7"/>
    <n v="3"/>
    <n v="1.05"/>
    <n v="1.95"/>
    <n v="4.8811013767209005E-2"/>
    <m/>
  </r>
  <r>
    <d v="2022-01-27T00:00:00"/>
    <n v="143"/>
    <x v="142"/>
    <x v="24"/>
    <e v="#REF!"/>
    <e v="#REF!"/>
    <n v="9"/>
    <s v="Valorisables"/>
    <x v="8"/>
    <m/>
    <m/>
    <n v="0"/>
    <n v="0"/>
    <m/>
  </r>
  <r>
    <d v="2022-01-27T00:00:00"/>
    <n v="143"/>
    <x v="142"/>
    <x v="24"/>
    <e v="#REF!"/>
    <e v="#REF!"/>
    <n v="10"/>
    <s v="Valorisables"/>
    <x v="9"/>
    <n v="24.950000000000003"/>
    <n v="17.100000000000001"/>
    <n v="7.8500000000000014"/>
    <n v="0.19649561952440553"/>
    <m/>
  </r>
  <r>
    <d v="2022-01-27T00:00:00"/>
    <n v="143"/>
    <x v="142"/>
    <x v="24"/>
    <e v="#REF!"/>
    <e v="#REF!"/>
    <n v="11"/>
    <s v="Valorisables"/>
    <x v="10"/>
    <n v="0.7"/>
    <n v="0.55000000000000004"/>
    <n v="0.14999999999999991"/>
    <n v="3.7546933667083832E-3"/>
    <m/>
  </r>
  <r>
    <d v="2022-01-27T00:00:00"/>
    <n v="143"/>
    <x v="142"/>
    <x v="24"/>
    <e v="#REF!"/>
    <e v="#REF!"/>
    <n v="12"/>
    <s v="Refus"/>
    <x v="11"/>
    <n v="14.45"/>
    <n v="8.5500000000000007"/>
    <n v="5.8999999999999986"/>
    <n v="0.14768460575719644"/>
    <m/>
  </r>
  <r>
    <d v="2022-01-27T00:00:00"/>
    <n v="144"/>
    <x v="143"/>
    <x v="22"/>
    <n v="19.100000000000001"/>
    <n v="19.100000000000001"/>
    <n v="1"/>
    <s v="Valorisables"/>
    <x v="0"/>
    <n v="0.8"/>
    <n v="0.55000000000000004"/>
    <n v="0.25"/>
    <n v="1.3089005235602092E-2"/>
    <m/>
  </r>
  <r>
    <d v="2022-01-27T00:00:00"/>
    <n v="144"/>
    <x v="143"/>
    <x v="22"/>
    <n v="19.100000000000001"/>
    <n v="0"/>
    <n v="2"/>
    <s v="Valorisables"/>
    <x v="1"/>
    <n v="9.8000000000000007"/>
    <n v="8.5500000000000007"/>
    <n v="1.25"/>
    <n v="6.5445026178010471E-2"/>
    <m/>
  </r>
  <r>
    <d v="2022-01-27T00:00:00"/>
    <n v="144"/>
    <x v="143"/>
    <x v="22"/>
    <e v="#REF!"/>
    <e v="#REF!"/>
    <n v="3"/>
    <s v="Valorisables"/>
    <x v="2"/>
    <n v="21.1"/>
    <n v="17.100000000000001"/>
    <n v="4"/>
    <n v="0.20942408376963348"/>
    <m/>
  </r>
  <r>
    <d v="2022-01-27T00:00:00"/>
    <n v="144"/>
    <x v="143"/>
    <x v="22"/>
    <e v="#REF!"/>
    <e v="#REF!"/>
    <n v="4"/>
    <s v="Valorisables"/>
    <x v="3"/>
    <n v="10.85"/>
    <n v="8.5500000000000007"/>
    <n v="2.2999999999999989"/>
    <n v="0.1204188481675392"/>
    <m/>
  </r>
  <r>
    <d v="2022-01-27T00:00:00"/>
    <n v="144"/>
    <x v="143"/>
    <x v="22"/>
    <e v="#REF!"/>
    <e v="#REF!"/>
    <n v="5"/>
    <s v="Valorisables"/>
    <x v="4"/>
    <n v="0.85"/>
    <n v="0.55000000000000004"/>
    <n v="0.29999999999999993"/>
    <n v="1.5706806282722509E-2"/>
    <m/>
  </r>
  <r>
    <d v="2022-01-27T00:00:00"/>
    <n v="144"/>
    <x v="143"/>
    <x v="22"/>
    <e v="#REF!"/>
    <e v="#REF!"/>
    <n v="6"/>
    <s v="Valorisables"/>
    <x v="5"/>
    <m/>
    <m/>
    <n v="0"/>
    <n v="0"/>
    <m/>
  </r>
  <r>
    <d v="2022-01-27T00:00:00"/>
    <n v="144"/>
    <x v="143"/>
    <x v="22"/>
    <e v="#REF!"/>
    <e v="#REF!"/>
    <n v="7"/>
    <s v="Valorisables"/>
    <x v="6"/>
    <m/>
    <m/>
    <n v="0"/>
    <n v="0"/>
    <m/>
  </r>
  <r>
    <d v="2022-01-27T00:00:00"/>
    <n v="144"/>
    <x v="143"/>
    <x v="22"/>
    <e v="#REF!"/>
    <e v="#REF!"/>
    <n v="8"/>
    <s v="Valorisables"/>
    <x v="7"/>
    <n v="0.65"/>
    <n v="0.55000000000000004"/>
    <n v="9.9999999999999978E-2"/>
    <n v="5.2356020942408363E-3"/>
    <m/>
  </r>
  <r>
    <d v="2022-01-27T00:00:00"/>
    <n v="144"/>
    <x v="143"/>
    <x v="22"/>
    <e v="#REF!"/>
    <e v="#REF!"/>
    <n v="9"/>
    <s v="Valorisables"/>
    <x v="8"/>
    <m/>
    <m/>
    <n v="0"/>
    <n v="0"/>
    <m/>
  </r>
  <r>
    <d v="2022-01-27T00:00:00"/>
    <n v="144"/>
    <x v="143"/>
    <x v="22"/>
    <e v="#REF!"/>
    <e v="#REF!"/>
    <n v="10"/>
    <s v="Valorisables"/>
    <x v="9"/>
    <n v="9.9"/>
    <n v="8.5"/>
    <n v="1.4000000000000004"/>
    <n v="7.3298429319371736E-2"/>
    <m/>
  </r>
  <r>
    <d v="2022-01-27T00:00:00"/>
    <n v="144"/>
    <x v="143"/>
    <x v="22"/>
    <e v="#REF!"/>
    <e v="#REF!"/>
    <n v="11"/>
    <s v="Valorisables"/>
    <x v="10"/>
    <n v="9.0500000000000007"/>
    <n v="8.5500000000000007"/>
    <n v="0.5"/>
    <n v="2.6178010471204185E-2"/>
    <m/>
  </r>
  <r>
    <d v="2022-01-27T00:00:00"/>
    <n v="144"/>
    <x v="143"/>
    <x v="22"/>
    <e v="#REF!"/>
    <e v="#REF!"/>
    <n v="12"/>
    <s v="Refus"/>
    <x v="11"/>
    <n v="18.100000000000001"/>
    <n v="9.1000000000000014"/>
    <n v="9"/>
    <n v="0.47120418848167533"/>
    <m/>
  </r>
  <r>
    <d v="2022-01-27T00:00:00"/>
    <n v="145"/>
    <x v="144"/>
    <x v="29"/>
    <n v="13.8"/>
    <n v="13.149999999999999"/>
    <n v="1"/>
    <s v="Valorisables"/>
    <x v="0"/>
    <n v="1.25"/>
    <n v="0.55000000000000004"/>
    <n v="0.7"/>
    <n v="3.3492822966507178E-2"/>
    <m/>
  </r>
  <r>
    <d v="2022-01-27T00:00:00"/>
    <n v="145"/>
    <x v="144"/>
    <x v="29"/>
    <n v="13.8"/>
    <n v="-4.7101449275362473E-2"/>
    <n v="2"/>
    <s v="Valorisables"/>
    <x v="1"/>
    <n v="2.2000000000000002"/>
    <n v="1.1000000000000001"/>
    <n v="1.1000000000000001"/>
    <n v="5.2631578947368432E-2"/>
    <m/>
  </r>
  <r>
    <d v="2022-01-27T00:00:00"/>
    <n v="145"/>
    <x v="144"/>
    <x v="29"/>
    <e v="#REF!"/>
    <e v="#REF!"/>
    <n v="3"/>
    <s v="Valorisables"/>
    <x v="2"/>
    <n v="12.55"/>
    <n v="8.5500000000000007"/>
    <n v="4"/>
    <n v="0.19138755980861244"/>
    <m/>
  </r>
  <r>
    <d v="2022-01-27T00:00:00"/>
    <n v="145"/>
    <x v="144"/>
    <x v="29"/>
    <e v="#REF!"/>
    <e v="#REF!"/>
    <n v="4"/>
    <s v="Valorisables"/>
    <x v="3"/>
    <n v="2.0499999999999998"/>
    <n v="0.5"/>
    <n v="1.5499999999999998"/>
    <n v="7.4162679425837319E-2"/>
    <m/>
  </r>
  <r>
    <d v="2022-01-27T00:00:00"/>
    <n v="145"/>
    <x v="144"/>
    <x v="29"/>
    <e v="#REF!"/>
    <e v="#REF!"/>
    <n v="5"/>
    <s v="Valorisables"/>
    <x v="4"/>
    <n v="0.7"/>
    <n v="0.55000000000000004"/>
    <n v="0.14999999999999991"/>
    <n v="7.1770334928229623E-3"/>
    <m/>
  </r>
  <r>
    <d v="2022-01-27T00:00:00"/>
    <n v="145"/>
    <x v="144"/>
    <x v="29"/>
    <e v="#REF!"/>
    <e v="#REF!"/>
    <n v="6"/>
    <s v="Valorisables"/>
    <x v="5"/>
    <m/>
    <m/>
    <n v="0"/>
    <n v="0"/>
    <m/>
  </r>
  <r>
    <d v="2022-01-27T00:00:00"/>
    <n v="145"/>
    <x v="144"/>
    <x v="29"/>
    <e v="#REF!"/>
    <e v="#REF!"/>
    <n v="7"/>
    <s v="Valorisables"/>
    <x v="6"/>
    <m/>
    <m/>
    <n v="0"/>
    <n v="0"/>
    <m/>
  </r>
  <r>
    <d v="2022-01-27T00:00:00"/>
    <n v="145"/>
    <x v="144"/>
    <x v="29"/>
    <e v="#REF!"/>
    <e v="#REF!"/>
    <n v="8"/>
    <s v="Valorisables"/>
    <x v="7"/>
    <n v="1"/>
    <n v="0.55000000000000004"/>
    <n v="0.44999999999999996"/>
    <n v="2.1531100478468897E-2"/>
    <m/>
  </r>
  <r>
    <d v="2022-01-27T00:00:00"/>
    <n v="145"/>
    <x v="144"/>
    <x v="29"/>
    <e v="#REF!"/>
    <e v="#REF!"/>
    <n v="9"/>
    <s v="Valorisables"/>
    <x v="8"/>
    <m/>
    <m/>
    <n v="0"/>
    <n v="0"/>
    <m/>
  </r>
  <r>
    <d v="2022-01-27T00:00:00"/>
    <n v="145"/>
    <x v="144"/>
    <x v="29"/>
    <e v="#REF!"/>
    <e v="#REF!"/>
    <n v="10"/>
    <s v="Valorisables"/>
    <x v="9"/>
    <n v="2.6"/>
    <n v="1.05"/>
    <n v="1.55"/>
    <n v="7.4162679425837333E-2"/>
    <m/>
  </r>
  <r>
    <d v="2022-01-27T00:00:00"/>
    <n v="145"/>
    <x v="144"/>
    <x v="29"/>
    <e v="#REF!"/>
    <e v="#REF!"/>
    <n v="11"/>
    <s v="Valorisables"/>
    <x v="10"/>
    <n v="8.8000000000000007"/>
    <n v="8.5500000000000007"/>
    <n v="0.25"/>
    <n v="1.1961722488038277E-2"/>
    <m/>
  </r>
  <r>
    <d v="2022-01-27T00:00:00"/>
    <n v="145"/>
    <x v="144"/>
    <x v="29"/>
    <e v="#REF!"/>
    <e v="#REF!"/>
    <n v="12"/>
    <s v="Refus"/>
    <x v="11"/>
    <n v="20.25"/>
    <n v="16.850000000000001"/>
    <n v="3.3999999999999986"/>
    <n v="0.16267942583732051"/>
    <m/>
  </r>
  <r>
    <d v="2022-01-27T00:00:00"/>
    <n v="146"/>
    <x v="145"/>
    <x v="33"/>
    <n v="7.8"/>
    <n v="7.4499999999999984"/>
    <n v="1"/>
    <s v="Valorisables"/>
    <x v="0"/>
    <n v="31.400000000000002"/>
    <n v="25.35"/>
    <n v="6.0500000000000007"/>
    <n v="0.81208053691275195"/>
    <m/>
  </r>
  <r>
    <d v="2022-01-27T00:00:00"/>
    <n v="146"/>
    <x v="145"/>
    <x v="33"/>
    <n v="7.8"/>
    <n v="-4.4871794871795052E-2"/>
    <n v="2"/>
    <s v="Valorisables"/>
    <x v="1"/>
    <n v="9.6999999999999993"/>
    <n v="8.5500000000000007"/>
    <n v="1.1499999999999986"/>
    <n v="0.15436241610738238"/>
    <m/>
  </r>
  <r>
    <d v="2022-01-27T00:00:00"/>
    <n v="146"/>
    <x v="145"/>
    <x v="33"/>
    <e v="#REF!"/>
    <e v="#REF!"/>
    <n v="3"/>
    <s v="Valorisables"/>
    <x v="2"/>
    <m/>
    <m/>
    <n v="0"/>
    <n v="0"/>
    <m/>
  </r>
  <r>
    <d v="2022-01-27T00:00:00"/>
    <n v="146"/>
    <x v="145"/>
    <x v="33"/>
    <e v="#REF!"/>
    <e v="#REF!"/>
    <n v="4"/>
    <s v="Valorisables"/>
    <x v="3"/>
    <m/>
    <m/>
    <n v="0"/>
    <n v="0"/>
    <m/>
  </r>
  <r>
    <d v="2022-01-27T00:00:00"/>
    <n v="146"/>
    <x v="145"/>
    <x v="33"/>
    <e v="#REF!"/>
    <e v="#REF!"/>
    <n v="5"/>
    <s v="Valorisables"/>
    <x v="4"/>
    <n v="0.55000000000000004"/>
    <n v="0.5"/>
    <n v="5.0000000000000044E-2"/>
    <n v="6.711409395973162E-3"/>
    <m/>
  </r>
  <r>
    <d v="2022-01-27T00:00:00"/>
    <n v="146"/>
    <x v="145"/>
    <x v="33"/>
    <e v="#REF!"/>
    <e v="#REF!"/>
    <n v="6"/>
    <s v="Valorisables"/>
    <x v="5"/>
    <m/>
    <m/>
    <n v="0"/>
    <n v="0"/>
    <m/>
  </r>
  <r>
    <d v="2022-01-27T00:00:00"/>
    <n v="146"/>
    <x v="145"/>
    <x v="33"/>
    <e v="#REF!"/>
    <e v="#REF!"/>
    <n v="7"/>
    <s v="Valorisables"/>
    <x v="6"/>
    <m/>
    <m/>
    <n v="0"/>
    <n v="0"/>
    <m/>
  </r>
  <r>
    <d v="2022-01-27T00:00:00"/>
    <n v="146"/>
    <x v="145"/>
    <x v="33"/>
    <e v="#REF!"/>
    <e v="#REF!"/>
    <n v="8"/>
    <s v="Valorisables"/>
    <x v="7"/>
    <n v="0.65"/>
    <n v="0.55000000000000004"/>
    <n v="9.9999999999999978E-2"/>
    <n v="1.3422818791946308E-2"/>
    <m/>
  </r>
  <r>
    <d v="2022-01-27T00:00:00"/>
    <n v="146"/>
    <x v="145"/>
    <x v="33"/>
    <e v="#REF!"/>
    <e v="#REF!"/>
    <n v="9"/>
    <s v="Valorisables"/>
    <x v="8"/>
    <m/>
    <m/>
    <n v="0"/>
    <n v="0"/>
    <m/>
  </r>
  <r>
    <d v="2022-01-27T00:00:00"/>
    <n v="146"/>
    <x v="145"/>
    <x v="33"/>
    <e v="#REF!"/>
    <e v="#REF!"/>
    <n v="10"/>
    <s v="Valorisables"/>
    <x v="9"/>
    <n v="0.6"/>
    <n v="0.55000000000000004"/>
    <n v="4.9999999999999933E-2"/>
    <n v="6.7114093959731473E-3"/>
    <m/>
  </r>
  <r>
    <d v="2022-01-27T00:00:00"/>
    <n v="146"/>
    <x v="145"/>
    <x v="33"/>
    <e v="#REF!"/>
    <e v="#REF!"/>
    <n v="11"/>
    <s v="Valorisables"/>
    <x v="10"/>
    <m/>
    <m/>
    <n v="0"/>
    <n v="0"/>
    <m/>
  </r>
  <r>
    <d v="2022-01-27T00:00:00"/>
    <n v="146"/>
    <x v="145"/>
    <x v="33"/>
    <e v="#REF!"/>
    <e v="#REF!"/>
    <n v="12"/>
    <s v="Refus"/>
    <x v="11"/>
    <n v="0.6"/>
    <n v="0.55000000000000004"/>
    <n v="4.9999999999999933E-2"/>
    <n v="6.7114093959731473E-3"/>
    <m/>
  </r>
  <r>
    <d v="2022-01-27T00:00:00"/>
    <n v="147"/>
    <x v="146"/>
    <x v="32"/>
    <n v="30.8"/>
    <n v="30.599999999999987"/>
    <n v="1"/>
    <s v="Valorisables"/>
    <x v="0"/>
    <n v="1.1499999999999999"/>
    <n v="0.55000000000000004"/>
    <n v="0.59999999999999987"/>
    <n v="1.9607843137254905E-2"/>
    <m/>
  </r>
  <r>
    <d v="2022-01-27T00:00:00"/>
    <n v="147"/>
    <x v="146"/>
    <x v="32"/>
    <n v="30.8"/>
    <n v="-6.493506493506932E-3"/>
    <n v="2"/>
    <s v="Valorisables"/>
    <x v="1"/>
    <n v="1"/>
    <n v="0.5"/>
    <n v="0.5"/>
    <n v="1.633986928104576E-2"/>
    <m/>
  </r>
  <r>
    <d v="2022-01-27T00:00:00"/>
    <n v="147"/>
    <x v="146"/>
    <x v="32"/>
    <e v="#REF!"/>
    <e v="#REF!"/>
    <n v="3"/>
    <s v="Valorisables"/>
    <x v="2"/>
    <n v="13.1"/>
    <n v="9.1000000000000014"/>
    <n v="3.9999999999999982"/>
    <n v="0.13071895424836602"/>
    <m/>
  </r>
  <r>
    <d v="2022-01-27T00:00:00"/>
    <n v="147"/>
    <x v="146"/>
    <x v="32"/>
    <e v="#REF!"/>
    <e v="#REF!"/>
    <n v="4"/>
    <s v="Valorisables"/>
    <x v="3"/>
    <n v="1.1499999999999999"/>
    <n v="0.55000000000000004"/>
    <n v="0.59999999999999987"/>
    <n v="1.9607843137254905E-2"/>
    <m/>
  </r>
  <r>
    <d v="2022-01-27T00:00:00"/>
    <n v="147"/>
    <x v="146"/>
    <x v="32"/>
    <e v="#REF!"/>
    <e v="#REF!"/>
    <n v="5"/>
    <s v="Valorisables"/>
    <x v="4"/>
    <n v="1.8"/>
    <n v="0.55000000000000004"/>
    <n v="1.25"/>
    <n v="4.0849673202614394E-2"/>
    <m/>
  </r>
  <r>
    <d v="2022-01-27T00:00:00"/>
    <n v="147"/>
    <x v="146"/>
    <x v="32"/>
    <e v="#REF!"/>
    <e v="#REF!"/>
    <n v="6"/>
    <s v="Valorisables"/>
    <x v="5"/>
    <m/>
    <m/>
    <n v="0"/>
    <n v="0"/>
    <m/>
  </r>
  <r>
    <d v="2022-01-27T00:00:00"/>
    <n v="147"/>
    <x v="146"/>
    <x v="32"/>
    <e v="#REF!"/>
    <e v="#REF!"/>
    <n v="7"/>
    <s v="Valorisables"/>
    <x v="6"/>
    <m/>
    <m/>
    <n v="0"/>
    <n v="0"/>
    <m/>
  </r>
  <r>
    <d v="2022-01-27T00:00:00"/>
    <n v="147"/>
    <x v="146"/>
    <x v="32"/>
    <e v="#REF!"/>
    <e v="#REF!"/>
    <n v="8"/>
    <s v="Valorisables"/>
    <x v="7"/>
    <n v="3.25"/>
    <n v="0.55000000000000004"/>
    <n v="2.7"/>
    <n v="8.8235294117647106E-2"/>
    <m/>
  </r>
  <r>
    <d v="2022-01-27T00:00:00"/>
    <n v="147"/>
    <x v="146"/>
    <x v="32"/>
    <e v="#REF!"/>
    <e v="#REF!"/>
    <n v="9"/>
    <s v="Valorisables"/>
    <x v="8"/>
    <m/>
    <m/>
    <n v="0"/>
    <n v="0"/>
    <m/>
  </r>
  <r>
    <d v="2022-01-27T00:00:00"/>
    <n v="147"/>
    <x v="146"/>
    <x v="32"/>
    <e v="#REF!"/>
    <e v="#REF!"/>
    <n v="10"/>
    <s v="Valorisables"/>
    <x v="9"/>
    <n v="34.799999999999997"/>
    <n v="25.400000000000002"/>
    <n v="9.399999999999995"/>
    <n v="0.30718954248366009"/>
    <m/>
  </r>
  <r>
    <d v="2022-01-27T00:00:00"/>
    <n v="147"/>
    <x v="146"/>
    <x v="32"/>
    <e v="#REF!"/>
    <e v="#REF!"/>
    <n v="11"/>
    <s v="Valorisables"/>
    <x v="10"/>
    <n v="8.75"/>
    <n v="8.5"/>
    <n v="0.25"/>
    <n v="8.1699346405228798E-3"/>
    <m/>
  </r>
  <r>
    <d v="2022-01-27T00:00:00"/>
    <n v="147"/>
    <x v="146"/>
    <x v="32"/>
    <e v="#REF!"/>
    <e v="#REF!"/>
    <n v="12"/>
    <s v="Refus"/>
    <x v="11"/>
    <n v="36.699999999999996"/>
    <n v="25.400000000000002"/>
    <n v="11.299999999999994"/>
    <n v="0.36928104575163395"/>
    <m/>
  </r>
  <r>
    <d v="2022-01-27T00:00:00"/>
    <n v="148"/>
    <x v="147"/>
    <x v="30"/>
    <n v="15.8"/>
    <n v="16.949999999999992"/>
    <n v="1"/>
    <s v="Valorisables"/>
    <x v="0"/>
    <n v="10.4"/>
    <n v="8.5500000000000007"/>
    <n v="1.8499999999999996"/>
    <n v="0.10914454277286138"/>
    <m/>
  </r>
  <r>
    <d v="2022-01-27T00:00:00"/>
    <n v="148"/>
    <x v="147"/>
    <x v="30"/>
    <n v="15.8"/>
    <n v="7.2784810126581737E-2"/>
    <n v="2"/>
    <s v="Valorisables"/>
    <x v="1"/>
    <n v="32.65"/>
    <n v="25.400000000000002"/>
    <n v="7.2499999999999964"/>
    <n v="0.42772861356932151"/>
    <m/>
  </r>
  <r>
    <d v="2022-01-27T00:00:00"/>
    <n v="148"/>
    <x v="147"/>
    <x v="30"/>
    <e v="#REF!"/>
    <e v="#REF!"/>
    <n v="3"/>
    <s v="Valorisables"/>
    <x v="2"/>
    <n v="10.4"/>
    <n v="8.5500000000000007"/>
    <n v="1.8499999999999996"/>
    <n v="0.10914454277286138"/>
    <m/>
  </r>
  <r>
    <d v="2022-01-27T00:00:00"/>
    <n v="148"/>
    <x v="147"/>
    <x v="30"/>
    <e v="#REF!"/>
    <e v="#REF!"/>
    <n v="4"/>
    <s v="Valorisables"/>
    <x v="3"/>
    <m/>
    <m/>
    <n v="0"/>
    <n v="0"/>
    <m/>
  </r>
  <r>
    <d v="2022-01-27T00:00:00"/>
    <n v="148"/>
    <x v="147"/>
    <x v="30"/>
    <e v="#REF!"/>
    <e v="#REF!"/>
    <n v="5"/>
    <s v="Valorisables"/>
    <x v="4"/>
    <n v="0.9"/>
    <n v="0.55000000000000004"/>
    <n v="0.35"/>
    <n v="2.0648967551622426E-2"/>
    <m/>
  </r>
  <r>
    <d v="2022-01-27T00:00:00"/>
    <n v="148"/>
    <x v="147"/>
    <x v="30"/>
    <e v="#REF!"/>
    <e v="#REF!"/>
    <n v="6"/>
    <s v="Valorisables"/>
    <x v="5"/>
    <m/>
    <m/>
    <n v="0"/>
    <n v="0"/>
    <m/>
  </r>
  <r>
    <d v="2022-01-27T00:00:00"/>
    <n v="148"/>
    <x v="147"/>
    <x v="30"/>
    <e v="#REF!"/>
    <e v="#REF!"/>
    <n v="7"/>
    <s v="Valorisables"/>
    <x v="6"/>
    <m/>
    <m/>
    <n v="0"/>
    <n v="0"/>
    <m/>
  </r>
  <r>
    <d v="2022-01-27T00:00:00"/>
    <n v="148"/>
    <x v="147"/>
    <x v="30"/>
    <e v="#REF!"/>
    <e v="#REF!"/>
    <n v="8"/>
    <s v="Valorisables"/>
    <x v="7"/>
    <n v="0.95"/>
    <n v="0.55000000000000004"/>
    <n v="0.39999999999999991"/>
    <n v="2.3598820058997057E-2"/>
    <m/>
  </r>
  <r>
    <d v="2022-01-27T00:00:00"/>
    <n v="148"/>
    <x v="147"/>
    <x v="30"/>
    <e v="#REF!"/>
    <e v="#REF!"/>
    <n v="9"/>
    <s v="Valorisables"/>
    <x v="8"/>
    <m/>
    <m/>
    <n v="0"/>
    <n v="0"/>
    <m/>
  </r>
  <r>
    <d v="2022-01-27T00:00:00"/>
    <n v="148"/>
    <x v="147"/>
    <x v="30"/>
    <e v="#REF!"/>
    <e v="#REF!"/>
    <n v="10"/>
    <s v="Valorisables"/>
    <x v="9"/>
    <n v="2.2000000000000002"/>
    <n v="1.1000000000000001"/>
    <n v="1.1000000000000001"/>
    <n v="6.4896755162241929E-2"/>
    <m/>
  </r>
  <r>
    <d v="2022-01-27T00:00:00"/>
    <n v="148"/>
    <x v="147"/>
    <x v="30"/>
    <e v="#REF!"/>
    <e v="#REF!"/>
    <n v="11"/>
    <s v="Valorisables"/>
    <x v="10"/>
    <n v="0.6"/>
    <n v="0.5"/>
    <n v="9.9999999999999978E-2"/>
    <n v="5.8997050147492642E-3"/>
    <m/>
  </r>
  <r>
    <d v="2022-01-27T00:00:00"/>
    <n v="148"/>
    <x v="147"/>
    <x v="30"/>
    <e v="#REF!"/>
    <e v="#REF!"/>
    <n v="12"/>
    <s v="Refus"/>
    <x v="11"/>
    <n v="20.65"/>
    <n v="16.600000000000001"/>
    <n v="4.0499999999999972"/>
    <n v="0.23893805309734509"/>
    <m/>
  </r>
  <r>
    <d v="2022-01-27T00:00:00"/>
    <n v="149"/>
    <x v="148"/>
    <x v="31"/>
    <n v="22.3"/>
    <n v="22.299999999999986"/>
    <n v="1"/>
    <s v="Valorisables"/>
    <x v="0"/>
    <n v="0.7"/>
    <n v="0.55000000000000004"/>
    <n v="0.14999999999999991"/>
    <n v="6.7264573991031393E-3"/>
    <m/>
  </r>
  <r>
    <d v="2022-01-27T00:00:00"/>
    <n v="149"/>
    <x v="148"/>
    <x v="31"/>
    <n v="22.3"/>
    <n v="-6.3725805897766829E-16"/>
    <n v="2"/>
    <s v="Valorisables"/>
    <x v="1"/>
    <n v="11.05"/>
    <n v="8.5500000000000007"/>
    <n v="2.5"/>
    <n v="0.11210762331838572"/>
    <m/>
  </r>
  <r>
    <d v="2022-01-27T00:00:00"/>
    <n v="149"/>
    <x v="148"/>
    <x v="31"/>
    <e v="#REF!"/>
    <e v="#REF!"/>
    <n v="3"/>
    <s v="Valorisables"/>
    <x v="2"/>
    <n v="47.25"/>
    <n v="33.650000000000006"/>
    <n v="13.599999999999994"/>
    <n v="0.60986547085201803"/>
    <m/>
  </r>
  <r>
    <d v="2022-01-27T00:00:00"/>
    <n v="149"/>
    <x v="148"/>
    <x v="31"/>
    <e v="#REF!"/>
    <e v="#REF!"/>
    <n v="4"/>
    <s v="Valorisables"/>
    <x v="3"/>
    <n v="1.55"/>
    <n v="0.5"/>
    <n v="1.05"/>
    <n v="4.7085201793722005E-2"/>
    <m/>
  </r>
  <r>
    <d v="2022-01-27T00:00:00"/>
    <n v="149"/>
    <x v="148"/>
    <x v="31"/>
    <e v="#REF!"/>
    <e v="#REF!"/>
    <n v="5"/>
    <s v="Valorisables"/>
    <x v="4"/>
    <n v="0.75"/>
    <n v="0.55000000000000004"/>
    <n v="0.19999999999999996"/>
    <n v="8.9686098654708554E-3"/>
    <m/>
  </r>
  <r>
    <d v="2022-01-27T00:00:00"/>
    <n v="149"/>
    <x v="148"/>
    <x v="31"/>
    <e v="#REF!"/>
    <e v="#REF!"/>
    <n v="6"/>
    <s v="Valorisables"/>
    <x v="5"/>
    <m/>
    <m/>
    <n v="0"/>
    <n v="0"/>
    <m/>
  </r>
  <r>
    <d v="2022-01-27T00:00:00"/>
    <n v="149"/>
    <x v="148"/>
    <x v="31"/>
    <e v="#REF!"/>
    <e v="#REF!"/>
    <n v="7"/>
    <s v="Valorisables"/>
    <x v="6"/>
    <m/>
    <m/>
    <n v="0"/>
    <n v="0"/>
    <m/>
  </r>
  <r>
    <d v="2022-01-27T00:00:00"/>
    <n v="149"/>
    <x v="148"/>
    <x v="31"/>
    <e v="#REF!"/>
    <e v="#REF!"/>
    <n v="8"/>
    <s v="Valorisables"/>
    <x v="7"/>
    <n v="1.05"/>
    <n v="0.5"/>
    <n v="0.55000000000000004"/>
    <n v="2.4663677130044859E-2"/>
    <m/>
  </r>
  <r>
    <d v="2022-01-27T00:00:00"/>
    <n v="149"/>
    <x v="148"/>
    <x v="31"/>
    <e v="#REF!"/>
    <e v="#REF!"/>
    <n v="9"/>
    <s v="Valorisables"/>
    <x v="8"/>
    <m/>
    <m/>
    <n v="0"/>
    <n v="0"/>
    <m/>
  </r>
  <r>
    <d v="2022-01-27T00:00:00"/>
    <n v="149"/>
    <x v="148"/>
    <x v="31"/>
    <e v="#REF!"/>
    <e v="#REF!"/>
    <n v="10"/>
    <s v="Valorisables"/>
    <x v="9"/>
    <n v="10.049999999999999"/>
    <n v="9.0500000000000007"/>
    <n v="0.99999999999999822"/>
    <n v="4.4843049327354209E-2"/>
    <m/>
  </r>
  <r>
    <d v="2022-01-27T00:00:00"/>
    <n v="149"/>
    <x v="148"/>
    <x v="31"/>
    <e v="#REF!"/>
    <e v="#REF!"/>
    <n v="11"/>
    <s v="Valorisables"/>
    <x v="10"/>
    <n v="1"/>
    <n v="0.55000000000000004"/>
    <n v="0.44999999999999996"/>
    <n v="2.0179372197309427E-2"/>
    <m/>
  </r>
  <r>
    <d v="2022-01-27T00:00:00"/>
    <n v="149"/>
    <x v="148"/>
    <x v="31"/>
    <e v="#REF!"/>
    <e v="#REF!"/>
    <n v="12"/>
    <s v="Refus"/>
    <x v="11"/>
    <n v="19.899999999999999"/>
    <n v="17.100000000000001"/>
    <n v="2.7999999999999972"/>
    <n v="0.12556053811659187"/>
    <m/>
  </r>
  <r>
    <d v="2022-01-27T00:00:00"/>
    <n v="150"/>
    <x v="149"/>
    <x v="28"/>
    <n v="10.100000000000001"/>
    <n v="10.099999999999996"/>
    <n v="1"/>
    <s v="Valorisables"/>
    <x v="0"/>
    <m/>
    <m/>
    <n v="0"/>
    <n v="0"/>
    <m/>
  </r>
  <r>
    <d v="2022-01-27T00:00:00"/>
    <n v="150"/>
    <x v="149"/>
    <x v="28"/>
    <n v="10.100000000000001"/>
    <n v="-5.276307443763119E-16"/>
    <n v="2"/>
    <s v="Valorisables"/>
    <x v="1"/>
    <n v="0.95"/>
    <n v="0.55000000000000004"/>
    <n v="0.39999999999999991"/>
    <n v="3.9603960396039611E-2"/>
    <m/>
  </r>
  <r>
    <d v="2022-01-27T00:00:00"/>
    <n v="150"/>
    <x v="149"/>
    <x v="28"/>
    <e v="#REF!"/>
    <e v="#REF!"/>
    <n v="3"/>
    <s v="Valorisables"/>
    <x v="2"/>
    <n v="1.65"/>
    <n v="1.05"/>
    <n v="0.59999999999999987"/>
    <n v="5.9405940594059417E-2"/>
    <m/>
  </r>
  <r>
    <d v="2022-01-27T00:00:00"/>
    <n v="150"/>
    <x v="149"/>
    <x v="28"/>
    <e v="#REF!"/>
    <e v="#REF!"/>
    <n v="4"/>
    <s v="Valorisables"/>
    <x v="3"/>
    <n v="23.65"/>
    <n v="16.850000000000001"/>
    <n v="6.7999999999999972"/>
    <n v="0.6732673267326732"/>
    <m/>
  </r>
  <r>
    <d v="2022-01-27T00:00:00"/>
    <n v="150"/>
    <x v="149"/>
    <x v="28"/>
    <e v="#REF!"/>
    <e v="#REF!"/>
    <n v="5"/>
    <s v="Valorisables"/>
    <x v="4"/>
    <m/>
    <m/>
    <n v="0"/>
    <n v="0"/>
    <m/>
  </r>
  <r>
    <d v="2022-01-27T00:00:00"/>
    <n v="150"/>
    <x v="149"/>
    <x v="28"/>
    <e v="#REF!"/>
    <e v="#REF!"/>
    <n v="6"/>
    <s v="Valorisables"/>
    <x v="5"/>
    <m/>
    <m/>
    <n v="0"/>
    <n v="0"/>
    <m/>
  </r>
  <r>
    <d v="2022-01-27T00:00:00"/>
    <n v="150"/>
    <x v="149"/>
    <x v="28"/>
    <e v="#REF!"/>
    <e v="#REF!"/>
    <n v="7"/>
    <s v="Valorisables"/>
    <x v="6"/>
    <m/>
    <m/>
    <n v="0"/>
    <n v="0"/>
    <m/>
  </r>
  <r>
    <d v="2022-01-27T00:00:00"/>
    <n v="150"/>
    <x v="149"/>
    <x v="28"/>
    <e v="#REF!"/>
    <e v="#REF!"/>
    <n v="8"/>
    <s v="Valorisables"/>
    <x v="7"/>
    <n v="0.8"/>
    <n v="0.55000000000000004"/>
    <n v="0.25"/>
    <n v="2.4752475247524761E-2"/>
    <m/>
  </r>
  <r>
    <d v="2022-01-27T00:00:00"/>
    <n v="150"/>
    <x v="149"/>
    <x v="28"/>
    <e v="#REF!"/>
    <e v="#REF!"/>
    <n v="9"/>
    <s v="Valorisables"/>
    <x v="8"/>
    <m/>
    <m/>
    <n v="0"/>
    <n v="0"/>
    <m/>
  </r>
  <r>
    <d v="2022-01-27T00:00:00"/>
    <n v="150"/>
    <x v="149"/>
    <x v="28"/>
    <e v="#REF!"/>
    <e v="#REF!"/>
    <n v="10"/>
    <s v="Valorisables"/>
    <x v="9"/>
    <n v="1.2"/>
    <n v="0.5"/>
    <n v="0.7"/>
    <n v="6.9306930693069327E-2"/>
    <m/>
  </r>
  <r>
    <d v="2022-01-27T00:00:00"/>
    <n v="150"/>
    <x v="149"/>
    <x v="28"/>
    <e v="#REF!"/>
    <e v="#REF!"/>
    <n v="11"/>
    <s v="Valorisables"/>
    <x v="10"/>
    <n v="0.8"/>
    <n v="0.55000000000000004"/>
    <n v="0.25"/>
    <n v="2.4752475247524761E-2"/>
    <m/>
  </r>
  <r>
    <d v="2022-01-27T00:00:00"/>
    <n v="150"/>
    <x v="149"/>
    <x v="28"/>
    <e v="#REF!"/>
    <e v="#REF!"/>
    <n v="12"/>
    <s v="Refus"/>
    <x v="11"/>
    <n v="9.65"/>
    <n v="8.5500000000000007"/>
    <n v="1.0999999999999996"/>
    <n v="0.10891089108910892"/>
    <m/>
  </r>
  <r>
    <d v="2022-01-27T00:00:00"/>
    <n v="151"/>
    <x v="150"/>
    <x v="25"/>
    <n v="8.6000000000000014"/>
    <n v="8.2999999999999954"/>
    <n v="1"/>
    <s v="Valorisables"/>
    <x v="0"/>
    <n v="1.2"/>
    <n v="0.55000000000000004"/>
    <n v="0.64999999999999991"/>
    <n v="7.8313253012048223E-2"/>
    <m/>
  </r>
  <r>
    <d v="2022-01-27T00:00:00"/>
    <n v="151"/>
    <x v="150"/>
    <x v="25"/>
    <n v="8.6000000000000014"/>
    <n v="-3.4883720930233252E-2"/>
    <n v="2"/>
    <s v="Valorisables"/>
    <x v="1"/>
    <n v="10.050000000000001"/>
    <n v="8.5500000000000007"/>
    <n v="1.5"/>
    <n v="0.18072289156626517"/>
    <m/>
  </r>
  <r>
    <d v="2022-01-27T00:00:00"/>
    <n v="151"/>
    <x v="150"/>
    <x v="25"/>
    <e v="#REF!"/>
    <e v="#REF!"/>
    <n v="3"/>
    <s v="Valorisables"/>
    <x v="2"/>
    <n v="10.95"/>
    <n v="8.3000000000000007"/>
    <n v="2.6499999999999986"/>
    <n v="0.31927710843373497"/>
    <m/>
  </r>
  <r>
    <d v="2022-01-27T00:00:00"/>
    <n v="151"/>
    <x v="150"/>
    <x v="25"/>
    <e v="#REF!"/>
    <e v="#REF!"/>
    <n v="4"/>
    <s v="Valorisables"/>
    <x v="3"/>
    <n v="0.9"/>
    <n v="0.55000000000000004"/>
    <n v="0.35"/>
    <n v="4.2168674698795199E-2"/>
    <m/>
  </r>
  <r>
    <d v="2022-01-27T00:00:00"/>
    <n v="151"/>
    <x v="150"/>
    <x v="25"/>
    <e v="#REF!"/>
    <e v="#REF!"/>
    <n v="5"/>
    <s v="Valorisables"/>
    <x v="4"/>
    <n v="0.55000000000000004"/>
    <n v="0.5"/>
    <n v="5.0000000000000044E-2"/>
    <n v="6.0240963855421777E-3"/>
    <m/>
  </r>
  <r>
    <d v="2022-01-27T00:00:00"/>
    <n v="151"/>
    <x v="150"/>
    <x v="25"/>
    <e v="#REF!"/>
    <e v="#REF!"/>
    <n v="6"/>
    <s v="Valorisables"/>
    <x v="5"/>
    <m/>
    <m/>
    <n v="0"/>
    <n v="0"/>
    <m/>
  </r>
  <r>
    <d v="2022-01-27T00:00:00"/>
    <n v="151"/>
    <x v="150"/>
    <x v="25"/>
    <e v="#REF!"/>
    <e v="#REF!"/>
    <n v="7"/>
    <s v="Valorisables"/>
    <x v="6"/>
    <m/>
    <m/>
    <n v="0"/>
    <n v="0"/>
    <m/>
  </r>
  <r>
    <d v="2022-01-27T00:00:00"/>
    <n v="151"/>
    <x v="150"/>
    <x v="25"/>
    <e v="#REF!"/>
    <e v="#REF!"/>
    <n v="8"/>
    <s v="Valorisables"/>
    <x v="7"/>
    <m/>
    <m/>
    <n v="0"/>
    <n v="0"/>
    <m/>
  </r>
  <r>
    <d v="2022-01-27T00:00:00"/>
    <n v="151"/>
    <x v="150"/>
    <x v="25"/>
    <e v="#REF!"/>
    <e v="#REF!"/>
    <n v="9"/>
    <s v="Valorisables"/>
    <x v="8"/>
    <m/>
    <m/>
    <n v="0"/>
    <n v="0"/>
    <m/>
  </r>
  <r>
    <d v="2022-01-27T00:00:00"/>
    <n v="151"/>
    <x v="150"/>
    <x v="25"/>
    <e v="#REF!"/>
    <e v="#REF!"/>
    <n v="10"/>
    <s v="Valorisables"/>
    <x v="9"/>
    <n v="1"/>
    <n v="0.55000000000000004"/>
    <n v="0.44999999999999996"/>
    <n v="5.421686746987954E-2"/>
    <m/>
  </r>
  <r>
    <d v="2022-01-27T00:00:00"/>
    <n v="151"/>
    <x v="150"/>
    <x v="25"/>
    <e v="#REF!"/>
    <e v="#REF!"/>
    <n v="11"/>
    <s v="Valorisables"/>
    <x v="10"/>
    <n v="9.1"/>
    <n v="8.5500000000000007"/>
    <n v="0.54999999999999893"/>
    <n v="6.6265060240963763E-2"/>
    <m/>
  </r>
  <r>
    <d v="2022-01-27T00:00:00"/>
    <n v="151"/>
    <x v="150"/>
    <x v="25"/>
    <e v="#REF!"/>
    <e v="#REF!"/>
    <n v="12"/>
    <s v="Refus"/>
    <x v="11"/>
    <n v="19.2"/>
    <n v="17.100000000000001"/>
    <n v="2.0999999999999979"/>
    <n v="0.25301204819277096"/>
    <m/>
  </r>
  <r>
    <d v="2022-01-27T00:00:00"/>
    <n v="152"/>
    <x v="151"/>
    <x v="27"/>
    <n v="15.2"/>
    <n v="15.049999999999997"/>
    <n v="1"/>
    <s v="Valorisables"/>
    <x v="0"/>
    <n v="1.1499999999999999"/>
    <n v="0.5"/>
    <n v="0.64999999999999991"/>
    <n v="4.3189368770764125E-2"/>
    <m/>
  </r>
  <r>
    <d v="2022-01-27T00:00:00"/>
    <n v="152"/>
    <x v="151"/>
    <x v="27"/>
    <n v="15.2"/>
    <n v="-9.8684210526317189E-3"/>
    <n v="2"/>
    <s v="Valorisables"/>
    <x v="1"/>
    <n v="9.8000000000000007"/>
    <n v="8.5500000000000007"/>
    <n v="1.25"/>
    <n v="8.3056478405315631E-2"/>
    <m/>
  </r>
  <r>
    <d v="2022-01-27T00:00:00"/>
    <n v="152"/>
    <x v="151"/>
    <x v="27"/>
    <e v="#REF!"/>
    <e v="#REF!"/>
    <n v="3"/>
    <s v="Valorisables"/>
    <x v="2"/>
    <n v="10.199999999999999"/>
    <n v="8.5500000000000007"/>
    <n v="1.6499999999999986"/>
    <n v="0.10963455149501654"/>
    <m/>
  </r>
  <r>
    <d v="2022-01-27T00:00:00"/>
    <n v="152"/>
    <x v="151"/>
    <x v="27"/>
    <e v="#REF!"/>
    <e v="#REF!"/>
    <n v="4"/>
    <s v="Valorisables"/>
    <x v="3"/>
    <n v="0.65"/>
    <n v="0.55000000000000004"/>
    <n v="9.9999999999999978E-2"/>
    <n v="6.6445182724252493E-3"/>
    <m/>
  </r>
  <r>
    <d v="2022-01-27T00:00:00"/>
    <n v="152"/>
    <x v="151"/>
    <x v="27"/>
    <e v="#REF!"/>
    <e v="#REF!"/>
    <n v="5"/>
    <s v="Valorisables"/>
    <x v="4"/>
    <n v="0.95"/>
    <n v="0.55000000000000004"/>
    <n v="0.39999999999999991"/>
    <n v="2.6578073089700997E-2"/>
    <m/>
  </r>
  <r>
    <d v="2022-01-27T00:00:00"/>
    <n v="152"/>
    <x v="151"/>
    <x v="27"/>
    <e v="#REF!"/>
    <e v="#REF!"/>
    <n v="6"/>
    <s v="Valorisables"/>
    <x v="5"/>
    <m/>
    <m/>
    <n v="0"/>
    <n v="0"/>
    <m/>
  </r>
  <r>
    <d v="2022-01-27T00:00:00"/>
    <n v="152"/>
    <x v="151"/>
    <x v="27"/>
    <e v="#REF!"/>
    <e v="#REF!"/>
    <n v="7"/>
    <s v="Valorisables"/>
    <x v="6"/>
    <m/>
    <m/>
    <n v="0"/>
    <n v="0"/>
    <m/>
  </r>
  <r>
    <d v="2022-01-27T00:00:00"/>
    <n v="152"/>
    <x v="151"/>
    <x v="27"/>
    <e v="#REF!"/>
    <e v="#REF!"/>
    <n v="8"/>
    <s v="Valorisables"/>
    <x v="7"/>
    <n v="1.75"/>
    <n v="0.55000000000000004"/>
    <n v="1.2"/>
    <n v="7.9734219269102999E-2"/>
    <m/>
  </r>
  <r>
    <d v="2022-01-27T00:00:00"/>
    <n v="152"/>
    <x v="151"/>
    <x v="27"/>
    <e v="#REF!"/>
    <e v="#REF!"/>
    <n v="9"/>
    <s v="Valorisables"/>
    <x v="8"/>
    <m/>
    <m/>
    <n v="0"/>
    <n v="0"/>
    <m/>
  </r>
  <r>
    <d v="2022-01-27T00:00:00"/>
    <n v="152"/>
    <x v="151"/>
    <x v="27"/>
    <e v="#REF!"/>
    <e v="#REF!"/>
    <n v="10"/>
    <s v="Valorisables"/>
    <x v="9"/>
    <n v="10.35"/>
    <n v="8.5500000000000007"/>
    <n v="1.7999999999999989"/>
    <n v="0.11960132890365444"/>
    <m/>
  </r>
  <r>
    <d v="2022-01-27T00:00:00"/>
    <n v="152"/>
    <x v="151"/>
    <x v="27"/>
    <e v="#REF!"/>
    <e v="#REF!"/>
    <n v="11"/>
    <s v="Valorisables"/>
    <x v="10"/>
    <n v="9.3000000000000007"/>
    <n v="8.5500000000000007"/>
    <n v="0.75"/>
    <n v="4.9833887043189376E-2"/>
    <m/>
  </r>
  <r>
    <d v="2022-01-27T00:00:00"/>
    <n v="152"/>
    <x v="151"/>
    <x v="27"/>
    <e v="#REF!"/>
    <e v="#REF!"/>
    <n v="12"/>
    <s v="Refus"/>
    <x v="11"/>
    <n v="24.1"/>
    <n v="16.850000000000001"/>
    <n v="7.25"/>
    <n v="0.48172757475083067"/>
    <m/>
  </r>
  <r>
    <d v="2022-01-27T00:00:00"/>
    <n v="153"/>
    <x v="152"/>
    <x v="26"/>
    <n v="12.700000000000001"/>
    <n v="12.749999999999993"/>
    <n v="1"/>
    <s v="Valorisables"/>
    <x v="0"/>
    <m/>
    <m/>
    <n v="0"/>
    <n v="0"/>
    <m/>
  </r>
  <r>
    <d v="2022-01-27T00:00:00"/>
    <n v="153"/>
    <x v="152"/>
    <x v="26"/>
    <n v="12.700000000000001"/>
    <n v="3.9370078740151044E-3"/>
    <n v="2"/>
    <s v="Valorisables"/>
    <x v="1"/>
    <n v="0.65"/>
    <n v="0.55000000000000004"/>
    <n v="9.9999999999999978E-2"/>
    <n v="7.8431372549019641E-3"/>
    <m/>
  </r>
  <r>
    <d v="2022-01-27T00:00:00"/>
    <n v="153"/>
    <x v="152"/>
    <x v="26"/>
    <e v="#REF!"/>
    <e v="#REF!"/>
    <n v="3"/>
    <s v="Valorisables"/>
    <x v="2"/>
    <n v="0.85"/>
    <n v="0.55000000000000004"/>
    <n v="0.29999999999999993"/>
    <n v="2.3529411764705889E-2"/>
    <m/>
  </r>
  <r>
    <d v="2022-01-27T00:00:00"/>
    <n v="153"/>
    <x v="152"/>
    <x v="26"/>
    <e v="#REF!"/>
    <e v="#REF!"/>
    <n v="4"/>
    <s v="Valorisables"/>
    <x v="3"/>
    <m/>
    <m/>
    <n v="0"/>
    <n v="0"/>
    <m/>
  </r>
  <r>
    <d v="2022-01-27T00:00:00"/>
    <n v="153"/>
    <x v="152"/>
    <x v="26"/>
    <e v="#REF!"/>
    <e v="#REF!"/>
    <n v="5"/>
    <s v="Valorisables"/>
    <x v="4"/>
    <n v="0.65"/>
    <n v="0.55000000000000004"/>
    <n v="9.9999999999999978E-2"/>
    <n v="7.8431372549019641E-3"/>
    <m/>
  </r>
  <r>
    <d v="2022-01-27T00:00:00"/>
    <n v="153"/>
    <x v="152"/>
    <x v="26"/>
    <e v="#REF!"/>
    <e v="#REF!"/>
    <n v="6"/>
    <s v="Valorisables"/>
    <x v="5"/>
    <m/>
    <m/>
    <n v="0"/>
    <n v="0"/>
    <m/>
  </r>
  <r>
    <d v="2022-01-27T00:00:00"/>
    <n v="153"/>
    <x v="152"/>
    <x v="26"/>
    <e v="#REF!"/>
    <e v="#REF!"/>
    <n v="7"/>
    <s v="Valorisables"/>
    <x v="6"/>
    <m/>
    <m/>
    <n v="0"/>
    <n v="0"/>
    <m/>
  </r>
  <r>
    <d v="2022-01-27T00:00:00"/>
    <n v="153"/>
    <x v="152"/>
    <x v="26"/>
    <e v="#REF!"/>
    <e v="#REF!"/>
    <n v="8"/>
    <s v="Valorisables"/>
    <x v="7"/>
    <n v="12.6"/>
    <n v="8.5500000000000007"/>
    <n v="4.0499999999999989"/>
    <n v="0.3176470588235295"/>
    <m/>
  </r>
  <r>
    <d v="2022-01-27T00:00:00"/>
    <n v="153"/>
    <x v="152"/>
    <x v="26"/>
    <e v="#REF!"/>
    <e v="#REF!"/>
    <n v="9"/>
    <s v="Valorisables"/>
    <x v="8"/>
    <m/>
    <m/>
    <n v="0"/>
    <n v="0"/>
    <m/>
  </r>
  <r>
    <d v="2022-01-27T00:00:00"/>
    <n v="153"/>
    <x v="152"/>
    <x v="26"/>
    <e v="#REF!"/>
    <e v="#REF!"/>
    <n v="10"/>
    <s v="Valorisables"/>
    <x v="9"/>
    <n v="23.549999999999997"/>
    <n v="16.850000000000001"/>
    <n v="6.6999999999999957"/>
    <n v="0.52549019607843128"/>
    <m/>
  </r>
  <r>
    <d v="2022-01-27T00:00:00"/>
    <n v="153"/>
    <x v="152"/>
    <x v="26"/>
    <e v="#REF!"/>
    <e v="#REF!"/>
    <n v="11"/>
    <s v="Valorisables"/>
    <x v="10"/>
    <n v="0.6"/>
    <n v="0.5"/>
    <n v="9.9999999999999978E-2"/>
    <n v="7.8431372549019641E-3"/>
    <m/>
  </r>
  <r>
    <d v="2022-01-27T00:00:00"/>
    <n v="153"/>
    <x v="152"/>
    <x v="26"/>
    <e v="#REF!"/>
    <e v="#REF!"/>
    <n v="12"/>
    <s v="Refus"/>
    <x v="11"/>
    <n v="9.6999999999999993"/>
    <n v="8.3000000000000007"/>
    <n v="1.3999999999999986"/>
    <n v="0.10980392156862739"/>
    <m/>
  </r>
  <r>
    <d v="2022-01-27T00:00:00"/>
    <n v="154"/>
    <x v="153"/>
    <x v="15"/>
    <m/>
    <n v="27.099999999999998"/>
    <n v="1"/>
    <s v="Valorisables"/>
    <x v="0"/>
    <n v="0.85"/>
    <n v="0.55000000000000004"/>
    <n v="0.29999999999999993"/>
    <n v="1.107011070110701E-2"/>
    <m/>
  </r>
  <r>
    <d v="2022-01-27T00:00:00"/>
    <n v="154"/>
    <x v="153"/>
    <x v="15"/>
    <n v="0"/>
    <e v="#DIV/0!"/>
    <n v="2"/>
    <s v="Valorisables"/>
    <x v="1"/>
    <n v="0.55000000000000004"/>
    <n v="0.5"/>
    <n v="5.0000000000000044E-2"/>
    <n v="1.8450184501845035E-3"/>
    <m/>
  </r>
  <r>
    <d v="2022-01-27T00:00:00"/>
    <n v="154"/>
    <x v="153"/>
    <x v="15"/>
    <e v="#REF!"/>
    <e v="#REF!"/>
    <n v="3"/>
    <s v="Valorisables"/>
    <x v="2"/>
    <n v="0.75"/>
    <n v="0.55000000000000004"/>
    <n v="0.19999999999999996"/>
    <n v="7.3800738007380063E-3"/>
    <m/>
  </r>
  <r>
    <d v="2022-01-27T00:00:00"/>
    <n v="154"/>
    <x v="153"/>
    <x v="15"/>
    <e v="#REF!"/>
    <e v="#REF!"/>
    <n v="4"/>
    <s v="Valorisables"/>
    <x v="3"/>
    <n v="2.8"/>
    <n v="0.55000000000000004"/>
    <n v="2.25"/>
    <n v="8.3025830258302596E-2"/>
    <m/>
  </r>
  <r>
    <d v="2022-01-27T00:00:00"/>
    <n v="154"/>
    <x v="153"/>
    <x v="15"/>
    <e v="#REF!"/>
    <e v="#REF!"/>
    <n v="5"/>
    <s v="Valorisables"/>
    <x v="4"/>
    <n v="18.850000000000001"/>
    <n v="8.5500000000000007"/>
    <n v="10.3"/>
    <n v="0.38007380073800745"/>
    <m/>
  </r>
  <r>
    <d v="2022-01-27T00:00:00"/>
    <n v="154"/>
    <x v="153"/>
    <x v="15"/>
    <e v="#REF!"/>
    <e v="#REF!"/>
    <n v="6"/>
    <s v="Valorisables"/>
    <x v="5"/>
    <n v="2.2000000000000002"/>
    <n v="0.5"/>
    <n v="1.7000000000000002"/>
    <n v="6.2730627306273073E-2"/>
    <m/>
  </r>
  <r>
    <d v="2022-01-27T00:00:00"/>
    <n v="154"/>
    <x v="153"/>
    <x v="15"/>
    <e v="#REF!"/>
    <e v="#REF!"/>
    <n v="7"/>
    <s v="Valorisables"/>
    <x v="6"/>
    <m/>
    <m/>
    <n v="0"/>
    <n v="0"/>
    <m/>
  </r>
  <r>
    <d v="2022-01-27T00:00:00"/>
    <n v="154"/>
    <x v="153"/>
    <x v="15"/>
    <e v="#REF!"/>
    <e v="#REF!"/>
    <n v="8"/>
    <s v="Valorisables"/>
    <x v="7"/>
    <n v="0.7"/>
    <n v="0.5"/>
    <n v="0.19999999999999996"/>
    <n v="7.3800738007380063E-3"/>
    <m/>
  </r>
  <r>
    <d v="2022-01-27T00:00:00"/>
    <n v="154"/>
    <x v="153"/>
    <x v="15"/>
    <e v="#REF!"/>
    <e v="#REF!"/>
    <n v="9"/>
    <s v="Valorisables"/>
    <x v="8"/>
    <m/>
    <m/>
    <n v="0"/>
    <n v="0"/>
    <m/>
  </r>
  <r>
    <d v="2022-01-27T00:00:00"/>
    <n v="154"/>
    <x v="153"/>
    <x v="15"/>
    <e v="#REF!"/>
    <e v="#REF!"/>
    <n v="10"/>
    <s v="Valorisables"/>
    <x v="9"/>
    <n v="0.75"/>
    <n v="0.55000000000000004"/>
    <n v="0.19999999999999996"/>
    <n v="7.3800738007380063E-3"/>
    <m/>
  </r>
  <r>
    <d v="2022-01-27T00:00:00"/>
    <n v="154"/>
    <x v="153"/>
    <x v="15"/>
    <e v="#REF!"/>
    <e v="#REF!"/>
    <n v="11"/>
    <s v="Valorisables"/>
    <x v="10"/>
    <m/>
    <m/>
    <n v="0"/>
    <n v="0"/>
    <m/>
  </r>
  <r>
    <d v="2022-01-27T00:00:00"/>
    <n v="154"/>
    <x v="153"/>
    <x v="15"/>
    <e v="#REF!"/>
    <e v="#REF!"/>
    <n v="12"/>
    <s v="Refus"/>
    <x v="11"/>
    <n v="20.2"/>
    <n v="8.3000000000000007"/>
    <n v="11.899999999999999"/>
    <n v="0.43911439114391143"/>
    <m/>
  </r>
  <r>
    <d v="2022-01-28T00:00:00"/>
    <n v="155"/>
    <x v="154"/>
    <x v="35"/>
    <n v="4.8"/>
    <n v="4.9000000000000004"/>
    <n v="1"/>
    <s v="Valorisables"/>
    <x v="0"/>
    <m/>
    <m/>
    <n v="0"/>
    <n v="0"/>
    <m/>
  </r>
  <r>
    <d v="2022-01-28T00:00:00"/>
    <n v="155"/>
    <x v="154"/>
    <x v="35"/>
    <n v="4.8"/>
    <n v="2.0833333333333447E-2"/>
    <n v="2"/>
    <s v="Valorisables"/>
    <x v="1"/>
    <m/>
    <m/>
    <n v="0"/>
    <n v="0"/>
    <m/>
  </r>
  <r>
    <d v="2022-01-28T00:00:00"/>
    <n v="155"/>
    <x v="154"/>
    <x v="35"/>
    <e v="#REF!"/>
    <e v="#REF!"/>
    <n v="3"/>
    <s v="Valorisables"/>
    <x v="2"/>
    <m/>
    <m/>
    <n v="0"/>
    <n v="0"/>
    <m/>
  </r>
  <r>
    <d v="2022-01-28T00:00:00"/>
    <n v="155"/>
    <x v="154"/>
    <x v="35"/>
    <e v="#REF!"/>
    <e v="#REF!"/>
    <n v="4"/>
    <s v="Valorisables"/>
    <x v="3"/>
    <m/>
    <m/>
    <n v="0"/>
    <n v="0"/>
    <m/>
  </r>
  <r>
    <d v="2022-01-28T00:00:00"/>
    <n v="155"/>
    <x v="154"/>
    <x v="35"/>
    <e v="#REF!"/>
    <e v="#REF!"/>
    <n v="5"/>
    <s v="Valorisables"/>
    <x v="4"/>
    <m/>
    <m/>
    <n v="0"/>
    <n v="0"/>
    <m/>
  </r>
  <r>
    <d v="2022-01-28T00:00:00"/>
    <n v="155"/>
    <x v="154"/>
    <x v="35"/>
    <e v="#REF!"/>
    <e v="#REF!"/>
    <n v="6"/>
    <s v="Valorisables"/>
    <x v="5"/>
    <m/>
    <m/>
    <n v="0"/>
    <n v="0"/>
    <m/>
  </r>
  <r>
    <d v="2022-01-28T00:00:00"/>
    <n v="155"/>
    <x v="154"/>
    <x v="35"/>
    <e v="#REF!"/>
    <e v="#REF!"/>
    <n v="7"/>
    <s v="Valorisables"/>
    <x v="6"/>
    <m/>
    <m/>
    <n v="0"/>
    <n v="0"/>
    <m/>
  </r>
  <r>
    <d v="2022-01-28T00:00:00"/>
    <n v="155"/>
    <x v="154"/>
    <x v="35"/>
    <e v="#REF!"/>
    <e v="#REF!"/>
    <n v="8"/>
    <s v="Valorisables"/>
    <x v="7"/>
    <n v="10.8"/>
    <n v="8.3000000000000007"/>
    <n v="2.5"/>
    <n v="0.51020408163265307"/>
    <m/>
  </r>
  <r>
    <d v="2022-01-28T00:00:00"/>
    <n v="155"/>
    <x v="154"/>
    <x v="35"/>
    <e v="#REF!"/>
    <e v="#REF!"/>
    <n v="9"/>
    <s v="Valorisables"/>
    <x v="8"/>
    <m/>
    <m/>
    <n v="0"/>
    <n v="0"/>
    <m/>
  </r>
  <r>
    <d v="2022-01-28T00:00:00"/>
    <n v="155"/>
    <x v="154"/>
    <x v="35"/>
    <e v="#REF!"/>
    <e v="#REF!"/>
    <n v="10"/>
    <s v="Valorisables"/>
    <x v="9"/>
    <n v="2.7"/>
    <n v="0.55000000000000004"/>
    <n v="2.1500000000000004"/>
    <n v="0.43877551020408168"/>
    <m/>
  </r>
  <r>
    <d v="2022-01-28T00:00:00"/>
    <n v="155"/>
    <x v="154"/>
    <x v="35"/>
    <e v="#REF!"/>
    <e v="#REF!"/>
    <n v="11"/>
    <s v="Valorisables"/>
    <x v="10"/>
    <m/>
    <m/>
    <n v="0"/>
    <n v="0"/>
    <m/>
  </r>
  <r>
    <d v="2022-01-28T00:00:00"/>
    <n v="155"/>
    <x v="154"/>
    <x v="35"/>
    <e v="#REF!"/>
    <e v="#REF!"/>
    <n v="12"/>
    <s v="Refus"/>
    <x v="11"/>
    <n v="0.8"/>
    <n v="0.55000000000000004"/>
    <n v="0.25"/>
    <n v="5.10204081632653E-2"/>
    <m/>
  </r>
  <r>
    <d v="2022-01-28T00:00:00"/>
    <n v="156"/>
    <x v="155"/>
    <x v="36"/>
    <m/>
    <n v="1.0999999999999994"/>
    <n v="1"/>
    <s v="Valorisables"/>
    <x v="0"/>
    <m/>
    <m/>
    <n v="0"/>
    <n v="0"/>
    <m/>
  </r>
  <r>
    <d v="2022-01-28T00:00:00"/>
    <n v="156"/>
    <x v="155"/>
    <x v="36"/>
    <n v="0"/>
    <e v="#DIV/0!"/>
    <n v="2"/>
    <s v="Valorisables"/>
    <x v="1"/>
    <n v="0.7"/>
    <n v="0.55000000000000004"/>
    <n v="0.14999999999999991"/>
    <n v="0.13636363636363635"/>
    <m/>
  </r>
  <r>
    <d v="2022-01-28T00:00:00"/>
    <n v="156"/>
    <x v="155"/>
    <x v="36"/>
    <e v="#REF!"/>
    <e v="#REF!"/>
    <n v="3"/>
    <s v="Valorisables"/>
    <x v="2"/>
    <n v="0.9"/>
    <n v="0.55000000000000004"/>
    <n v="0.35"/>
    <n v="0.31818181818181834"/>
    <m/>
  </r>
  <r>
    <d v="2022-01-28T00:00:00"/>
    <n v="156"/>
    <x v="155"/>
    <x v="36"/>
    <e v="#REF!"/>
    <e v="#REF!"/>
    <n v="4"/>
    <s v="Valorisables"/>
    <x v="3"/>
    <n v="0.6"/>
    <n v="0.55000000000000004"/>
    <n v="4.9999999999999933E-2"/>
    <n v="4.5454545454545421E-2"/>
    <m/>
  </r>
  <r>
    <d v="2022-01-28T00:00:00"/>
    <n v="156"/>
    <x v="155"/>
    <x v="36"/>
    <e v="#REF!"/>
    <e v="#REF!"/>
    <n v="5"/>
    <s v="Valorisables"/>
    <x v="4"/>
    <m/>
    <m/>
    <n v="0"/>
    <n v="0"/>
    <m/>
  </r>
  <r>
    <d v="2022-01-28T00:00:00"/>
    <n v="156"/>
    <x v="155"/>
    <x v="36"/>
    <e v="#REF!"/>
    <e v="#REF!"/>
    <n v="6"/>
    <s v="Valorisables"/>
    <x v="5"/>
    <m/>
    <m/>
    <n v="0"/>
    <n v="0"/>
    <m/>
  </r>
  <r>
    <d v="2022-01-28T00:00:00"/>
    <n v="156"/>
    <x v="155"/>
    <x v="36"/>
    <e v="#REF!"/>
    <e v="#REF!"/>
    <n v="7"/>
    <s v="Valorisables"/>
    <x v="6"/>
    <m/>
    <m/>
    <n v="0"/>
    <n v="0"/>
    <m/>
  </r>
  <r>
    <d v="2022-01-28T00:00:00"/>
    <n v="156"/>
    <x v="155"/>
    <x v="36"/>
    <e v="#REF!"/>
    <e v="#REF!"/>
    <n v="8"/>
    <s v="Valorisables"/>
    <x v="7"/>
    <n v="0.65"/>
    <n v="0.55000000000000004"/>
    <n v="9.9999999999999978E-2"/>
    <n v="9.0909090909090939E-2"/>
    <m/>
  </r>
  <r>
    <d v="2022-01-28T00:00:00"/>
    <n v="156"/>
    <x v="155"/>
    <x v="36"/>
    <e v="#REF!"/>
    <e v="#REF!"/>
    <n v="9"/>
    <s v="Valorisables"/>
    <x v="8"/>
    <m/>
    <m/>
    <n v="0"/>
    <n v="0"/>
    <m/>
  </r>
  <r>
    <d v="2022-01-28T00:00:00"/>
    <n v="156"/>
    <x v="155"/>
    <x v="36"/>
    <e v="#REF!"/>
    <e v="#REF!"/>
    <n v="10"/>
    <s v="Valorisables"/>
    <x v="9"/>
    <n v="0.55000000000000004"/>
    <n v="0.5"/>
    <n v="5.0000000000000044E-2"/>
    <n v="4.5454545454545518E-2"/>
    <m/>
  </r>
  <r>
    <d v="2022-01-28T00:00:00"/>
    <n v="156"/>
    <x v="155"/>
    <x v="36"/>
    <e v="#REF!"/>
    <e v="#REF!"/>
    <n v="11"/>
    <s v="Valorisables"/>
    <x v="10"/>
    <n v="0.6"/>
    <n v="0.55000000000000004"/>
    <n v="4.9999999999999933E-2"/>
    <n v="4.5454545454545421E-2"/>
    <m/>
  </r>
  <r>
    <d v="2022-01-28T00:00:00"/>
    <n v="156"/>
    <x v="155"/>
    <x v="36"/>
    <e v="#REF!"/>
    <e v="#REF!"/>
    <n v="12"/>
    <s v="Refus"/>
    <x v="11"/>
    <n v="8.65"/>
    <n v="8.3000000000000007"/>
    <n v="0.34999999999999964"/>
    <n v="0.31818181818181801"/>
    <m/>
  </r>
  <r>
    <d v="2022-01-28T00:00:00"/>
    <n v="157"/>
    <x v="156"/>
    <x v="19"/>
    <n v="12.4"/>
    <n v="12.749999999999996"/>
    <n v="1"/>
    <s v="Valorisables"/>
    <x v="0"/>
    <m/>
    <m/>
    <n v="0"/>
    <n v="0"/>
    <m/>
  </r>
  <r>
    <d v="2022-01-28T00:00:00"/>
    <n v="157"/>
    <x v="156"/>
    <x v="19"/>
    <n v="12.4"/>
    <n v="2.8225806451612587E-2"/>
    <n v="2"/>
    <s v="Valorisables"/>
    <x v="1"/>
    <n v="0.6"/>
    <n v="0.55000000000000004"/>
    <n v="4.9999999999999933E-2"/>
    <n v="3.921568627450976E-3"/>
    <m/>
  </r>
  <r>
    <d v="2022-01-28T00:00:00"/>
    <n v="157"/>
    <x v="156"/>
    <x v="19"/>
    <e v="#REF!"/>
    <e v="#REF!"/>
    <n v="3"/>
    <s v="Valorisables"/>
    <x v="2"/>
    <m/>
    <m/>
    <n v="0"/>
    <n v="0"/>
    <m/>
  </r>
  <r>
    <d v="2022-01-28T00:00:00"/>
    <n v="157"/>
    <x v="156"/>
    <x v="19"/>
    <e v="#REF!"/>
    <e v="#REF!"/>
    <n v="4"/>
    <s v="Valorisables"/>
    <x v="3"/>
    <m/>
    <m/>
    <n v="0"/>
    <n v="0"/>
    <m/>
  </r>
  <r>
    <d v="2022-01-28T00:00:00"/>
    <n v="157"/>
    <x v="156"/>
    <x v="19"/>
    <e v="#REF!"/>
    <e v="#REF!"/>
    <n v="5"/>
    <s v="Valorisables"/>
    <x v="4"/>
    <m/>
    <m/>
    <n v="0"/>
    <n v="0"/>
    <m/>
  </r>
  <r>
    <d v="2022-01-28T00:00:00"/>
    <n v="157"/>
    <x v="156"/>
    <x v="19"/>
    <e v="#REF!"/>
    <e v="#REF!"/>
    <n v="6"/>
    <s v="Valorisables"/>
    <x v="5"/>
    <m/>
    <m/>
    <n v="0"/>
    <n v="0"/>
    <m/>
  </r>
  <r>
    <d v="2022-01-28T00:00:00"/>
    <n v="157"/>
    <x v="156"/>
    <x v="19"/>
    <e v="#REF!"/>
    <e v="#REF!"/>
    <n v="7"/>
    <s v="Valorisables"/>
    <x v="6"/>
    <m/>
    <m/>
    <n v="0"/>
    <n v="0"/>
    <m/>
  </r>
  <r>
    <d v="2022-01-28T00:00:00"/>
    <n v="157"/>
    <x v="156"/>
    <x v="19"/>
    <e v="#REF!"/>
    <e v="#REF!"/>
    <n v="8"/>
    <s v="Valorisables"/>
    <x v="7"/>
    <n v="25.2"/>
    <n v="16.600000000000001"/>
    <n v="8.5999999999999979"/>
    <n v="0.67450980392156867"/>
    <m/>
  </r>
  <r>
    <d v="2022-01-28T00:00:00"/>
    <n v="157"/>
    <x v="156"/>
    <x v="19"/>
    <e v="#REF!"/>
    <e v="#REF!"/>
    <n v="9"/>
    <s v="Valorisables"/>
    <x v="8"/>
    <m/>
    <m/>
    <n v="0"/>
    <n v="0"/>
    <m/>
  </r>
  <r>
    <d v="2022-01-28T00:00:00"/>
    <n v="157"/>
    <x v="156"/>
    <x v="19"/>
    <e v="#REF!"/>
    <e v="#REF!"/>
    <n v="10"/>
    <s v="Valorisables"/>
    <x v="9"/>
    <n v="4.0999999999999996"/>
    <n v="1.1000000000000001"/>
    <n v="2.9999999999999996"/>
    <n v="0.23529411764705885"/>
    <m/>
  </r>
  <r>
    <d v="2022-01-28T00:00:00"/>
    <n v="157"/>
    <x v="156"/>
    <x v="19"/>
    <e v="#REF!"/>
    <e v="#REF!"/>
    <n v="11"/>
    <s v="Valorisables"/>
    <x v="10"/>
    <n v="0.75"/>
    <n v="0.55000000000000004"/>
    <n v="0.19999999999999996"/>
    <n v="1.5686274509803921E-2"/>
    <m/>
  </r>
  <r>
    <d v="2022-01-28T00:00:00"/>
    <n v="157"/>
    <x v="156"/>
    <x v="19"/>
    <e v="#REF!"/>
    <e v="#REF!"/>
    <n v="12"/>
    <s v="Refus"/>
    <x v="11"/>
    <n v="9.4499999999999993"/>
    <n v="8.5500000000000007"/>
    <n v="0.89999999999999858"/>
    <n v="7.0588235294117549E-2"/>
    <m/>
  </r>
  <r>
    <d v="2022-01-28T00:00:00"/>
    <n v="158"/>
    <x v="157"/>
    <x v="37"/>
    <n v="28.6"/>
    <n v="28.249999999999993"/>
    <n v="1"/>
    <s v="Valorisables"/>
    <x v="0"/>
    <m/>
    <m/>
    <n v="0"/>
    <n v="0"/>
    <m/>
  </r>
  <r>
    <d v="2022-01-28T00:00:00"/>
    <n v="158"/>
    <x v="157"/>
    <x v="37"/>
    <n v="28.6"/>
    <n v="-1.2237762237762535E-2"/>
    <n v="2"/>
    <s v="Valorisables"/>
    <x v="1"/>
    <n v="0.6"/>
    <n v="0.55000000000000004"/>
    <n v="4.9999999999999933E-2"/>
    <n v="1.7699115044247768E-3"/>
    <m/>
  </r>
  <r>
    <d v="2022-01-28T00:00:00"/>
    <n v="158"/>
    <x v="157"/>
    <x v="37"/>
    <e v="#REF!"/>
    <e v="#REF!"/>
    <n v="3"/>
    <s v="Valorisables"/>
    <x v="2"/>
    <m/>
    <m/>
    <n v="0"/>
    <n v="0"/>
    <m/>
  </r>
  <r>
    <d v="2022-01-28T00:00:00"/>
    <n v="158"/>
    <x v="157"/>
    <x v="37"/>
    <e v="#REF!"/>
    <e v="#REF!"/>
    <n v="4"/>
    <s v="Valorisables"/>
    <x v="3"/>
    <n v="0.65"/>
    <n v="0.55000000000000004"/>
    <n v="9.9999999999999978E-2"/>
    <n v="3.5398230088495575E-3"/>
    <m/>
  </r>
  <r>
    <d v="2022-01-28T00:00:00"/>
    <n v="158"/>
    <x v="157"/>
    <x v="37"/>
    <e v="#REF!"/>
    <e v="#REF!"/>
    <n v="5"/>
    <s v="Valorisables"/>
    <x v="4"/>
    <m/>
    <m/>
    <n v="0"/>
    <n v="0"/>
    <m/>
  </r>
  <r>
    <d v="2022-01-28T00:00:00"/>
    <n v="158"/>
    <x v="157"/>
    <x v="37"/>
    <e v="#REF!"/>
    <e v="#REF!"/>
    <n v="6"/>
    <s v="Valorisables"/>
    <x v="5"/>
    <m/>
    <m/>
    <n v="0"/>
    <n v="0"/>
    <m/>
  </r>
  <r>
    <d v="2022-01-28T00:00:00"/>
    <n v="158"/>
    <x v="157"/>
    <x v="37"/>
    <e v="#REF!"/>
    <e v="#REF!"/>
    <n v="7"/>
    <s v="Valorisables"/>
    <x v="6"/>
    <m/>
    <m/>
    <n v="0"/>
    <n v="0"/>
    <m/>
  </r>
  <r>
    <d v="2022-01-28T00:00:00"/>
    <n v="158"/>
    <x v="157"/>
    <x v="37"/>
    <e v="#REF!"/>
    <e v="#REF!"/>
    <n v="8"/>
    <s v="Valorisables"/>
    <x v="7"/>
    <n v="11"/>
    <n v="8.5500000000000007"/>
    <n v="2.4499999999999993"/>
    <n v="8.6725663716814158E-2"/>
    <m/>
  </r>
  <r>
    <d v="2022-01-28T00:00:00"/>
    <n v="158"/>
    <x v="157"/>
    <x v="37"/>
    <e v="#REF!"/>
    <e v="#REF!"/>
    <n v="9"/>
    <s v="Valorisables"/>
    <x v="8"/>
    <m/>
    <m/>
    <n v="0"/>
    <n v="0"/>
    <m/>
  </r>
  <r>
    <d v="2022-01-28T00:00:00"/>
    <n v="158"/>
    <x v="157"/>
    <x v="37"/>
    <e v="#REF!"/>
    <e v="#REF!"/>
    <n v="10"/>
    <s v="Valorisables"/>
    <x v="9"/>
    <n v="58.4"/>
    <n v="34.200000000000003"/>
    <n v="24.199999999999996"/>
    <n v="0.85663716814159296"/>
    <m/>
  </r>
  <r>
    <d v="2022-01-28T00:00:00"/>
    <n v="158"/>
    <x v="157"/>
    <x v="37"/>
    <e v="#REF!"/>
    <e v="#REF!"/>
    <n v="11"/>
    <s v="Valorisables"/>
    <x v="10"/>
    <n v="0.6"/>
    <n v="0.55000000000000004"/>
    <n v="4.9999999999999933E-2"/>
    <n v="1.7699115044247768E-3"/>
    <m/>
  </r>
  <r>
    <d v="2022-01-28T00:00:00"/>
    <n v="158"/>
    <x v="157"/>
    <x v="37"/>
    <e v="#REF!"/>
    <e v="#REF!"/>
    <n v="12"/>
    <s v="Refus"/>
    <x v="11"/>
    <n v="9.6999999999999993"/>
    <n v="8.3000000000000007"/>
    <n v="1.3999999999999986"/>
    <n v="4.955752212389377E-2"/>
    <m/>
  </r>
  <r>
    <d v="2022-01-28T00:00:00"/>
    <n v="159"/>
    <x v="158"/>
    <x v="34"/>
    <n v="26"/>
    <n v="25.25"/>
    <n v="1"/>
    <s v="Valorisables"/>
    <x v="0"/>
    <m/>
    <m/>
    <n v="0"/>
    <n v="0"/>
    <m/>
  </r>
  <r>
    <d v="2022-01-28T00:00:00"/>
    <n v="159"/>
    <x v="158"/>
    <x v="34"/>
    <n v="8"/>
    <n v="-2.8846153846153848E-2"/>
    <n v="2"/>
    <s v="Valorisables"/>
    <x v="1"/>
    <n v="0.85"/>
    <n v="0.55000000000000004"/>
    <n v="0.29999999999999993"/>
    <n v="1.1881188118811878E-2"/>
    <m/>
  </r>
  <r>
    <d v="2022-01-28T00:00:00"/>
    <n v="159"/>
    <x v="158"/>
    <x v="34"/>
    <e v="#REF!"/>
    <e v="#REF!"/>
    <n v="3"/>
    <s v="Valorisables"/>
    <x v="2"/>
    <n v="0.6"/>
    <n v="0.55000000000000004"/>
    <n v="4.9999999999999933E-2"/>
    <n v="1.9801980198019776E-3"/>
    <m/>
  </r>
  <r>
    <d v="2022-01-28T00:00:00"/>
    <n v="159"/>
    <x v="158"/>
    <x v="34"/>
    <e v="#REF!"/>
    <e v="#REF!"/>
    <n v="4"/>
    <s v="Valorisables"/>
    <x v="3"/>
    <n v="0.75"/>
    <n v="0.55000000000000004"/>
    <n v="0.19999999999999996"/>
    <n v="7.9207920792079192E-3"/>
    <m/>
  </r>
  <r>
    <d v="2022-01-28T00:00:00"/>
    <n v="159"/>
    <x v="158"/>
    <x v="34"/>
    <e v="#REF!"/>
    <e v="#REF!"/>
    <n v="5"/>
    <s v="Valorisables"/>
    <x v="4"/>
    <n v="1.8"/>
    <n v="1.1000000000000001"/>
    <n v="0.7"/>
    <n v="2.772277227722772E-2"/>
    <m/>
  </r>
  <r>
    <d v="2022-01-28T00:00:00"/>
    <n v="159"/>
    <x v="158"/>
    <x v="34"/>
    <e v="#REF!"/>
    <e v="#REF!"/>
    <n v="6"/>
    <s v="Valorisables"/>
    <x v="5"/>
    <m/>
    <m/>
    <n v="0"/>
    <n v="0"/>
    <m/>
  </r>
  <r>
    <d v="2022-01-28T00:00:00"/>
    <n v="159"/>
    <x v="158"/>
    <x v="34"/>
    <e v="#REF!"/>
    <e v="#REF!"/>
    <n v="7"/>
    <s v="Valorisables"/>
    <x v="6"/>
    <n v="21.05"/>
    <n v="6.05"/>
    <n v="15"/>
    <n v="0.59405940594059403"/>
    <m/>
  </r>
  <r>
    <d v="2022-01-28T00:00:00"/>
    <n v="159"/>
    <x v="158"/>
    <x v="34"/>
    <e v="#REF!"/>
    <e v="#REF!"/>
    <n v="8"/>
    <s v="Valorisables"/>
    <x v="7"/>
    <n v="1.4"/>
    <n v="0.55000000000000004"/>
    <n v="0.84999999999999987"/>
    <n v="3.3663366336633659E-2"/>
    <m/>
  </r>
  <r>
    <d v="2022-01-28T00:00:00"/>
    <n v="159"/>
    <x v="158"/>
    <x v="34"/>
    <e v="#REF!"/>
    <e v="#REF!"/>
    <n v="9"/>
    <s v="Valorisables"/>
    <x v="8"/>
    <m/>
    <m/>
    <n v="0"/>
    <n v="0"/>
    <m/>
  </r>
  <r>
    <d v="2022-01-28T00:00:00"/>
    <n v="159"/>
    <x v="158"/>
    <x v="34"/>
    <e v="#REF!"/>
    <e v="#REF!"/>
    <n v="10"/>
    <s v="Valorisables"/>
    <x v="9"/>
    <n v="21.6"/>
    <n v="17.100000000000001"/>
    <n v="4.5"/>
    <n v="0.17821782178217821"/>
    <m/>
  </r>
  <r>
    <d v="2022-01-28T00:00:00"/>
    <n v="159"/>
    <x v="158"/>
    <x v="34"/>
    <e v="#REF!"/>
    <e v="#REF!"/>
    <n v="11"/>
    <s v="Valorisables"/>
    <x v="10"/>
    <n v="0.6"/>
    <n v="0.55000000000000004"/>
    <n v="4.9999999999999933E-2"/>
    <n v="1.9801980198019776E-3"/>
    <m/>
  </r>
  <r>
    <d v="2022-01-28T00:00:00"/>
    <n v="159"/>
    <x v="158"/>
    <x v="34"/>
    <e v="#REF!"/>
    <e v="#REF!"/>
    <n v="12"/>
    <s v="Refus"/>
    <x v="11"/>
    <n v="12.15"/>
    <n v="8.5500000000000007"/>
    <n v="3.5999999999999996"/>
    <n v="0.14257425742574256"/>
    <m/>
  </r>
  <r>
    <d v="2022-01-28T00:00:00"/>
    <n v="160"/>
    <x v="159"/>
    <x v="17"/>
    <n v="5.6"/>
    <n v="5.3999999999999986"/>
    <n v="1"/>
    <s v="Valorisables"/>
    <x v="0"/>
    <n v="1.05"/>
    <n v="0.55000000000000004"/>
    <n v="0.5"/>
    <n v="9.2592592592592615E-2"/>
    <m/>
  </r>
  <r>
    <d v="2022-01-28T00:00:00"/>
    <n v="160"/>
    <x v="159"/>
    <x v="17"/>
    <n v="5.6"/>
    <n v="-3.5714285714285907E-2"/>
    <n v="2"/>
    <s v="Valorisables"/>
    <x v="1"/>
    <n v="2.0499999999999998"/>
    <n v="1.1000000000000001"/>
    <n v="0.94999999999999973"/>
    <n v="0.17592592592592593"/>
    <m/>
  </r>
  <r>
    <d v="2022-01-28T00:00:00"/>
    <n v="160"/>
    <x v="159"/>
    <x v="17"/>
    <e v="#REF!"/>
    <e v="#REF!"/>
    <n v="3"/>
    <s v="Valorisables"/>
    <x v="2"/>
    <n v="0.8"/>
    <n v="0.55000000000000004"/>
    <n v="0.25"/>
    <n v="4.6296296296296308E-2"/>
    <m/>
  </r>
  <r>
    <d v="2022-01-28T00:00:00"/>
    <n v="160"/>
    <x v="159"/>
    <x v="17"/>
    <e v="#REF!"/>
    <e v="#REF!"/>
    <n v="4"/>
    <s v="Valorisables"/>
    <x v="3"/>
    <n v="0.8"/>
    <n v="0.55000000000000004"/>
    <n v="0.25"/>
    <n v="4.6296296296296308E-2"/>
    <m/>
  </r>
  <r>
    <d v="2022-01-28T00:00:00"/>
    <n v="160"/>
    <x v="159"/>
    <x v="17"/>
    <e v="#REF!"/>
    <e v="#REF!"/>
    <n v="5"/>
    <s v="Valorisables"/>
    <x v="4"/>
    <n v="0.7"/>
    <n v="0.55000000000000004"/>
    <n v="0.14999999999999991"/>
    <n v="2.7777777777777769E-2"/>
    <m/>
  </r>
  <r>
    <d v="2022-01-28T00:00:00"/>
    <n v="160"/>
    <x v="159"/>
    <x v="17"/>
    <e v="#REF!"/>
    <e v="#REF!"/>
    <n v="6"/>
    <s v="Valorisables"/>
    <x v="5"/>
    <m/>
    <m/>
    <n v="0"/>
    <n v="0"/>
    <m/>
  </r>
  <r>
    <d v="2022-01-28T00:00:00"/>
    <n v="160"/>
    <x v="159"/>
    <x v="17"/>
    <e v="#REF!"/>
    <e v="#REF!"/>
    <n v="7"/>
    <s v="Valorisables"/>
    <x v="6"/>
    <m/>
    <m/>
    <n v="0"/>
    <n v="0"/>
    <m/>
  </r>
  <r>
    <d v="2022-01-28T00:00:00"/>
    <n v="160"/>
    <x v="159"/>
    <x v="17"/>
    <e v="#REF!"/>
    <e v="#REF!"/>
    <n v="8"/>
    <s v="Valorisables"/>
    <x v="7"/>
    <n v="0.8"/>
    <n v="0.55000000000000004"/>
    <n v="0.25"/>
    <n v="4.6296296296296308E-2"/>
    <m/>
  </r>
  <r>
    <d v="2022-01-28T00:00:00"/>
    <n v="160"/>
    <x v="159"/>
    <x v="17"/>
    <e v="#REF!"/>
    <e v="#REF!"/>
    <n v="9"/>
    <s v="Valorisables"/>
    <x v="8"/>
    <n v="0.8"/>
    <n v="0.55000000000000004"/>
    <n v="0.25"/>
    <n v="4.6296296296296308E-2"/>
    <m/>
  </r>
  <r>
    <d v="2022-01-28T00:00:00"/>
    <n v="160"/>
    <x v="159"/>
    <x v="17"/>
    <e v="#REF!"/>
    <e v="#REF!"/>
    <n v="10"/>
    <s v="Valorisables"/>
    <x v="9"/>
    <n v="1.25"/>
    <n v="0.5"/>
    <n v="0.75"/>
    <n v="0.13888888888888892"/>
    <m/>
  </r>
  <r>
    <d v="2022-01-28T00:00:00"/>
    <n v="160"/>
    <x v="159"/>
    <x v="17"/>
    <e v="#REF!"/>
    <e v="#REF!"/>
    <n v="11"/>
    <s v="Valorisables"/>
    <x v="10"/>
    <n v="9.4"/>
    <n v="8.5500000000000007"/>
    <n v="0.84999999999999964"/>
    <n v="0.15740740740740738"/>
    <m/>
  </r>
  <r>
    <d v="2022-01-28T00:00:00"/>
    <n v="160"/>
    <x v="159"/>
    <x v="17"/>
    <e v="#REF!"/>
    <e v="#REF!"/>
    <n v="12"/>
    <s v="Refus"/>
    <x v="11"/>
    <n v="9.75"/>
    <n v="8.5500000000000007"/>
    <n v="1.1999999999999993"/>
    <n v="0.22222222222222215"/>
    <m/>
  </r>
  <r>
    <d v="2022-01-28T00:00:00"/>
    <n v="161"/>
    <x v="160"/>
    <x v="16"/>
    <n v="31.000000000000004"/>
    <n v="32.75"/>
    <n v="1"/>
    <s v="Valorisables"/>
    <x v="0"/>
    <m/>
    <m/>
    <n v="0"/>
    <n v="0"/>
    <m/>
  </r>
  <r>
    <d v="2022-01-28T00:00:00"/>
    <n v="161"/>
    <x v="160"/>
    <x v="16"/>
    <n v="31.000000000000004"/>
    <n v="5.6451612903225687E-2"/>
    <n v="2"/>
    <s v="Valorisables"/>
    <x v="1"/>
    <n v="0.7"/>
    <n v="0.55000000000000004"/>
    <n v="0.14999999999999991"/>
    <n v="4.5801526717557228E-3"/>
    <m/>
  </r>
  <r>
    <d v="2022-01-28T00:00:00"/>
    <n v="161"/>
    <x v="160"/>
    <x v="16"/>
    <e v="#REF!"/>
    <e v="#REF!"/>
    <n v="3"/>
    <s v="Valorisables"/>
    <x v="2"/>
    <n v="0.7"/>
    <n v="0.5"/>
    <n v="0.19999999999999996"/>
    <n v="6.1068702290076327E-3"/>
    <m/>
  </r>
  <r>
    <d v="2022-01-28T00:00:00"/>
    <n v="161"/>
    <x v="160"/>
    <x v="16"/>
    <e v="#REF!"/>
    <e v="#REF!"/>
    <n v="4"/>
    <s v="Valorisables"/>
    <x v="3"/>
    <n v="0.6"/>
    <n v="0.55000000000000004"/>
    <n v="4.9999999999999933E-2"/>
    <n v="1.5267175572519064E-3"/>
    <m/>
  </r>
  <r>
    <d v="2022-01-28T00:00:00"/>
    <n v="161"/>
    <x v="160"/>
    <x v="16"/>
    <e v="#REF!"/>
    <e v="#REF!"/>
    <n v="5"/>
    <s v="Valorisables"/>
    <x v="4"/>
    <n v="0.6"/>
    <n v="0.55000000000000004"/>
    <n v="4.9999999999999933E-2"/>
    <n v="1.5267175572519064E-3"/>
    <m/>
  </r>
  <r>
    <d v="2022-01-28T00:00:00"/>
    <n v="161"/>
    <x v="160"/>
    <x v="16"/>
    <e v="#REF!"/>
    <e v="#REF!"/>
    <n v="6"/>
    <s v="Valorisables"/>
    <x v="5"/>
    <m/>
    <m/>
    <n v="0"/>
    <n v="0"/>
    <m/>
  </r>
  <r>
    <d v="2022-01-28T00:00:00"/>
    <n v="161"/>
    <x v="160"/>
    <x v="16"/>
    <e v="#REF!"/>
    <e v="#REF!"/>
    <n v="7"/>
    <s v="Valorisables"/>
    <x v="6"/>
    <n v="2.5"/>
    <n v="0.55000000000000004"/>
    <n v="1.95"/>
    <n v="5.9541984732824425E-2"/>
    <m/>
  </r>
  <r>
    <d v="2022-01-28T00:00:00"/>
    <n v="161"/>
    <x v="160"/>
    <x v="16"/>
    <e v="#REF!"/>
    <e v="#REF!"/>
    <n v="8"/>
    <s v="Valorisables"/>
    <x v="7"/>
    <n v="29.5"/>
    <n v="17.05"/>
    <n v="12.45"/>
    <n v="0.38015267175572515"/>
    <m/>
  </r>
  <r>
    <d v="2022-01-28T00:00:00"/>
    <n v="161"/>
    <x v="160"/>
    <x v="16"/>
    <e v="#REF!"/>
    <e v="#REF!"/>
    <n v="9"/>
    <s v="Valorisables"/>
    <x v="8"/>
    <m/>
    <m/>
    <n v="0"/>
    <n v="0"/>
    <m/>
  </r>
  <r>
    <d v="2022-01-28T00:00:00"/>
    <n v="161"/>
    <x v="160"/>
    <x v="16"/>
    <e v="#REF!"/>
    <e v="#REF!"/>
    <n v="10"/>
    <s v="Valorisables"/>
    <x v="9"/>
    <n v="49.2"/>
    <n v="34.200000000000003"/>
    <n v="15"/>
    <n v="0.4580152671755725"/>
    <m/>
  </r>
  <r>
    <d v="2022-01-28T00:00:00"/>
    <n v="161"/>
    <x v="160"/>
    <x v="16"/>
    <e v="#REF!"/>
    <e v="#REF!"/>
    <n v="11"/>
    <s v="Valorisables"/>
    <x v="10"/>
    <n v="0.75"/>
    <n v="0.55000000000000004"/>
    <n v="0.19999999999999996"/>
    <n v="6.1068702290076327E-3"/>
    <m/>
  </r>
  <r>
    <d v="2022-01-28T00:00:00"/>
    <n v="161"/>
    <x v="160"/>
    <x v="16"/>
    <e v="#REF!"/>
    <e v="#REF!"/>
    <n v="12"/>
    <s v="Refus"/>
    <x v="11"/>
    <n v="11"/>
    <n v="8.3000000000000007"/>
    <n v="2.6999999999999993"/>
    <n v="8.2442748091603027E-2"/>
    <m/>
  </r>
  <r>
    <d v="2022-01-28T00:00:00"/>
    <n v="162"/>
    <x v="161"/>
    <x v="18"/>
    <n v="17.400000000000002"/>
    <n v="17.249999999999986"/>
    <n v="1"/>
    <s v="Valorisables"/>
    <x v="0"/>
    <m/>
    <m/>
    <n v="0"/>
    <n v="0"/>
    <m/>
  </r>
  <r>
    <d v="2022-01-28T00:00:00"/>
    <n v="162"/>
    <x v="161"/>
    <x v="18"/>
    <n v="17.400000000000002"/>
    <n v="-8.6206896551733522E-3"/>
    <n v="2"/>
    <s v="Valorisables"/>
    <x v="1"/>
    <n v="0.65"/>
    <n v="0.55000000000000004"/>
    <n v="9.9999999999999978E-2"/>
    <n v="5.7971014492753659E-3"/>
    <m/>
  </r>
  <r>
    <d v="2022-01-28T00:00:00"/>
    <n v="162"/>
    <x v="161"/>
    <x v="18"/>
    <e v="#REF!"/>
    <e v="#REF!"/>
    <n v="3"/>
    <s v="Valorisables"/>
    <x v="2"/>
    <m/>
    <m/>
    <n v="0"/>
    <n v="0"/>
    <m/>
  </r>
  <r>
    <d v="2022-01-28T00:00:00"/>
    <n v="162"/>
    <x v="161"/>
    <x v="18"/>
    <e v="#REF!"/>
    <e v="#REF!"/>
    <n v="4"/>
    <s v="Valorisables"/>
    <x v="3"/>
    <n v="0.6"/>
    <n v="0.55000000000000004"/>
    <n v="4.9999999999999933E-2"/>
    <n v="2.8985507246376799E-3"/>
    <m/>
  </r>
  <r>
    <d v="2022-01-28T00:00:00"/>
    <n v="162"/>
    <x v="161"/>
    <x v="18"/>
    <e v="#REF!"/>
    <e v="#REF!"/>
    <n v="5"/>
    <s v="Valorisables"/>
    <x v="4"/>
    <m/>
    <m/>
    <n v="0"/>
    <n v="0"/>
    <m/>
  </r>
  <r>
    <d v="2022-01-28T00:00:00"/>
    <n v="162"/>
    <x v="161"/>
    <x v="18"/>
    <e v="#REF!"/>
    <e v="#REF!"/>
    <n v="6"/>
    <s v="Valorisables"/>
    <x v="5"/>
    <m/>
    <m/>
    <n v="0"/>
    <n v="0"/>
    <m/>
  </r>
  <r>
    <d v="2022-01-28T00:00:00"/>
    <n v="162"/>
    <x v="161"/>
    <x v="18"/>
    <e v="#REF!"/>
    <e v="#REF!"/>
    <n v="7"/>
    <s v="Valorisables"/>
    <x v="6"/>
    <m/>
    <m/>
    <n v="0"/>
    <n v="0"/>
    <m/>
  </r>
  <r>
    <d v="2022-01-28T00:00:00"/>
    <n v="162"/>
    <x v="161"/>
    <x v="18"/>
    <e v="#REF!"/>
    <e v="#REF!"/>
    <n v="8"/>
    <s v="Valorisables"/>
    <x v="7"/>
    <n v="3.8"/>
    <n v="1.1000000000000001"/>
    <n v="2.6999999999999997"/>
    <n v="0.15652173913043491"/>
    <m/>
  </r>
  <r>
    <d v="2022-01-28T00:00:00"/>
    <n v="162"/>
    <x v="161"/>
    <x v="18"/>
    <e v="#REF!"/>
    <e v="#REF!"/>
    <n v="9"/>
    <s v="Valorisables"/>
    <x v="8"/>
    <m/>
    <m/>
    <n v="0"/>
    <n v="0"/>
    <m/>
  </r>
  <r>
    <d v="2022-01-28T00:00:00"/>
    <n v="162"/>
    <x v="161"/>
    <x v="18"/>
    <e v="#REF!"/>
    <e v="#REF!"/>
    <n v="10"/>
    <s v="Valorisables"/>
    <x v="9"/>
    <n v="46.599999999999994"/>
    <n v="33.900000000000006"/>
    <n v="12.699999999999989"/>
    <n v="0.73623188405797091"/>
    <m/>
  </r>
  <r>
    <d v="2022-01-28T00:00:00"/>
    <n v="162"/>
    <x v="161"/>
    <x v="18"/>
    <e v="#REF!"/>
    <e v="#REF!"/>
    <n v="11"/>
    <s v="Valorisables"/>
    <x v="10"/>
    <n v="0.7"/>
    <n v="0.55000000000000004"/>
    <n v="0.14999999999999991"/>
    <n v="8.6956521739130453E-3"/>
    <m/>
  </r>
  <r>
    <d v="2022-01-28T00:00:00"/>
    <n v="162"/>
    <x v="161"/>
    <x v="18"/>
    <e v="#REF!"/>
    <e v="#REF!"/>
    <n v="12"/>
    <s v="Refus"/>
    <x v="11"/>
    <n v="10.1"/>
    <n v="8.5500000000000007"/>
    <n v="1.5499999999999989"/>
    <n v="8.9855072463768129E-2"/>
    <m/>
  </r>
  <r>
    <d v="2022-01-28T00:00:00"/>
    <n v="163"/>
    <x v="162"/>
    <x v="20"/>
    <n v="6.2"/>
    <n v="6.2499999999999964"/>
    <n v="1"/>
    <s v="Valorisables"/>
    <x v="0"/>
    <n v="1.1499999999999999"/>
    <n v="0.5"/>
    <n v="0.64999999999999991"/>
    <n v="0.10400000000000005"/>
    <m/>
  </r>
  <r>
    <d v="2022-01-28T00:00:00"/>
    <n v="163"/>
    <x v="162"/>
    <x v="20"/>
    <n v="6.2"/>
    <n v="8.0645161290316559E-3"/>
    <n v="2"/>
    <s v="Valorisables"/>
    <x v="1"/>
    <n v="10.25"/>
    <n v="9.1000000000000014"/>
    <n v="1.1499999999999986"/>
    <n v="0.18399999999999989"/>
    <m/>
  </r>
  <r>
    <d v="2022-01-28T00:00:00"/>
    <n v="163"/>
    <x v="162"/>
    <x v="20"/>
    <e v="#REF!"/>
    <e v="#REF!"/>
    <n v="3"/>
    <s v="Valorisables"/>
    <x v="2"/>
    <n v="1"/>
    <n v="0.55000000000000004"/>
    <n v="0.44999999999999996"/>
    <n v="7.2000000000000036E-2"/>
    <m/>
  </r>
  <r>
    <d v="2022-01-28T00:00:00"/>
    <n v="163"/>
    <x v="162"/>
    <x v="20"/>
    <e v="#REF!"/>
    <e v="#REF!"/>
    <n v="4"/>
    <s v="Valorisables"/>
    <x v="3"/>
    <n v="0.75"/>
    <n v="0.55000000000000004"/>
    <n v="0.19999999999999996"/>
    <n v="3.2000000000000015E-2"/>
    <m/>
  </r>
  <r>
    <d v="2022-01-28T00:00:00"/>
    <n v="163"/>
    <x v="162"/>
    <x v="20"/>
    <e v="#REF!"/>
    <e v="#REF!"/>
    <n v="5"/>
    <s v="Valorisables"/>
    <x v="4"/>
    <m/>
    <m/>
    <n v="0"/>
    <n v="0"/>
    <m/>
  </r>
  <r>
    <d v="2022-01-28T00:00:00"/>
    <n v="163"/>
    <x v="162"/>
    <x v="20"/>
    <e v="#REF!"/>
    <e v="#REF!"/>
    <n v="6"/>
    <s v="Valorisables"/>
    <x v="5"/>
    <m/>
    <m/>
    <n v="0"/>
    <n v="0"/>
    <m/>
  </r>
  <r>
    <d v="2022-01-28T00:00:00"/>
    <n v="163"/>
    <x v="162"/>
    <x v="20"/>
    <e v="#REF!"/>
    <e v="#REF!"/>
    <n v="7"/>
    <s v="Valorisables"/>
    <x v="6"/>
    <m/>
    <m/>
    <n v="0"/>
    <n v="0"/>
    <m/>
  </r>
  <r>
    <d v="2022-01-28T00:00:00"/>
    <n v="163"/>
    <x v="162"/>
    <x v="20"/>
    <e v="#REF!"/>
    <e v="#REF!"/>
    <n v="8"/>
    <s v="Valorisables"/>
    <x v="7"/>
    <n v="1.1000000000000001"/>
    <n v="0.5"/>
    <n v="0.60000000000000009"/>
    <n v="9.6000000000000071E-2"/>
    <m/>
  </r>
  <r>
    <d v="2022-01-28T00:00:00"/>
    <n v="163"/>
    <x v="162"/>
    <x v="20"/>
    <e v="#REF!"/>
    <e v="#REF!"/>
    <n v="9"/>
    <s v="Valorisables"/>
    <x v="8"/>
    <m/>
    <m/>
    <n v="0"/>
    <n v="0"/>
    <m/>
  </r>
  <r>
    <d v="2022-01-28T00:00:00"/>
    <n v="163"/>
    <x v="162"/>
    <x v="20"/>
    <e v="#REF!"/>
    <e v="#REF!"/>
    <n v="10"/>
    <s v="Valorisables"/>
    <x v="9"/>
    <n v="9"/>
    <n v="8.5500000000000007"/>
    <n v="0.44999999999999929"/>
    <n v="7.1999999999999925E-2"/>
    <m/>
  </r>
  <r>
    <d v="2022-01-28T00:00:00"/>
    <n v="163"/>
    <x v="162"/>
    <x v="20"/>
    <e v="#REF!"/>
    <e v="#REF!"/>
    <n v="11"/>
    <s v="Valorisables"/>
    <x v="10"/>
    <n v="9.6"/>
    <n v="9.1000000000000014"/>
    <n v="0.49999999999999822"/>
    <n v="7.9999999999999766E-2"/>
    <m/>
  </r>
  <r>
    <d v="2022-01-28T00:00:00"/>
    <n v="163"/>
    <x v="162"/>
    <x v="20"/>
    <e v="#REF!"/>
    <e v="#REF!"/>
    <n v="12"/>
    <s v="Refus"/>
    <x v="11"/>
    <n v="10.8"/>
    <n v="8.5500000000000007"/>
    <n v="2.25"/>
    <n v="0.36000000000000021"/>
    <m/>
  </r>
  <r>
    <d v="2022-01-28T00:00:00"/>
    <n v="164"/>
    <x v="163"/>
    <x v="21"/>
    <n v="13.600000000000001"/>
    <n v="13.349999999999998"/>
    <n v="1"/>
    <s v="Valorisables"/>
    <x v="0"/>
    <n v="0.8"/>
    <n v="0.55000000000000004"/>
    <n v="0.25"/>
    <n v="1.872659176029963E-2"/>
    <m/>
  </r>
  <r>
    <d v="2022-01-28T00:00:00"/>
    <n v="164"/>
    <x v="163"/>
    <x v="21"/>
    <n v="13.600000000000001"/>
    <n v="-1.8382352941176731E-2"/>
    <n v="2"/>
    <s v="Valorisables"/>
    <x v="1"/>
    <n v="10.199999999999999"/>
    <n v="8.5"/>
    <n v="1.6999999999999993"/>
    <n v="0.12734082397003743"/>
    <m/>
  </r>
  <r>
    <d v="2022-01-28T00:00:00"/>
    <n v="164"/>
    <x v="163"/>
    <x v="21"/>
    <e v="#REF!"/>
    <e v="#REF!"/>
    <n v="3"/>
    <s v="Valorisables"/>
    <x v="2"/>
    <n v="2.75"/>
    <n v="1.1000000000000001"/>
    <n v="1.65"/>
    <n v="0.12359550561797754"/>
    <m/>
  </r>
  <r>
    <d v="2022-01-28T00:00:00"/>
    <n v="164"/>
    <x v="163"/>
    <x v="21"/>
    <e v="#REF!"/>
    <e v="#REF!"/>
    <n v="4"/>
    <s v="Valorisables"/>
    <x v="3"/>
    <n v="0.6"/>
    <n v="0.55000000000000004"/>
    <n v="4.9999999999999933E-2"/>
    <n v="3.7453183520599208E-3"/>
    <m/>
  </r>
  <r>
    <d v="2022-01-28T00:00:00"/>
    <n v="164"/>
    <x v="163"/>
    <x v="21"/>
    <e v="#REF!"/>
    <e v="#REF!"/>
    <n v="5"/>
    <s v="Valorisables"/>
    <x v="4"/>
    <n v="0.6"/>
    <n v="0.55000000000000004"/>
    <n v="4.9999999999999933E-2"/>
    <n v="3.7453183520599208E-3"/>
    <m/>
  </r>
  <r>
    <d v="2022-01-28T00:00:00"/>
    <n v="164"/>
    <x v="163"/>
    <x v="21"/>
    <e v="#REF!"/>
    <e v="#REF!"/>
    <n v="6"/>
    <s v="Valorisables"/>
    <x v="5"/>
    <m/>
    <m/>
    <n v="0"/>
    <n v="0"/>
    <m/>
  </r>
  <r>
    <d v="2022-01-28T00:00:00"/>
    <n v="164"/>
    <x v="163"/>
    <x v="21"/>
    <e v="#REF!"/>
    <e v="#REF!"/>
    <n v="7"/>
    <s v="Valorisables"/>
    <x v="6"/>
    <m/>
    <m/>
    <n v="0"/>
    <n v="0"/>
    <m/>
  </r>
  <r>
    <d v="2022-01-28T00:00:00"/>
    <n v="164"/>
    <x v="163"/>
    <x v="21"/>
    <e v="#REF!"/>
    <e v="#REF!"/>
    <n v="8"/>
    <s v="Valorisables"/>
    <x v="7"/>
    <n v="0.7"/>
    <n v="0.55000000000000004"/>
    <n v="0.14999999999999991"/>
    <n v="1.123595505617977E-2"/>
    <m/>
  </r>
  <r>
    <d v="2022-01-28T00:00:00"/>
    <n v="164"/>
    <x v="163"/>
    <x v="21"/>
    <e v="#REF!"/>
    <e v="#REF!"/>
    <n v="9"/>
    <s v="Valorisables"/>
    <x v="8"/>
    <m/>
    <m/>
    <n v="0"/>
    <n v="0"/>
    <m/>
  </r>
  <r>
    <d v="2022-01-28T00:00:00"/>
    <n v="164"/>
    <x v="163"/>
    <x v="21"/>
    <e v="#REF!"/>
    <e v="#REF!"/>
    <n v="10"/>
    <s v="Valorisables"/>
    <x v="9"/>
    <n v="0.8"/>
    <n v="0.55000000000000004"/>
    <n v="0.25"/>
    <n v="1.872659176029963E-2"/>
    <m/>
  </r>
  <r>
    <d v="2022-01-28T00:00:00"/>
    <n v="164"/>
    <x v="163"/>
    <x v="21"/>
    <e v="#REF!"/>
    <e v="#REF!"/>
    <n v="11"/>
    <s v="Valorisables"/>
    <x v="10"/>
    <n v="48.75"/>
    <n v="42.25"/>
    <n v="6.5"/>
    <n v="0.48689138576779034"/>
    <m/>
  </r>
  <r>
    <d v="2022-01-28T00:00:00"/>
    <n v="164"/>
    <x v="163"/>
    <x v="21"/>
    <e v="#REF!"/>
    <e v="#REF!"/>
    <n v="12"/>
    <s v="Refus"/>
    <x v="11"/>
    <n v="19.850000000000001"/>
    <n v="17.100000000000001"/>
    <n v="2.75"/>
    <n v="0.20599250936329591"/>
    <m/>
  </r>
  <r>
    <d v="2022-02-14T00:00:00"/>
    <n v="165"/>
    <x v="164"/>
    <x v="5"/>
    <n v="40.599999999999994"/>
    <n v="40.449999999999989"/>
    <n v="1"/>
    <s v="Valorisables"/>
    <x v="0"/>
    <n v="0.6"/>
    <n v="0.55000000000000004"/>
    <n v="4.9999999999999933E-2"/>
    <n v="1.2360939431396772E-3"/>
    <m/>
  </r>
  <r>
    <d v="2022-02-14T00:00:00"/>
    <n v="165"/>
    <x v="164"/>
    <x v="5"/>
    <n v="40.599999999999994"/>
    <n v="-3.6945812807883177E-3"/>
    <n v="2"/>
    <s v="Valorisables"/>
    <x v="1"/>
    <m/>
    <m/>
    <n v="0"/>
    <n v="0"/>
    <m/>
  </r>
  <r>
    <d v="2022-02-14T00:00:00"/>
    <n v="165"/>
    <x v="164"/>
    <x v="5"/>
    <e v="#REF!"/>
    <e v="#REF!"/>
    <n v="3"/>
    <s v="Valorisables"/>
    <x v="2"/>
    <n v="0.6"/>
    <n v="0.5"/>
    <n v="9.9999999999999978E-2"/>
    <n v="2.4721878862793575E-3"/>
    <m/>
  </r>
  <r>
    <d v="2022-02-14T00:00:00"/>
    <n v="165"/>
    <x v="164"/>
    <x v="5"/>
    <e v="#REF!"/>
    <e v="#REF!"/>
    <n v="4"/>
    <s v="Valorisables"/>
    <x v="3"/>
    <n v="0.6"/>
    <n v="0.55000000000000004"/>
    <n v="4.9999999999999933E-2"/>
    <n v="1.2360939431396772E-3"/>
    <m/>
  </r>
  <r>
    <d v="2022-02-14T00:00:00"/>
    <n v="165"/>
    <x v="164"/>
    <x v="5"/>
    <e v="#REF!"/>
    <e v="#REF!"/>
    <n v="5"/>
    <s v="Valorisables"/>
    <x v="4"/>
    <n v="0.6"/>
    <n v="0.5"/>
    <n v="9.9999999999999978E-2"/>
    <n v="2.4721878862793575E-3"/>
    <m/>
  </r>
  <r>
    <d v="2022-02-14T00:00:00"/>
    <n v="165"/>
    <x v="164"/>
    <x v="5"/>
    <e v="#REF!"/>
    <e v="#REF!"/>
    <n v="6"/>
    <s v="Valorisables"/>
    <x v="5"/>
    <m/>
    <m/>
    <n v="0"/>
    <n v="0"/>
    <m/>
  </r>
  <r>
    <d v="2022-02-14T00:00:00"/>
    <n v="165"/>
    <x v="164"/>
    <x v="5"/>
    <e v="#REF!"/>
    <e v="#REF!"/>
    <n v="7"/>
    <s v="Valorisables"/>
    <x v="6"/>
    <m/>
    <m/>
    <n v="0"/>
    <n v="0"/>
    <m/>
  </r>
  <r>
    <d v="2022-02-14T00:00:00"/>
    <n v="165"/>
    <x v="164"/>
    <x v="5"/>
    <e v="#REF!"/>
    <e v="#REF!"/>
    <n v="8"/>
    <s v="Valorisables"/>
    <x v="7"/>
    <n v="19.5"/>
    <n v="17.05"/>
    <n v="2.4499999999999993"/>
    <n v="6.0568603213844253E-2"/>
    <m/>
  </r>
  <r>
    <d v="2022-02-14T00:00:00"/>
    <n v="165"/>
    <x v="164"/>
    <x v="5"/>
    <e v="#REF!"/>
    <e v="#REF!"/>
    <n v="9"/>
    <s v="Valorisables"/>
    <x v="8"/>
    <m/>
    <m/>
    <n v="0"/>
    <n v="0"/>
    <m/>
  </r>
  <r>
    <d v="2022-02-14T00:00:00"/>
    <n v="165"/>
    <x v="164"/>
    <x v="5"/>
    <e v="#REF!"/>
    <e v="#REF!"/>
    <n v="10"/>
    <s v="Valorisables"/>
    <x v="9"/>
    <n v="86.85"/>
    <n v="51"/>
    <n v="35.849999999999994"/>
    <n v="0.8862793572311497"/>
    <m/>
  </r>
  <r>
    <d v="2022-02-14T00:00:00"/>
    <n v="165"/>
    <x v="164"/>
    <x v="5"/>
    <e v="#REF!"/>
    <e v="#REF!"/>
    <n v="11"/>
    <s v="Valorisables"/>
    <x v="10"/>
    <n v="0.6"/>
    <n v="0.55000000000000004"/>
    <n v="4.9999999999999933E-2"/>
    <n v="1.2360939431396772E-3"/>
    <m/>
  </r>
  <r>
    <d v="2022-02-14T00:00:00"/>
    <n v="165"/>
    <x v="164"/>
    <x v="5"/>
    <e v="#REF!"/>
    <e v="#REF!"/>
    <n v="12"/>
    <s v="Refus"/>
    <x v="11"/>
    <n v="10.35"/>
    <n v="8.5500000000000007"/>
    <n v="1.7999999999999989"/>
    <n v="4.4499381953028418E-2"/>
    <m/>
  </r>
  <r>
    <d v="2022-02-14T00:00:00"/>
    <n v="166"/>
    <x v="165"/>
    <x v="4"/>
    <n v="23.8"/>
    <n v="24.150000000000002"/>
    <n v="1"/>
    <s v="Valorisables"/>
    <x v="0"/>
    <n v="90.85"/>
    <n v="68.05"/>
    <n v="22.799999999999997"/>
    <n v="0.94409937888198736"/>
    <m/>
  </r>
  <r>
    <d v="2022-02-14T00:00:00"/>
    <n v="166"/>
    <x v="165"/>
    <x v="4"/>
    <n v="23.8"/>
    <n v="1.4705882352941235E-2"/>
    <n v="2"/>
    <s v="Valorisables"/>
    <x v="1"/>
    <n v="2.15"/>
    <n v="1.1000000000000001"/>
    <n v="1.0499999999999998"/>
    <n v="4.3478260869565209E-2"/>
    <m/>
  </r>
  <r>
    <d v="2022-02-14T00:00:00"/>
    <n v="166"/>
    <x v="165"/>
    <x v="4"/>
    <e v="#REF!"/>
    <e v="#REF!"/>
    <n v="3"/>
    <s v="Valorisables"/>
    <x v="2"/>
    <n v="0.6"/>
    <n v="0.55000000000000004"/>
    <n v="4.9999999999999933E-2"/>
    <n v="2.0703933747411979E-3"/>
    <m/>
  </r>
  <r>
    <d v="2022-02-14T00:00:00"/>
    <n v="166"/>
    <x v="165"/>
    <x v="4"/>
    <e v="#REF!"/>
    <e v="#REF!"/>
    <n v="4"/>
    <s v="Valorisables"/>
    <x v="3"/>
    <m/>
    <m/>
    <n v="0"/>
    <n v="0"/>
    <m/>
  </r>
  <r>
    <d v="2022-02-14T00:00:00"/>
    <n v="166"/>
    <x v="165"/>
    <x v="4"/>
    <e v="#REF!"/>
    <e v="#REF!"/>
    <n v="5"/>
    <s v="Valorisables"/>
    <x v="4"/>
    <n v="0.6"/>
    <n v="0.55000000000000004"/>
    <n v="4.9999999999999933E-2"/>
    <n v="2.0703933747411979E-3"/>
    <m/>
  </r>
  <r>
    <d v="2022-02-14T00:00:00"/>
    <n v="166"/>
    <x v="165"/>
    <x v="4"/>
    <e v="#REF!"/>
    <e v="#REF!"/>
    <n v="6"/>
    <s v="Valorisables"/>
    <x v="5"/>
    <m/>
    <m/>
    <n v="0"/>
    <n v="0"/>
    <m/>
  </r>
  <r>
    <d v="2022-02-14T00:00:00"/>
    <n v="166"/>
    <x v="165"/>
    <x v="4"/>
    <e v="#REF!"/>
    <e v="#REF!"/>
    <n v="7"/>
    <s v="Valorisables"/>
    <x v="6"/>
    <m/>
    <m/>
    <n v="0"/>
    <n v="0"/>
    <m/>
  </r>
  <r>
    <d v="2022-02-14T00:00:00"/>
    <n v="166"/>
    <x v="165"/>
    <x v="4"/>
    <e v="#REF!"/>
    <e v="#REF!"/>
    <n v="8"/>
    <s v="Valorisables"/>
    <x v="7"/>
    <n v="0.65"/>
    <n v="0.55000000000000004"/>
    <n v="9.9999999999999978E-2"/>
    <n v="4.1407867494824002E-3"/>
    <m/>
  </r>
  <r>
    <d v="2022-02-14T00:00:00"/>
    <n v="166"/>
    <x v="165"/>
    <x v="4"/>
    <e v="#REF!"/>
    <e v="#REF!"/>
    <n v="9"/>
    <s v="Valorisables"/>
    <x v="8"/>
    <m/>
    <m/>
    <n v="0"/>
    <n v="0"/>
    <m/>
  </r>
  <r>
    <d v="2022-02-14T00:00:00"/>
    <n v="166"/>
    <x v="165"/>
    <x v="4"/>
    <e v="#REF!"/>
    <e v="#REF!"/>
    <n v="10"/>
    <s v="Valorisables"/>
    <x v="9"/>
    <n v="0.6"/>
    <n v="0.55000000000000004"/>
    <n v="4.9999999999999933E-2"/>
    <n v="2.0703933747411979E-3"/>
    <m/>
  </r>
  <r>
    <d v="2022-02-14T00:00:00"/>
    <n v="166"/>
    <x v="165"/>
    <x v="4"/>
    <e v="#REF!"/>
    <e v="#REF!"/>
    <n v="11"/>
    <s v="Valorisables"/>
    <x v="10"/>
    <m/>
    <m/>
    <n v="0"/>
    <n v="0"/>
    <m/>
  </r>
  <r>
    <d v="2022-02-14T00:00:00"/>
    <n v="166"/>
    <x v="165"/>
    <x v="4"/>
    <e v="#REF!"/>
    <e v="#REF!"/>
    <n v="12"/>
    <s v="Refus"/>
    <x v="11"/>
    <n v="0.6"/>
    <n v="0.55000000000000004"/>
    <n v="4.9999999999999933E-2"/>
    <n v="2.0703933747411979E-3"/>
    <m/>
  </r>
  <r>
    <d v="2022-02-14T00:00:00"/>
    <n v="167"/>
    <x v="166"/>
    <x v="11"/>
    <n v="23.3"/>
    <n v="23.550000000000004"/>
    <n v="1"/>
    <s v="Valorisables"/>
    <x v="0"/>
    <n v="32.15"/>
    <n v="25.650000000000002"/>
    <n v="6.4999999999999964"/>
    <n v="0.2760084925690019"/>
    <m/>
  </r>
  <r>
    <d v="2022-02-14T00:00:00"/>
    <n v="167"/>
    <x v="166"/>
    <x v="11"/>
    <n v="23.3"/>
    <n v="1.0729613733905732E-2"/>
    <n v="2"/>
    <s v="Valorisables"/>
    <x v="1"/>
    <n v="65.400000000000006"/>
    <n v="51.05"/>
    <n v="14.350000000000009"/>
    <n v="0.60934182590233565"/>
    <m/>
  </r>
  <r>
    <d v="2022-02-14T00:00:00"/>
    <n v="167"/>
    <x v="166"/>
    <x v="11"/>
    <e v="#REF!"/>
    <e v="#REF!"/>
    <n v="3"/>
    <s v="Valorisables"/>
    <x v="2"/>
    <n v="0.8"/>
    <n v="0.55000000000000004"/>
    <n v="0.25"/>
    <n v="1.0615711252653925E-2"/>
    <m/>
  </r>
  <r>
    <d v="2022-02-14T00:00:00"/>
    <n v="167"/>
    <x v="166"/>
    <x v="11"/>
    <e v="#REF!"/>
    <e v="#REF!"/>
    <n v="4"/>
    <s v="Valorisables"/>
    <x v="3"/>
    <n v="0.7"/>
    <n v="0.55000000000000004"/>
    <n v="0.14999999999999991"/>
    <n v="6.3694267515923518E-3"/>
    <m/>
  </r>
  <r>
    <d v="2022-02-14T00:00:00"/>
    <n v="167"/>
    <x v="166"/>
    <x v="11"/>
    <e v="#REF!"/>
    <e v="#REF!"/>
    <n v="5"/>
    <s v="Valorisables"/>
    <x v="4"/>
    <n v="0.7"/>
    <n v="0.55000000000000004"/>
    <n v="0.14999999999999991"/>
    <n v="6.3694267515923518E-3"/>
    <m/>
  </r>
  <r>
    <d v="2022-02-14T00:00:00"/>
    <n v="167"/>
    <x v="166"/>
    <x v="11"/>
    <e v="#REF!"/>
    <e v="#REF!"/>
    <n v="6"/>
    <s v="Valorisables"/>
    <x v="5"/>
    <m/>
    <m/>
    <n v="0"/>
    <n v="0"/>
    <m/>
  </r>
  <r>
    <d v="2022-02-14T00:00:00"/>
    <n v="167"/>
    <x v="166"/>
    <x v="11"/>
    <e v="#REF!"/>
    <e v="#REF!"/>
    <n v="7"/>
    <s v="Valorisables"/>
    <x v="6"/>
    <m/>
    <m/>
    <n v="0"/>
    <n v="0"/>
    <m/>
  </r>
  <r>
    <d v="2022-02-14T00:00:00"/>
    <n v="167"/>
    <x v="166"/>
    <x v="11"/>
    <e v="#REF!"/>
    <e v="#REF!"/>
    <n v="8"/>
    <s v="Valorisables"/>
    <x v="7"/>
    <n v="0.65"/>
    <n v="0.55000000000000004"/>
    <n v="9.9999999999999978E-2"/>
    <n v="4.2462845010615693E-3"/>
    <m/>
  </r>
  <r>
    <d v="2022-02-14T00:00:00"/>
    <n v="167"/>
    <x v="166"/>
    <x v="11"/>
    <e v="#REF!"/>
    <e v="#REF!"/>
    <n v="9"/>
    <s v="Valorisables"/>
    <x v="8"/>
    <m/>
    <m/>
    <n v="0"/>
    <n v="0"/>
    <m/>
  </r>
  <r>
    <d v="2022-02-14T00:00:00"/>
    <n v="167"/>
    <x v="166"/>
    <x v="11"/>
    <e v="#REF!"/>
    <e v="#REF!"/>
    <n v="10"/>
    <s v="Valorisables"/>
    <x v="9"/>
    <n v="1.1000000000000001"/>
    <n v="0.55000000000000004"/>
    <n v="0.55000000000000004"/>
    <n v="2.3354564755838639E-2"/>
    <m/>
  </r>
  <r>
    <d v="2022-02-14T00:00:00"/>
    <n v="167"/>
    <x v="166"/>
    <x v="11"/>
    <e v="#REF!"/>
    <e v="#REF!"/>
    <n v="11"/>
    <s v="Valorisables"/>
    <x v="10"/>
    <n v="0.6"/>
    <n v="0.55000000000000004"/>
    <n v="4.9999999999999933E-2"/>
    <n v="2.1231422505307825E-3"/>
    <m/>
  </r>
  <r>
    <d v="2022-02-14T00:00:00"/>
    <n v="167"/>
    <x v="166"/>
    <x v="11"/>
    <e v="#REF!"/>
    <e v="#REF!"/>
    <n v="12"/>
    <s v="Refus"/>
    <x v="11"/>
    <n v="10"/>
    <n v="8.5500000000000007"/>
    <n v="1.4499999999999993"/>
    <n v="6.157112526539274E-2"/>
    <m/>
  </r>
  <r>
    <d v="2022-02-14T00:00:00"/>
    <n v="168"/>
    <x v="167"/>
    <x v="10"/>
    <n v="34.299999999999997"/>
    <n v="34.649999999999991"/>
    <n v="1"/>
    <s v="Valorisables"/>
    <x v="0"/>
    <n v="0.75"/>
    <n v="0.55000000000000004"/>
    <n v="0.19999999999999996"/>
    <n v="5.772005772005772E-3"/>
    <m/>
  </r>
  <r>
    <d v="2022-02-14T00:00:00"/>
    <n v="168"/>
    <x v="167"/>
    <x v="10"/>
    <n v="34.299999999999997"/>
    <n v="1.0204081632652896E-2"/>
    <n v="2"/>
    <s v="Valorisables"/>
    <x v="1"/>
    <n v="9.5499999999999989"/>
    <n v="9.0500000000000007"/>
    <n v="0.49999999999999822"/>
    <n v="1.4430014430014383E-2"/>
    <m/>
  </r>
  <r>
    <d v="2022-02-14T00:00:00"/>
    <n v="168"/>
    <x v="167"/>
    <x v="10"/>
    <e v="#REF!"/>
    <e v="#REF!"/>
    <n v="3"/>
    <s v="Valorisables"/>
    <x v="2"/>
    <n v="108.39999999999999"/>
    <n v="76.649999999999991"/>
    <n v="31.75"/>
    <n v="0.91630591630591651"/>
    <m/>
  </r>
  <r>
    <d v="2022-02-14T00:00:00"/>
    <n v="168"/>
    <x v="167"/>
    <x v="10"/>
    <e v="#REF!"/>
    <e v="#REF!"/>
    <n v="4"/>
    <s v="Valorisables"/>
    <x v="3"/>
    <n v="0.75"/>
    <n v="0.55000000000000004"/>
    <n v="0.19999999999999996"/>
    <n v="5.772005772005772E-3"/>
    <m/>
  </r>
  <r>
    <d v="2022-02-14T00:00:00"/>
    <n v="168"/>
    <x v="167"/>
    <x v="10"/>
    <e v="#REF!"/>
    <e v="#REF!"/>
    <n v="5"/>
    <s v="Valorisables"/>
    <x v="4"/>
    <n v="0.7"/>
    <n v="0.55000000000000004"/>
    <n v="0.14999999999999991"/>
    <n v="4.3290043290043273E-3"/>
    <m/>
  </r>
  <r>
    <d v="2022-02-14T00:00:00"/>
    <n v="168"/>
    <x v="167"/>
    <x v="10"/>
    <e v="#REF!"/>
    <e v="#REF!"/>
    <n v="6"/>
    <s v="Valorisables"/>
    <x v="5"/>
    <m/>
    <m/>
    <n v="0"/>
    <n v="0"/>
    <m/>
  </r>
  <r>
    <d v="2022-02-14T00:00:00"/>
    <n v="168"/>
    <x v="167"/>
    <x v="10"/>
    <e v="#REF!"/>
    <e v="#REF!"/>
    <n v="7"/>
    <s v="Valorisables"/>
    <x v="6"/>
    <m/>
    <m/>
    <n v="0"/>
    <n v="0"/>
    <m/>
  </r>
  <r>
    <d v="2022-02-14T00:00:00"/>
    <n v="168"/>
    <x v="167"/>
    <x v="10"/>
    <e v="#REF!"/>
    <e v="#REF!"/>
    <n v="8"/>
    <s v="Valorisables"/>
    <x v="7"/>
    <n v="0.6"/>
    <n v="0.55000000000000004"/>
    <n v="4.9999999999999933E-2"/>
    <n v="1.4430014430014415E-3"/>
    <m/>
  </r>
  <r>
    <d v="2022-02-14T00:00:00"/>
    <n v="168"/>
    <x v="167"/>
    <x v="10"/>
    <e v="#REF!"/>
    <e v="#REF!"/>
    <n v="9"/>
    <s v="Valorisables"/>
    <x v="8"/>
    <m/>
    <m/>
    <n v="0"/>
    <n v="0"/>
    <m/>
  </r>
  <r>
    <d v="2022-02-14T00:00:00"/>
    <n v="168"/>
    <x v="167"/>
    <x v="10"/>
    <e v="#REF!"/>
    <e v="#REF!"/>
    <n v="10"/>
    <s v="Valorisables"/>
    <x v="9"/>
    <n v="0.8"/>
    <n v="0.55000000000000004"/>
    <n v="0.25"/>
    <n v="7.2150072150072167E-3"/>
    <m/>
  </r>
  <r>
    <d v="2022-02-14T00:00:00"/>
    <n v="168"/>
    <x v="167"/>
    <x v="10"/>
    <e v="#REF!"/>
    <e v="#REF!"/>
    <n v="11"/>
    <s v="Valorisables"/>
    <x v="10"/>
    <n v="0.6"/>
    <n v="0.55000000000000004"/>
    <n v="4.9999999999999933E-2"/>
    <n v="1.4430014430014415E-3"/>
    <m/>
  </r>
  <r>
    <d v="2022-02-14T00:00:00"/>
    <n v="168"/>
    <x v="167"/>
    <x v="10"/>
    <e v="#REF!"/>
    <e v="#REF!"/>
    <n v="12"/>
    <s v="Refus"/>
    <x v="11"/>
    <n v="10.050000000000001"/>
    <n v="8.5500000000000007"/>
    <n v="1.5"/>
    <n v="4.3290043290043302E-2"/>
    <m/>
  </r>
  <r>
    <d v="2022-02-14T00:00:00"/>
    <n v="169"/>
    <x v="168"/>
    <x v="12"/>
    <n v="15.600000000000001"/>
    <n v="15.449999999999996"/>
    <n v="1"/>
    <s v="Valorisables"/>
    <x v="0"/>
    <m/>
    <m/>
    <n v="0"/>
    <n v="0"/>
    <m/>
  </r>
  <r>
    <d v="2022-02-14T00:00:00"/>
    <n v="169"/>
    <x v="168"/>
    <x v="12"/>
    <n v="15.600000000000001"/>
    <n v="-9.6153846153849785E-3"/>
    <n v="2"/>
    <s v="Valorisables"/>
    <x v="1"/>
    <m/>
    <m/>
    <n v="0"/>
    <n v="0"/>
    <m/>
  </r>
  <r>
    <d v="2022-02-14T00:00:00"/>
    <n v="169"/>
    <x v="168"/>
    <x v="12"/>
    <e v="#REF!"/>
    <e v="#REF!"/>
    <n v="3"/>
    <s v="Valorisables"/>
    <x v="2"/>
    <n v="1.2"/>
    <n v="1.1000000000000001"/>
    <n v="9.9999999999999867E-2"/>
    <n v="6.4724919093851066E-3"/>
    <m/>
  </r>
  <r>
    <d v="2022-02-14T00:00:00"/>
    <n v="169"/>
    <x v="168"/>
    <x v="12"/>
    <e v="#REF!"/>
    <e v="#REF!"/>
    <n v="4"/>
    <s v="Valorisables"/>
    <x v="3"/>
    <m/>
    <m/>
    <n v="0"/>
    <n v="0"/>
    <m/>
  </r>
  <r>
    <d v="2022-02-14T00:00:00"/>
    <n v="169"/>
    <x v="168"/>
    <x v="12"/>
    <e v="#REF!"/>
    <e v="#REF!"/>
    <n v="5"/>
    <s v="Valorisables"/>
    <x v="4"/>
    <m/>
    <m/>
    <n v="0"/>
    <n v="0"/>
    <m/>
  </r>
  <r>
    <d v="2022-02-14T00:00:00"/>
    <n v="169"/>
    <x v="168"/>
    <x v="12"/>
    <e v="#REF!"/>
    <e v="#REF!"/>
    <n v="6"/>
    <s v="Valorisables"/>
    <x v="5"/>
    <m/>
    <m/>
    <n v="0"/>
    <n v="0"/>
    <m/>
  </r>
  <r>
    <d v="2022-02-14T00:00:00"/>
    <n v="169"/>
    <x v="168"/>
    <x v="12"/>
    <e v="#REF!"/>
    <e v="#REF!"/>
    <n v="7"/>
    <s v="Valorisables"/>
    <x v="6"/>
    <m/>
    <m/>
    <n v="0"/>
    <n v="0"/>
    <m/>
  </r>
  <r>
    <d v="2022-02-14T00:00:00"/>
    <n v="169"/>
    <x v="168"/>
    <x v="12"/>
    <e v="#REF!"/>
    <e v="#REF!"/>
    <n v="8"/>
    <s v="Valorisables"/>
    <x v="7"/>
    <m/>
    <m/>
    <n v="0"/>
    <n v="0"/>
    <m/>
  </r>
  <r>
    <d v="2022-02-14T00:00:00"/>
    <n v="169"/>
    <x v="168"/>
    <x v="12"/>
    <e v="#REF!"/>
    <e v="#REF!"/>
    <n v="9"/>
    <s v="Valorisables"/>
    <x v="8"/>
    <m/>
    <m/>
    <n v="0"/>
    <n v="0"/>
    <m/>
  </r>
  <r>
    <d v="2022-02-14T00:00:00"/>
    <n v="169"/>
    <x v="168"/>
    <x v="12"/>
    <e v="#REF!"/>
    <e v="#REF!"/>
    <n v="10"/>
    <s v="Valorisables"/>
    <x v="9"/>
    <n v="2"/>
    <n v="1.1000000000000001"/>
    <n v="0.89999999999999991"/>
    <n v="5.8252427184466028E-2"/>
    <m/>
  </r>
  <r>
    <d v="2022-02-14T00:00:00"/>
    <n v="169"/>
    <x v="168"/>
    <x v="12"/>
    <e v="#REF!"/>
    <e v="#REF!"/>
    <n v="11"/>
    <s v="Valorisables"/>
    <x v="10"/>
    <n v="63.9"/>
    <n v="51.2"/>
    <n v="12.699999999999996"/>
    <n v="0.82200647249190939"/>
    <m/>
  </r>
  <r>
    <d v="2022-02-14T00:00:00"/>
    <n v="169"/>
    <x v="168"/>
    <x v="12"/>
    <e v="#REF!"/>
    <e v="#REF!"/>
    <n v="12"/>
    <s v="Refus"/>
    <x v="11"/>
    <n v="18.600000000000001"/>
    <n v="16.850000000000001"/>
    <n v="1.75"/>
    <n v="0.11326860841423951"/>
    <m/>
  </r>
  <r>
    <d v="2022-02-14T00:00:00"/>
    <n v="170"/>
    <x v="169"/>
    <x v="9"/>
    <n v="37.599999999999994"/>
    <n v="37.4"/>
    <n v="1"/>
    <s v="Valorisables"/>
    <x v="0"/>
    <m/>
    <m/>
    <n v="0"/>
    <n v="0"/>
    <m/>
  </r>
  <r>
    <d v="2022-02-14T00:00:00"/>
    <n v="170"/>
    <x v="169"/>
    <x v="9"/>
    <n v="37.599999999999994"/>
    <n v="-5.3191489361700999E-3"/>
    <n v="2"/>
    <s v="Valorisables"/>
    <x v="1"/>
    <n v="0.6"/>
    <n v="0.55000000000000004"/>
    <n v="4.9999999999999933E-2"/>
    <n v="1.3368983957219233E-3"/>
    <m/>
  </r>
  <r>
    <d v="2022-02-14T00:00:00"/>
    <n v="170"/>
    <x v="169"/>
    <x v="9"/>
    <e v="#REF!"/>
    <e v="#REF!"/>
    <n v="3"/>
    <s v="Valorisables"/>
    <x v="2"/>
    <n v="1.1499999999999999"/>
    <n v="0.55000000000000004"/>
    <n v="0.59999999999999987"/>
    <n v="1.60427807486631E-2"/>
    <m/>
  </r>
  <r>
    <d v="2022-02-14T00:00:00"/>
    <n v="170"/>
    <x v="169"/>
    <x v="9"/>
    <e v="#REF!"/>
    <e v="#REF!"/>
    <n v="4"/>
    <s v="Valorisables"/>
    <x v="3"/>
    <n v="94.85"/>
    <n v="59.3"/>
    <n v="35.549999999999997"/>
    <n v="0.95053475935828868"/>
    <m/>
  </r>
  <r>
    <d v="2022-02-14T00:00:00"/>
    <n v="170"/>
    <x v="169"/>
    <x v="9"/>
    <e v="#REF!"/>
    <e v="#REF!"/>
    <n v="5"/>
    <s v="Valorisables"/>
    <x v="4"/>
    <m/>
    <m/>
    <n v="0"/>
    <n v="0"/>
    <m/>
  </r>
  <r>
    <d v="2022-02-14T00:00:00"/>
    <n v="170"/>
    <x v="169"/>
    <x v="9"/>
    <e v="#REF!"/>
    <e v="#REF!"/>
    <n v="6"/>
    <s v="Valorisables"/>
    <x v="5"/>
    <m/>
    <m/>
    <n v="0"/>
    <n v="0"/>
    <m/>
  </r>
  <r>
    <d v="2022-02-14T00:00:00"/>
    <n v="170"/>
    <x v="169"/>
    <x v="9"/>
    <e v="#REF!"/>
    <e v="#REF!"/>
    <n v="7"/>
    <s v="Valorisables"/>
    <x v="6"/>
    <m/>
    <m/>
    <n v="0"/>
    <n v="0"/>
    <m/>
  </r>
  <r>
    <d v="2022-02-14T00:00:00"/>
    <n v="170"/>
    <x v="169"/>
    <x v="9"/>
    <e v="#REF!"/>
    <e v="#REF!"/>
    <n v="8"/>
    <s v="Valorisables"/>
    <x v="7"/>
    <n v="0.6"/>
    <n v="0.5"/>
    <n v="9.9999999999999978E-2"/>
    <n v="2.6737967914438497E-3"/>
    <m/>
  </r>
  <r>
    <d v="2022-02-14T00:00:00"/>
    <n v="170"/>
    <x v="169"/>
    <x v="9"/>
    <e v="#REF!"/>
    <e v="#REF!"/>
    <n v="9"/>
    <s v="Valorisables"/>
    <x v="8"/>
    <m/>
    <m/>
    <n v="0"/>
    <n v="0"/>
    <m/>
  </r>
  <r>
    <d v="2022-02-14T00:00:00"/>
    <n v="170"/>
    <x v="169"/>
    <x v="9"/>
    <e v="#REF!"/>
    <e v="#REF!"/>
    <n v="10"/>
    <s v="Valorisables"/>
    <x v="9"/>
    <n v="1"/>
    <n v="0.55000000000000004"/>
    <n v="0.44999999999999996"/>
    <n v="1.2032085561497326E-2"/>
    <m/>
  </r>
  <r>
    <d v="2022-02-14T00:00:00"/>
    <n v="170"/>
    <x v="169"/>
    <x v="9"/>
    <e v="#REF!"/>
    <e v="#REF!"/>
    <n v="11"/>
    <s v="Valorisables"/>
    <x v="10"/>
    <n v="0.6"/>
    <n v="0.55000000000000004"/>
    <n v="4.9999999999999933E-2"/>
    <n v="1.3368983957219233E-3"/>
    <m/>
  </r>
  <r>
    <d v="2022-02-14T00:00:00"/>
    <n v="170"/>
    <x v="169"/>
    <x v="9"/>
    <e v="#REF!"/>
    <e v="#REF!"/>
    <n v="12"/>
    <s v="Refus"/>
    <x v="11"/>
    <n v="9.15"/>
    <n v="8.5500000000000007"/>
    <n v="0.59999999999999964"/>
    <n v="1.6042780748663093E-2"/>
    <m/>
  </r>
  <r>
    <d v="2022-02-14T00:00:00"/>
    <n v="171"/>
    <x v="170"/>
    <x v="14"/>
    <n v="39"/>
    <n v="38.850000000000016"/>
    <n v="1"/>
    <s v="Valorisables"/>
    <x v="0"/>
    <n v="0.6"/>
    <n v="0.55000000000000004"/>
    <n v="4.9999999999999933E-2"/>
    <n v="1.2870012870012848E-3"/>
    <m/>
  </r>
  <r>
    <d v="2022-02-14T00:00:00"/>
    <n v="171"/>
    <x v="170"/>
    <x v="14"/>
    <n v="39"/>
    <n v="-3.8461538461534452E-3"/>
    <n v="2"/>
    <s v="Valorisables"/>
    <x v="1"/>
    <n v="0.65"/>
    <n v="0.55000000000000004"/>
    <n v="9.9999999999999978E-2"/>
    <n v="2.5740025740025722E-3"/>
    <m/>
  </r>
  <r>
    <d v="2022-02-14T00:00:00"/>
    <n v="171"/>
    <x v="170"/>
    <x v="14"/>
    <e v="#REF!"/>
    <e v="#REF!"/>
    <n v="3"/>
    <s v="Valorisables"/>
    <x v="2"/>
    <n v="1.35"/>
    <n v="1.1000000000000001"/>
    <n v="0.25"/>
    <n v="6.4350064350064328E-3"/>
    <m/>
  </r>
  <r>
    <d v="2022-02-14T00:00:00"/>
    <n v="171"/>
    <x v="170"/>
    <x v="14"/>
    <e v="#REF!"/>
    <e v="#REF!"/>
    <n v="4"/>
    <s v="Valorisables"/>
    <x v="3"/>
    <n v="1.85"/>
    <n v="1.1000000000000001"/>
    <n v="0.75"/>
    <n v="1.9305019305019298E-2"/>
    <m/>
  </r>
  <r>
    <d v="2022-02-14T00:00:00"/>
    <n v="171"/>
    <x v="170"/>
    <x v="14"/>
    <e v="#REF!"/>
    <e v="#REF!"/>
    <n v="5"/>
    <s v="Valorisables"/>
    <x v="4"/>
    <n v="93.050000000000011"/>
    <n v="59.75"/>
    <n v="33.300000000000011"/>
    <n v="0.8571428571428571"/>
    <m/>
  </r>
  <r>
    <d v="2022-02-14T00:00:00"/>
    <n v="171"/>
    <x v="170"/>
    <x v="14"/>
    <e v="#REF!"/>
    <e v="#REF!"/>
    <n v="6"/>
    <s v="Valorisables"/>
    <x v="5"/>
    <n v="0.75"/>
    <n v="0.55000000000000004"/>
    <n v="0.19999999999999996"/>
    <n v="5.1480051480051444E-3"/>
    <m/>
  </r>
  <r>
    <d v="2022-02-14T00:00:00"/>
    <n v="171"/>
    <x v="170"/>
    <x v="14"/>
    <e v="#REF!"/>
    <e v="#REF!"/>
    <n v="7"/>
    <s v="Valorisables"/>
    <x v="6"/>
    <m/>
    <m/>
    <n v="0"/>
    <n v="0"/>
    <m/>
  </r>
  <r>
    <d v="2022-02-14T00:00:00"/>
    <n v="171"/>
    <x v="170"/>
    <x v="14"/>
    <e v="#REF!"/>
    <e v="#REF!"/>
    <n v="8"/>
    <s v="Valorisables"/>
    <x v="7"/>
    <m/>
    <m/>
    <n v="0"/>
    <n v="0"/>
    <m/>
  </r>
  <r>
    <d v="2022-02-14T00:00:00"/>
    <n v="171"/>
    <x v="170"/>
    <x v="14"/>
    <e v="#REF!"/>
    <e v="#REF!"/>
    <n v="9"/>
    <s v="Valorisables"/>
    <x v="8"/>
    <n v="1.8"/>
    <n v="0.55000000000000004"/>
    <n v="1.25"/>
    <n v="3.2175032175032162E-2"/>
    <m/>
  </r>
  <r>
    <d v="2022-02-14T00:00:00"/>
    <n v="171"/>
    <x v="170"/>
    <x v="14"/>
    <e v="#REF!"/>
    <e v="#REF!"/>
    <n v="10"/>
    <s v="Valorisables"/>
    <x v="9"/>
    <n v="1.5"/>
    <n v="0.5"/>
    <n v="1"/>
    <n v="2.5740025740025731E-2"/>
    <m/>
  </r>
  <r>
    <d v="2022-02-14T00:00:00"/>
    <n v="171"/>
    <x v="170"/>
    <x v="14"/>
    <e v="#REF!"/>
    <e v="#REF!"/>
    <n v="11"/>
    <s v="Valorisables"/>
    <x v="10"/>
    <n v="0.6"/>
    <n v="0.5"/>
    <n v="9.9999999999999978E-2"/>
    <n v="2.5740025740025722E-3"/>
    <m/>
  </r>
  <r>
    <d v="2022-02-14T00:00:00"/>
    <n v="171"/>
    <x v="170"/>
    <x v="14"/>
    <e v="#REF!"/>
    <e v="#REF!"/>
    <n v="12"/>
    <s v="Refus"/>
    <x v="11"/>
    <n v="10.15"/>
    <n v="8.3000000000000007"/>
    <n v="1.8499999999999996"/>
    <n v="4.7619047619047589E-2"/>
    <m/>
  </r>
  <r>
    <d v="2022-02-14T00:00:00"/>
    <n v="172"/>
    <x v="171"/>
    <x v="7"/>
    <n v="38"/>
    <n v="37.899999999999991"/>
    <n v="1"/>
    <s v="Valorisables"/>
    <x v="0"/>
    <m/>
    <m/>
    <n v="0"/>
    <n v="0"/>
    <m/>
  </r>
  <r>
    <d v="2022-02-14T00:00:00"/>
    <n v="172"/>
    <x v="171"/>
    <x v="7"/>
    <n v="38"/>
    <n v="-2.6315789473686456E-3"/>
    <n v="2"/>
    <s v="Valorisables"/>
    <x v="1"/>
    <n v="0.6"/>
    <n v="0.55000000000000004"/>
    <n v="4.9999999999999933E-2"/>
    <n v="1.3192612137203151E-3"/>
    <m/>
  </r>
  <r>
    <d v="2022-02-14T00:00:00"/>
    <n v="172"/>
    <x v="171"/>
    <x v="7"/>
    <e v="#REF!"/>
    <e v="#REF!"/>
    <n v="3"/>
    <s v="Valorisables"/>
    <x v="2"/>
    <n v="0.55000000000000004"/>
    <n v="0.5"/>
    <n v="5.0000000000000044E-2"/>
    <n v="1.3192612137203181E-3"/>
    <m/>
  </r>
  <r>
    <d v="2022-02-14T00:00:00"/>
    <n v="172"/>
    <x v="171"/>
    <x v="7"/>
    <e v="#REF!"/>
    <e v="#REF!"/>
    <n v="4"/>
    <s v="Valorisables"/>
    <x v="3"/>
    <n v="0.6"/>
    <n v="0.55000000000000004"/>
    <n v="4.9999999999999933E-2"/>
    <n v="1.3192612137203151E-3"/>
    <m/>
  </r>
  <r>
    <d v="2022-02-14T00:00:00"/>
    <n v="172"/>
    <x v="171"/>
    <x v="7"/>
    <e v="#REF!"/>
    <e v="#REF!"/>
    <n v="5"/>
    <s v="Valorisables"/>
    <x v="4"/>
    <n v="0.6"/>
    <n v="0.55000000000000004"/>
    <n v="4.9999999999999933E-2"/>
    <n v="1.3192612137203151E-3"/>
    <m/>
  </r>
  <r>
    <d v="2022-02-14T00:00:00"/>
    <n v="172"/>
    <x v="171"/>
    <x v="7"/>
    <e v="#REF!"/>
    <e v="#REF!"/>
    <n v="6"/>
    <s v="Valorisables"/>
    <x v="5"/>
    <m/>
    <m/>
    <n v="0"/>
    <n v="0"/>
    <m/>
  </r>
  <r>
    <d v="2022-02-14T00:00:00"/>
    <n v="172"/>
    <x v="171"/>
    <x v="7"/>
    <e v="#REF!"/>
    <e v="#REF!"/>
    <n v="7"/>
    <s v="Valorisables"/>
    <x v="6"/>
    <m/>
    <m/>
    <n v="0"/>
    <n v="0"/>
    <m/>
  </r>
  <r>
    <d v="2022-02-14T00:00:00"/>
    <n v="172"/>
    <x v="171"/>
    <x v="7"/>
    <e v="#REF!"/>
    <e v="#REF!"/>
    <n v="8"/>
    <s v="Valorisables"/>
    <x v="7"/>
    <n v="65.55"/>
    <n v="33.950000000000003"/>
    <n v="31.599999999999994"/>
    <n v="0.83377308707124009"/>
    <m/>
  </r>
  <r>
    <d v="2022-02-14T00:00:00"/>
    <n v="172"/>
    <x v="171"/>
    <x v="7"/>
    <e v="#REF!"/>
    <e v="#REF!"/>
    <n v="9"/>
    <s v="Valorisables"/>
    <x v="8"/>
    <m/>
    <m/>
    <n v="0"/>
    <n v="0"/>
    <m/>
  </r>
  <r>
    <d v="2022-02-14T00:00:00"/>
    <n v="172"/>
    <x v="171"/>
    <x v="7"/>
    <e v="#REF!"/>
    <e v="#REF!"/>
    <n v="10"/>
    <s v="Valorisables"/>
    <x v="9"/>
    <n v="13"/>
    <n v="8.5500000000000007"/>
    <n v="4.4499999999999993"/>
    <n v="0.11741424802110818"/>
    <m/>
  </r>
  <r>
    <d v="2022-02-14T00:00:00"/>
    <n v="172"/>
    <x v="171"/>
    <x v="7"/>
    <e v="#REF!"/>
    <e v="#REF!"/>
    <n v="11"/>
    <s v="Valorisables"/>
    <x v="10"/>
    <n v="0.6"/>
    <n v="0.5"/>
    <n v="9.9999999999999978E-2"/>
    <n v="2.6385224274406332E-3"/>
    <m/>
  </r>
  <r>
    <d v="2022-02-14T00:00:00"/>
    <n v="172"/>
    <x v="171"/>
    <x v="7"/>
    <e v="#REF!"/>
    <e v="#REF!"/>
    <n v="12"/>
    <s v="Refus"/>
    <x v="11"/>
    <n v="2.6"/>
    <n v="1.05"/>
    <n v="1.55"/>
    <n v="4.0897097625329823E-2"/>
    <m/>
  </r>
  <r>
    <d v="2022-02-14T00:00:00"/>
    <n v="173"/>
    <x v="172"/>
    <x v="7"/>
    <n v="37.799999999999997"/>
    <n v="38.049999999999997"/>
    <n v="1"/>
    <s v="Valorisables"/>
    <x v="0"/>
    <m/>
    <m/>
    <n v="0"/>
    <n v="0"/>
    <m/>
  </r>
  <r>
    <d v="2022-02-14T00:00:00"/>
    <n v="173"/>
    <x v="172"/>
    <x v="7"/>
    <n v="37.799999999999997"/>
    <n v="6.6137566137566143E-3"/>
    <n v="2"/>
    <s v="Valorisables"/>
    <x v="1"/>
    <n v="0.6"/>
    <n v="0.55000000000000004"/>
    <n v="4.9999999999999933E-2"/>
    <n v="1.3140604467805502E-3"/>
    <m/>
  </r>
  <r>
    <d v="2022-02-14T00:00:00"/>
    <n v="173"/>
    <x v="172"/>
    <x v="7"/>
    <e v="#REF!"/>
    <e v="#REF!"/>
    <n v="3"/>
    <s v="Valorisables"/>
    <x v="2"/>
    <n v="0.55000000000000004"/>
    <n v="0.5"/>
    <n v="5.0000000000000044E-2"/>
    <n v="1.3140604467805532E-3"/>
    <m/>
  </r>
  <r>
    <d v="2022-02-14T00:00:00"/>
    <n v="173"/>
    <x v="172"/>
    <x v="7"/>
    <e v="#REF!"/>
    <e v="#REF!"/>
    <n v="4"/>
    <s v="Valorisables"/>
    <x v="3"/>
    <n v="0.7"/>
    <n v="0.55000000000000004"/>
    <n v="0.14999999999999991"/>
    <n v="3.9421813403416536E-3"/>
    <m/>
  </r>
  <r>
    <d v="2022-02-14T00:00:00"/>
    <n v="173"/>
    <x v="172"/>
    <x v="7"/>
    <e v="#REF!"/>
    <e v="#REF!"/>
    <n v="5"/>
    <s v="Valorisables"/>
    <x v="4"/>
    <m/>
    <m/>
    <n v="0"/>
    <n v="0"/>
    <m/>
  </r>
  <r>
    <d v="2022-02-14T00:00:00"/>
    <n v="173"/>
    <x v="172"/>
    <x v="7"/>
    <e v="#REF!"/>
    <e v="#REF!"/>
    <n v="6"/>
    <s v="Valorisables"/>
    <x v="5"/>
    <m/>
    <m/>
    <n v="0"/>
    <n v="0"/>
    <m/>
  </r>
  <r>
    <d v="2022-02-14T00:00:00"/>
    <n v="173"/>
    <x v="172"/>
    <x v="7"/>
    <e v="#REF!"/>
    <e v="#REF!"/>
    <n v="7"/>
    <s v="Valorisables"/>
    <x v="6"/>
    <m/>
    <m/>
    <n v="0"/>
    <n v="0"/>
    <m/>
  </r>
  <r>
    <d v="2022-02-14T00:00:00"/>
    <n v="173"/>
    <x v="172"/>
    <x v="7"/>
    <e v="#REF!"/>
    <e v="#REF!"/>
    <n v="8"/>
    <s v="Valorisables"/>
    <x v="7"/>
    <n v="65.7"/>
    <n v="33.950000000000003"/>
    <n v="31.75"/>
    <n v="0.83442838370565053"/>
    <m/>
  </r>
  <r>
    <d v="2022-02-14T00:00:00"/>
    <n v="173"/>
    <x v="172"/>
    <x v="7"/>
    <e v="#REF!"/>
    <e v="#REF!"/>
    <n v="9"/>
    <s v="Valorisables"/>
    <x v="8"/>
    <m/>
    <m/>
    <n v="0"/>
    <n v="0"/>
    <m/>
  </r>
  <r>
    <d v="2022-02-14T00:00:00"/>
    <n v="173"/>
    <x v="172"/>
    <x v="7"/>
    <e v="#REF!"/>
    <e v="#REF!"/>
    <n v="10"/>
    <s v="Valorisables"/>
    <x v="9"/>
    <n v="13.3"/>
    <n v="8.5"/>
    <n v="4.8000000000000007"/>
    <n v="0.126149802890933"/>
    <m/>
  </r>
  <r>
    <d v="2022-02-14T00:00:00"/>
    <n v="173"/>
    <x v="172"/>
    <x v="7"/>
    <e v="#REF!"/>
    <e v="#REF!"/>
    <n v="11"/>
    <s v="Valorisables"/>
    <x v="10"/>
    <m/>
    <m/>
    <n v="0"/>
    <n v="0"/>
    <m/>
  </r>
  <r>
    <d v="2022-02-14T00:00:00"/>
    <n v="173"/>
    <x v="172"/>
    <x v="7"/>
    <e v="#REF!"/>
    <e v="#REF!"/>
    <n v="12"/>
    <s v="Refus"/>
    <x v="11"/>
    <n v="9.8000000000000007"/>
    <n v="8.5500000000000007"/>
    <n v="1.25"/>
    <n v="3.2851511169513799E-2"/>
    <m/>
  </r>
  <r>
    <d v="2022-02-14T00:00:00"/>
    <n v="174"/>
    <x v="173"/>
    <x v="6"/>
    <n v="34.4"/>
    <n v="34.599999999999994"/>
    <n v="1"/>
    <s v="Valorisables"/>
    <x v="0"/>
    <m/>
    <m/>
    <n v="0"/>
    <n v="0"/>
    <m/>
  </r>
  <r>
    <d v="2022-02-14T00:00:00"/>
    <n v="174"/>
    <x v="173"/>
    <x v="6"/>
    <n v="34.4"/>
    <n v="5.8139534883719689E-3"/>
    <n v="2"/>
    <s v="Valorisables"/>
    <x v="1"/>
    <n v="1.05"/>
    <n v="0.55000000000000004"/>
    <n v="0.5"/>
    <n v="1.4450867052023125E-2"/>
    <m/>
  </r>
  <r>
    <d v="2022-02-14T00:00:00"/>
    <n v="174"/>
    <x v="173"/>
    <x v="6"/>
    <e v="#REF!"/>
    <e v="#REF!"/>
    <n v="3"/>
    <s v="Valorisables"/>
    <x v="2"/>
    <n v="0.95"/>
    <n v="0.55000000000000004"/>
    <n v="0.39999999999999991"/>
    <n v="1.1560693641618497E-2"/>
    <m/>
  </r>
  <r>
    <d v="2022-02-14T00:00:00"/>
    <n v="174"/>
    <x v="173"/>
    <x v="6"/>
    <e v="#REF!"/>
    <e v="#REF!"/>
    <n v="4"/>
    <s v="Valorisables"/>
    <x v="3"/>
    <n v="0.65"/>
    <n v="0.55000000000000004"/>
    <n v="9.9999999999999978E-2"/>
    <n v="2.8901734104046241E-3"/>
    <m/>
  </r>
  <r>
    <d v="2022-02-14T00:00:00"/>
    <n v="174"/>
    <x v="173"/>
    <x v="6"/>
    <e v="#REF!"/>
    <e v="#REF!"/>
    <n v="5"/>
    <s v="Valorisables"/>
    <x v="4"/>
    <n v="1.25"/>
    <n v="0.55000000000000004"/>
    <n v="0.7"/>
    <n v="2.0231213872832374E-2"/>
    <m/>
  </r>
  <r>
    <d v="2022-02-14T00:00:00"/>
    <n v="174"/>
    <x v="173"/>
    <x v="6"/>
    <e v="#REF!"/>
    <e v="#REF!"/>
    <n v="6"/>
    <s v="Valorisables"/>
    <x v="5"/>
    <m/>
    <m/>
    <n v="0"/>
    <n v="0"/>
    <m/>
  </r>
  <r>
    <d v="2022-02-14T00:00:00"/>
    <n v="174"/>
    <x v="173"/>
    <x v="6"/>
    <e v="#REF!"/>
    <e v="#REF!"/>
    <n v="7"/>
    <s v="Valorisables"/>
    <x v="6"/>
    <n v="23.9"/>
    <n v="6.1"/>
    <n v="17.799999999999997"/>
    <n v="0.51445086705202314"/>
    <m/>
  </r>
  <r>
    <d v="2022-02-14T00:00:00"/>
    <n v="174"/>
    <x v="173"/>
    <x v="6"/>
    <e v="#REF!"/>
    <e v="#REF!"/>
    <n v="8"/>
    <s v="Valorisables"/>
    <x v="7"/>
    <n v="3.3"/>
    <n v="0.55000000000000004"/>
    <n v="2.75"/>
    <n v="7.9479768786127183E-2"/>
    <m/>
  </r>
  <r>
    <d v="2022-02-14T00:00:00"/>
    <n v="174"/>
    <x v="173"/>
    <x v="6"/>
    <e v="#REF!"/>
    <e v="#REF!"/>
    <n v="9"/>
    <s v="Valorisables"/>
    <x v="8"/>
    <m/>
    <m/>
    <n v="0"/>
    <n v="0"/>
    <m/>
  </r>
  <r>
    <d v="2022-02-14T00:00:00"/>
    <n v="174"/>
    <x v="173"/>
    <x v="6"/>
    <e v="#REF!"/>
    <e v="#REF!"/>
    <n v="10"/>
    <s v="Valorisables"/>
    <x v="9"/>
    <n v="11.1"/>
    <n v="8.5500000000000007"/>
    <n v="2.5499999999999989"/>
    <n v="7.3699421965317896E-2"/>
    <m/>
  </r>
  <r>
    <d v="2022-02-14T00:00:00"/>
    <n v="174"/>
    <x v="173"/>
    <x v="6"/>
    <e v="#REF!"/>
    <e v="#REF!"/>
    <n v="11"/>
    <s v="Valorisables"/>
    <x v="10"/>
    <n v="0.55000000000000004"/>
    <n v="0.5"/>
    <n v="5.0000000000000044E-2"/>
    <n v="1.4450867052023136E-3"/>
    <m/>
  </r>
  <r>
    <d v="2022-02-14T00:00:00"/>
    <n v="174"/>
    <x v="173"/>
    <x v="6"/>
    <e v="#REF!"/>
    <e v="#REF!"/>
    <n v="12"/>
    <s v="Refus"/>
    <x v="11"/>
    <n v="18.25"/>
    <n v="8.5"/>
    <n v="9.75"/>
    <n v="0.28179190751445093"/>
    <m/>
  </r>
  <r>
    <d v="2022-02-14T00:00:00"/>
    <n v="175"/>
    <x v="174"/>
    <x v="6"/>
    <n v="31.2"/>
    <n v="31.250000000000004"/>
    <n v="1"/>
    <s v="Valorisables"/>
    <x v="0"/>
    <m/>
    <m/>
    <n v="0"/>
    <n v="0"/>
    <m/>
  </r>
  <r>
    <d v="2022-02-14T00:00:00"/>
    <n v="175"/>
    <x v="174"/>
    <x v="6"/>
    <n v="31.2"/>
    <n v="1.6025641025642393E-3"/>
    <n v="2"/>
    <s v="Valorisables"/>
    <x v="1"/>
    <n v="0.9"/>
    <n v="0.5"/>
    <n v="0.4"/>
    <n v="1.2799999999999999E-2"/>
    <m/>
  </r>
  <r>
    <d v="2022-02-14T00:00:00"/>
    <n v="175"/>
    <x v="174"/>
    <x v="6"/>
    <e v="#REF!"/>
    <e v="#REF!"/>
    <n v="3"/>
    <s v="Valorisables"/>
    <x v="2"/>
    <n v="0.7"/>
    <n v="0.55000000000000004"/>
    <n v="0.14999999999999991"/>
    <n v="4.799999999999997E-3"/>
    <m/>
  </r>
  <r>
    <d v="2022-02-14T00:00:00"/>
    <n v="175"/>
    <x v="174"/>
    <x v="6"/>
    <e v="#REF!"/>
    <e v="#REF!"/>
    <n v="4"/>
    <s v="Valorisables"/>
    <x v="3"/>
    <n v="0.7"/>
    <n v="0.55000000000000004"/>
    <n v="0.14999999999999991"/>
    <n v="4.799999999999997E-3"/>
    <m/>
  </r>
  <r>
    <d v="2022-02-14T00:00:00"/>
    <n v="175"/>
    <x v="174"/>
    <x v="6"/>
    <e v="#REF!"/>
    <e v="#REF!"/>
    <n v="5"/>
    <s v="Valorisables"/>
    <x v="4"/>
    <n v="1.1499999999999999"/>
    <n v="0.55000000000000004"/>
    <n v="0.59999999999999987"/>
    <n v="1.9199999999999995E-2"/>
    <m/>
  </r>
  <r>
    <d v="2022-02-14T00:00:00"/>
    <n v="175"/>
    <x v="174"/>
    <x v="6"/>
    <e v="#REF!"/>
    <e v="#REF!"/>
    <n v="6"/>
    <s v="Valorisables"/>
    <x v="5"/>
    <m/>
    <m/>
    <n v="0"/>
    <n v="0"/>
    <m/>
  </r>
  <r>
    <d v="2022-02-14T00:00:00"/>
    <n v="175"/>
    <x v="174"/>
    <x v="6"/>
    <e v="#REF!"/>
    <e v="#REF!"/>
    <n v="7"/>
    <s v="Valorisables"/>
    <x v="6"/>
    <n v="25.8"/>
    <n v="6.1"/>
    <n v="19.700000000000003"/>
    <n v="0.63040000000000007"/>
    <m/>
  </r>
  <r>
    <d v="2022-02-14T00:00:00"/>
    <n v="175"/>
    <x v="174"/>
    <x v="6"/>
    <e v="#REF!"/>
    <e v="#REF!"/>
    <n v="8"/>
    <s v="Valorisables"/>
    <x v="7"/>
    <n v="1.05"/>
    <n v="0.5"/>
    <n v="0.55000000000000004"/>
    <n v="1.7600000000000001E-2"/>
    <m/>
  </r>
  <r>
    <d v="2022-02-14T00:00:00"/>
    <n v="175"/>
    <x v="174"/>
    <x v="6"/>
    <e v="#REF!"/>
    <e v="#REF!"/>
    <n v="9"/>
    <s v="Valorisables"/>
    <x v="8"/>
    <m/>
    <m/>
    <n v="0"/>
    <n v="0"/>
    <m/>
  </r>
  <r>
    <d v="2022-02-14T00:00:00"/>
    <n v="175"/>
    <x v="174"/>
    <x v="6"/>
    <e v="#REF!"/>
    <e v="#REF!"/>
    <n v="10"/>
    <s v="Valorisables"/>
    <x v="9"/>
    <n v="2.1"/>
    <n v="0.55000000000000004"/>
    <n v="1.55"/>
    <n v="4.9599999999999998E-2"/>
    <m/>
  </r>
  <r>
    <d v="2022-02-14T00:00:00"/>
    <n v="175"/>
    <x v="174"/>
    <x v="6"/>
    <e v="#REF!"/>
    <e v="#REF!"/>
    <n v="11"/>
    <s v="Valorisables"/>
    <x v="10"/>
    <m/>
    <m/>
    <n v="0"/>
    <n v="0"/>
    <m/>
  </r>
  <r>
    <d v="2022-02-14T00:00:00"/>
    <n v="175"/>
    <x v="174"/>
    <x v="6"/>
    <e v="#REF!"/>
    <e v="#REF!"/>
    <n v="12"/>
    <s v="Refus"/>
    <x v="11"/>
    <n v="16.7"/>
    <n v="8.5500000000000007"/>
    <n v="8.1499999999999986"/>
    <n v="0.26079999999999992"/>
    <m/>
  </r>
  <r>
    <d v="2022-02-14T00:00:00"/>
    <n v="176"/>
    <x v="175"/>
    <x v="3"/>
    <n v="27.6"/>
    <n v="26.2"/>
    <n v="1"/>
    <s v="Valorisables"/>
    <x v="0"/>
    <n v="1.2"/>
    <n v="0.5"/>
    <n v="0.7"/>
    <n v="2.6717557251908396E-2"/>
    <m/>
  </r>
  <r>
    <d v="2022-02-14T00:00:00"/>
    <n v="176"/>
    <x v="175"/>
    <x v="3"/>
    <n v="27.6"/>
    <n v="-5.0724637681159493E-2"/>
    <n v="2"/>
    <s v="Valorisables"/>
    <x v="1"/>
    <n v="2.25"/>
    <n v="1.1000000000000001"/>
    <n v="1.1499999999999999"/>
    <n v="4.3893129770992363E-2"/>
    <m/>
  </r>
  <r>
    <d v="2022-02-14T00:00:00"/>
    <n v="176"/>
    <x v="175"/>
    <x v="3"/>
    <e v="#REF!"/>
    <e v="#REF!"/>
    <n v="3"/>
    <s v="Valorisables"/>
    <x v="2"/>
    <n v="12.95"/>
    <n v="8.5"/>
    <n v="4.4499999999999993"/>
    <n v="0.16984732824427479"/>
    <m/>
  </r>
  <r>
    <d v="2022-02-14T00:00:00"/>
    <n v="176"/>
    <x v="175"/>
    <x v="3"/>
    <e v="#REF!"/>
    <e v="#REF!"/>
    <n v="4"/>
    <s v="Valorisables"/>
    <x v="3"/>
    <n v="0.85"/>
    <n v="0.55000000000000004"/>
    <n v="0.29999999999999993"/>
    <n v="1.1450381679389311E-2"/>
    <m/>
  </r>
  <r>
    <d v="2022-02-14T00:00:00"/>
    <n v="176"/>
    <x v="175"/>
    <x v="3"/>
    <e v="#REF!"/>
    <e v="#REF!"/>
    <n v="5"/>
    <s v="Valorisables"/>
    <x v="4"/>
    <n v="1.3"/>
    <n v="0.55000000000000004"/>
    <n v="0.75"/>
    <n v="2.8625954198473282E-2"/>
    <m/>
  </r>
  <r>
    <d v="2022-02-14T00:00:00"/>
    <n v="176"/>
    <x v="175"/>
    <x v="3"/>
    <e v="#REF!"/>
    <e v="#REF!"/>
    <n v="6"/>
    <s v="Valorisables"/>
    <x v="5"/>
    <m/>
    <m/>
    <n v="0"/>
    <n v="0"/>
    <m/>
  </r>
  <r>
    <d v="2022-02-14T00:00:00"/>
    <n v="176"/>
    <x v="175"/>
    <x v="3"/>
    <e v="#REF!"/>
    <e v="#REF!"/>
    <n v="7"/>
    <s v="Valorisables"/>
    <x v="6"/>
    <m/>
    <m/>
    <n v="0"/>
    <n v="0"/>
    <m/>
  </r>
  <r>
    <d v="2022-02-14T00:00:00"/>
    <n v="176"/>
    <x v="175"/>
    <x v="3"/>
    <e v="#REF!"/>
    <e v="#REF!"/>
    <n v="8"/>
    <s v="Valorisables"/>
    <x v="7"/>
    <n v="9.1999999999999993"/>
    <n v="8.5500000000000007"/>
    <n v="0.64999999999999858"/>
    <n v="2.4809160305343459E-2"/>
    <m/>
  </r>
  <r>
    <d v="2022-02-14T00:00:00"/>
    <n v="176"/>
    <x v="175"/>
    <x v="3"/>
    <e v="#REF!"/>
    <e v="#REF!"/>
    <n v="9"/>
    <s v="Valorisables"/>
    <x v="8"/>
    <m/>
    <m/>
    <n v="0"/>
    <n v="0"/>
    <m/>
  </r>
  <r>
    <d v="2022-02-14T00:00:00"/>
    <n v="176"/>
    <x v="175"/>
    <x v="3"/>
    <e v="#REF!"/>
    <e v="#REF!"/>
    <n v="10"/>
    <s v="Valorisables"/>
    <x v="9"/>
    <n v="9.9499999999999993"/>
    <n v="8.5500000000000007"/>
    <n v="1.3999999999999986"/>
    <n v="5.3435114503816744E-2"/>
    <m/>
  </r>
  <r>
    <d v="2022-02-14T00:00:00"/>
    <n v="176"/>
    <x v="175"/>
    <x v="3"/>
    <e v="#REF!"/>
    <e v="#REF!"/>
    <n v="11"/>
    <s v="Valorisables"/>
    <x v="10"/>
    <n v="0.8"/>
    <n v="0.5"/>
    <n v="0.30000000000000004"/>
    <n v="1.1450381679389315E-2"/>
    <m/>
  </r>
  <r>
    <d v="2022-02-14T00:00:00"/>
    <n v="176"/>
    <x v="175"/>
    <x v="3"/>
    <e v="#REF!"/>
    <e v="#REF!"/>
    <n v="12"/>
    <s v="Refus"/>
    <x v="11"/>
    <n v="42.150000000000006"/>
    <n v="25.650000000000002"/>
    <n v="16.500000000000004"/>
    <n v="0.62977099236641232"/>
    <m/>
  </r>
  <r>
    <d v="2022-02-15T00:00:00"/>
    <n v="177"/>
    <x v="176"/>
    <x v="8"/>
    <m/>
    <n v="33.700000000000003"/>
    <n v="1"/>
    <s v="Valorisables"/>
    <x v="0"/>
    <m/>
    <m/>
    <n v="0"/>
    <n v="0"/>
    <m/>
  </r>
  <r>
    <d v="2022-02-15T00:00:00"/>
    <n v="177"/>
    <x v="176"/>
    <x v="8"/>
    <n v="0"/>
    <e v="#DIV/0!"/>
    <n v="2"/>
    <s v="Valorisables"/>
    <x v="1"/>
    <m/>
    <m/>
    <n v="0"/>
    <n v="0"/>
    <m/>
  </r>
  <r>
    <d v="2022-02-15T00:00:00"/>
    <n v="177"/>
    <x v="176"/>
    <x v="8"/>
    <e v="#REF!"/>
    <e v="#REF!"/>
    <n v="3"/>
    <s v="Valorisables"/>
    <x v="2"/>
    <n v="0.55000000000000004"/>
    <n v="0.5"/>
    <n v="5.0000000000000044E-2"/>
    <n v="1.4836795252225531E-3"/>
    <m/>
  </r>
  <r>
    <d v="2022-02-15T00:00:00"/>
    <n v="177"/>
    <x v="176"/>
    <x v="8"/>
    <e v="#REF!"/>
    <e v="#REF!"/>
    <n v="4"/>
    <s v="Valorisables"/>
    <x v="3"/>
    <m/>
    <m/>
    <n v="0"/>
    <n v="0"/>
    <m/>
  </r>
  <r>
    <d v="2022-02-15T00:00:00"/>
    <n v="177"/>
    <x v="176"/>
    <x v="8"/>
    <e v="#REF!"/>
    <e v="#REF!"/>
    <n v="5"/>
    <s v="Valorisables"/>
    <x v="4"/>
    <m/>
    <m/>
    <n v="0"/>
    <n v="0"/>
    <m/>
  </r>
  <r>
    <d v="2022-02-15T00:00:00"/>
    <n v="177"/>
    <x v="176"/>
    <x v="8"/>
    <e v="#REF!"/>
    <e v="#REF!"/>
    <n v="6"/>
    <s v="Valorisables"/>
    <x v="5"/>
    <m/>
    <m/>
    <n v="0"/>
    <n v="0"/>
    <m/>
  </r>
  <r>
    <d v="2022-02-15T00:00:00"/>
    <n v="177"/>
    <x v="176"/>
    <x v="8"/>
    <e v="#REF!"/>
    <e v="#REF!"/>
    <n v="7"/>
    <s v="Valorisables"/>
    <x v="6"/>
    <m/>
    <m/>
    <n v="0"/>
    <n v="0"/>
    <m/>
  </r>
  <r>
    <d v="2022-02-15T00:00:00"/>
    <n v="177"/>
    <x v="176"/>
    <x v="8"/>
    <e v="#REF!"/>
    <e v="#REF!"/>
    <n v="8"/>
    <s v="Valorisables"/>
    <x v="7"/>
    <n v="1.3"/>
    <n v="0.55000000000000004"/>
    <n v="0.75"/>
    <n v="2.2255192878338277E-2"/>
    <m/>
  </r>
  <r>
    <d v="2022-02-15T00:00:00"/>
    <n v="177"/>
    <x v="176"/>
    <x v="8"/>
    <e v="#REF!"/>
    <e v="#REF!"/>
    <n v="9"/>
    <s v="Valorisables"/>
    <x v="8"/>
    <m/>
    <m/>
    <n v="0"/>
    <n v="0"/>
    <m/>
  </r>
  <r>
    <d v="2022-02-15T00:00:00"/>
    <n v="177"/>
    <x v="176"/>
    <x v="8"/>
    <e v="#REF!"/>
    <e v="#REF!"/>
    <n v="10"/>
    <s v="Valorisables"/>
    <x v="9"/>
    <n v="109.05"/>
    <n v="76.649999999999991"/>
    <n v="32.400000000000006"/>
    <n v="0.96142433234421376"/>
    <m/>
  </r>
  <r>
    <d v="2022-02-15T00:00:00"/>
    <n v="177"/>
    <x v="176"/>
    <x v="8"/>
    <e v="#REF!"/>
    <e v="#REF!"/>
    <n v="11"/>
    <s v="Valorisables"/>
    <x v="10"/>
    <n v="0.55000000000000004"/>
    <n v="0.5"/>
    <n v="5.0000000000000044E-2"/>
    <n v="1.4836795252225531E-3"/>
    <m/>
  </r>
  <r>
    <d v="2022-02-15T00:00:00"/>
    <n v="177"/>
    <x v="176"/>
    <x v="8"/>
    <e v="#REF!"/>
    <e v="#REF!"/>
    <n v="12"/>
    <s v="Refus"/>
    <x v="11"/>
    <n v="1.5499999999999998"/>
    <n v="1.1000000000000001"/>
    <n v="0.44999999999999973"/>
    <n v="1.3353115727002958E-2"/>
    <m/>
  </r>
  <r>
    <d v="2022-02-15T00:00:00"/>
    <n v="178"/>
    <x v="177"/>
    <x v="15"/>
    <m/>
    <n v="37.559999999999995"/>
    <n v="1"/>
    <s v="Valorisables"/>
    <x v="0"/>
    <m/>
    <m/>
    <n v="0"/>
    <n v="0"/>
    <m/>
  </r>
  <r>
    <d v="2022-02-15T00:00:00"/>
    <n v="178"/>
    <x v="177"/>
    <x v="15"/>
    <n v="0"/>
    <e v="#DIV/0!"/>
    <n v="2"/>
    <s v="Valorisables"/>
    <x v="1"/>
    <m/>
    <m/>
    <n v="0"/>
    <n v="0"/>
    <m/>
  </r>
  <r>
    <d v="2022-02-15T00:00:00"/>
    <n v="178"/>
    <x v="177"/>
    <x v="15"/>
    <e v="#REF!"/>
    <e v="#REF!"/>
    <n v="3"/>
    <s v="Valorisables"/>
    <x v="2"/>
    <n v="0.75"/>
    <n v="0.55000000000000004"/>
    <n v="0.19999999999999996"/>
    <n v="5.3248136315228959E-3"/>
    <m/>
  </r>
  <r>
    <d v="2022-02-15T00:00:00"/>
    <n v="178"/>
    <x v="177"/>
    <x v="15"/>
    <e v="#REF!"/>
    <e v="#REF!"/>
    <n v="4"/>
    <s v="Valorisables"/>
    <x v="3"/>
    <n v="2.0499999999999998"/>
    <n v="1.1000000000000001"/>
    <n v="0.94999999999999973"/>
    <n v="2.5292864749733756E-2"/>
    <m/>
  </r>
  <r>
    <d v="2022-02-15T00:00:00"/>
    <n v="178"/>
    <x v="177"/>
    <x v="15"/>
    <e v="#REF!"/>
    <e v="#REF!"/>
    <n v="5"/>
    <s v="Valorisables"/>
    <x v="4"/>
    <n v="52.96"/>
    <n v="33.85"/>
    <n v="19.11"/>
    <n v="0.50878594249201281"/>
    <m/>
  </r>
  <r>
    <d v="2022-02-15T00:00:00"/>
    <n v="178"/>
    <x v="177"/>
    <x v="15"/>
    <e v="#REF!"/>
    <e v="#REF!"/>
    <n v="6"/>
    <s v="Valorisables"/>
    <x v="5"/>
    <n v="5"/>
    <n v="1.05"/>
    <n v="3.95"/>
    <n v="0.10516506922257723"/>
    <m/>
  </r>
  <r>
    <d v="2022-02-15T00:00:00"/>
    <n v="178"/>
    <x v="177"/>
    <x v="15"/>
    <e v="#REF!"/>
    <e v="#REF!"/>
    <n v="7"/>
    <s v="Valorisables"/>
    <x v="6"/>
    <m/>
    <m/>
    <n v="0"/>
    <n v="0"/>
    <m/>
  </r>
  <r>
    <d v="2022-02-15T00:00:00"/>
    <n v="178"/>
    <x v="177"/>
    <x v="15"/>
    <e v="#REF!"/>
    <e v="#REF!"/>
    <n v="8"/>
    <s v="Valorisables"/>
    <x v="7"/>
    <m/>
    <m/>
    <n v="0"/>
    <n v="0"/>
    <m/>
  </r>
  <r>
    <d v="2022-02-15T00:00:00"/>
    <n v="178"/>
    <x v="177"/>
    <x v="15"/>
    <e v="#REF!"/>
    <e v="#REF!"/>
    <n v="9"/>
    <s v="Valorisables"/>
    <x v="8"/>
    <m/>
    <m/>
    <n v="0"/>
    <n v="0"/>
    <m/>
  </r>
  <r>
    <d v="2022-02-15T00:00:00"/>
    <n v="178"/>
    <x v="177"/>
    <x v="15"/>
    <e v="#REF!"/>
    <e v="#REF!"/>
    <n v="10"/>
    <s v="Valorisables"/>
    <x v="9"/>
    <n v="0.7"/>
    <n v="0.55000000000000004"/>
    <n v="0.14999999999999991"/>
    <n v="3.9936102236421706E-3"/>
    <m/>
  </r>
  <r>
    <d v="2022-02-15T00:00:00"/>
    <n v="178"/>
    <x v="177"/>
    <x v="15"/>
    <e v="#REF!"/>
    <e v="#REF!"/>
    <n v="11"/>
    <s v="Valorisables"/>
    <x v="10"/>
    <m/>
    <m/>
    <n v="0"/>
    <n v="0"/>
    <m/>
  </r>
  <r>
    <d v="2022-02-15T00:00:00"/>
    <n v="178"/>
    <x v="177"/>
    <x v="15"/>
    <e v="#REF!"/>
    <e v="#REF!"/>
    <n v="12"/>
    <s v="Refus"/>
    <x v="11"/>
    <n v="30.3"/>
    <n v="17.100000000000001"/>
    <n v="13.2"/>
    <n v="0.3514376996805112"/>
    <m/>
  </r>
  <r>
    <d v="2022-02-15T00:00:00"/>
    <n v="179"/>
    <x v="178"/>
    <x v="5"/>
    <n v="36.599999999999994"/>
    <n v="36.700000000000003"/>
    <n v="1"/>
    <s v="Valorisables"/>
    <x v="0"/>
    <m/>
    <m/>
    <n v="0"/>
    <n v="0"/>
    <m/>
  </r>
  <r>
    <d v="2022-02-15T00:00:00"/>
    <n v="179"/>
    <x v="178"/>
    <x v="5"/>
    <n v="36.599999999999994"/>
    <n v="2.7322404371587033E-3"/>
    <n v="2"/>
    <s v="Valorisables"/>
    <x v="1"/>
    <n v="0.6"/>
    <n v="0.55000000000000004"/>
    <n v="4.9999999999999933E-2"/>
    <n v="1.3623978201634857E-3"/>
    <m/>
  </r>
  <r>
    <d v="2022-02-15T00:00:00"/>
    <n v="179"/>
    <x v="178"/>
    <x v="5"/>
    <e v="#REF!"/>
    <e v="#REF!"/>
    <n v="3"/>
    <s v="Valorisables"/>
    <x v="2"/>
    <m/>
    <m/>
    <n v="0"/>
    <n v="0"/>
    <m/>
  </r>
  <r>
    <d v="2022-02-15T00:00:00"/>
    <n v="179"/>
    <x v="178"/>
    <x v="5"/>
    <e v="#REF!"/>
    <e v="#REF!"/>
    <n v="4"/>
    <s v="Valorisables"/>
    <x v="3"/>
    <n v="0.6"/>
    <n v="0.55000000000000004"/>
    <n v="4.9999999999999933E-2"/>
    <n v="1.3623978201634857E-3"/>
    <m/>
  </r>
  <r>
    <d v="2022-02-15T00:00:00"/>
    <n v="179"/>
    <x v="178"/>
    <x v="5"/>
    <e v="#REF!"/>
    <e v="#REF!"/>
    <n v="5"/>
    <s v="Valorisables"/>
    <x v="4"/>
    <n v="0.65"/>
    <n v="0.55000000000000004"/>
    <n v="9.9999999999999978E-2"/>
    <n v="2.7247956403269745E-3"/>
    <m/>
  </r>
  <r>
    <d v="2022-02-15T00:00:00"/>
    <n v="179"/>
    <x v="178"/>
    <x v="5"/>
    <e v="#REF!"/>
    <e v="#REF!"/>
    <n v="6"/>
    <s v="Valorisables"/>
    <x v="5"/>
    <m/>
    <m/>
    <n v="0"/>
    <n v="0"/>
    <m/>
  </r>
  <r>
    <d v="2022-02-15T00:00:00"/>
    <n v="179"/>
    <x v="178"/>
    <x v="5"/>
    <e v="#REF!"/>
    <e v="#REF!"/>
    <n v="7"/>
    <s v="Valorisables"/>
    <x v="6"/>
    <m/>
    <m/>
    <n v="0"/>
    <n v="0"/>
    <m/>
  </r>
  <r>
    <d v="2022-02-15T00:00:00"/>
    <n v="179"/>
    <x v="178"/>
    <x v="5"/>
    <e v="#REF!"/>
    <e v="#REF!"/>
    <n v="8"/>
    <s v="Valorisables"/>
    <x v="7"/>
    <n v="22.45"/>
    <n v="17.100000000000001"/>
    <n v="5.3499999999999979"/>
    <n v="0.14577656675749312"/>
    <m/>
  </r>
  <r>
    <d v="2022-02-15T00:00:00"/>
    <n v="179"/>
    <x v="178"/>
    <x v="5"/>
    <e v="#REF!"/>
    <e v="#REF!"/>
    <n v="9"/>
    <s v="Valorisables"/>
    <x v="8"/>
    <m/>
    <m/>
    <n v="0"/>
    <n v="0"/>
    <m/>
  </r>
  <r>
    <d v="2022-02-15T00:00:00"/>
    <n v="179"/>
    <x v="178"/>
    <x v="5"/>
    <e v="#REF!"/>
    <e v="#REF!"/>
    <n v="10"/>
    <s v="Valorisables"/>
    <x v="9"/>
    <n v="89.600000000000009"/>
    <n v="59.5"/>
    <n v="30.100000000000009"/>
    <n v="0.82016348773841974"/>
    <m/>
  </r>
  <r>
    <d v="2022-02-15T00:00:00"/>
    <n v="179"/>
    <x v="178"/>
    <x v="5"/>
    <e v="#REF!"/>
    <e v="#REF!"/>
    <n v="11"/>
    <s v="Valorisables"/>
    <x v="10"/>
    <n v="0.6"/>
    <n v="0.55000000000000004"/>
    <n v="4.9999999999999933E-2"/>
    <n v="1.3623978201634857E-3"/>
    <m/>
  </r>
  <r>
    <d v="2022-02-15T00:00:00"/>
    <n v="179"/>
    <x v="178"/>
    <x v="5"/>
    <e v="#REF!"/>
    <e v="#REF!"/>
    <n v="12"/>
    <s v="Refus"/>
    <x v="11"/>
    <n v="9.5500000000000007"/>
    <n v="8.5500000000000007"/>
    <n v="1"/>
    <n v="2.7247956403269751E-2"/>
    <m/>
  </r>
  <r>
    <d v="2022-02-15T00:00:00"/>
    <n v="180"/>
    <x v="179"/>
    <x v="9"/>
    <n v="40.799999999999997"/>
    <n v="40.149999999999977"/>
    <n v="1"/>
    <s v="Valorisables"/>
    <x v="0"/>
    <m/>
    <m/>
    <n v="0"/>
    <n v="0"/>
    <m/>
  </r>
  <r>
    <d v="2022-02-15T00:00:00"/>
    <n v="180"/>
    <x v="179"/>
    <x v="9"/>
    <n v="40.799999999999997"/>
    <n v="-1.5931372549020096E-2"/>
    <n v="2"/>
    <s v="Valorisables"/>
    <x v="1"/>
    <n v="0.75"/>
    <n v="0.55000000000000004"/>
    <n v="0.19999999999999996"/>
    <n v="4.9813200498132022E-3"/>
    <m/>
  </r>
  <r>
    <d v="2022-02-15T00:00:00"/>
    <n v="180"/>
    <x v="179"/>
    <x v="9"/>
    <e v="#REF!"/>
    <e v="#REF!"/>
    <n v="3"/>
    <s v="Valorisables"/>
    <x v="2"/>
    <n v="1.6"/>
    <n v="0.55000000000000004"/>
    <n v="1.05"/>
    <n v="2.6151930261519317E-2"/>
    <m/>
  </r>
  <r>
    <d v="2022-02-15T00:00:00"/>
    <n v="180"/>
    <x v="179"/>
    <x v="9"/>
    <e v="#REF!"/>
    <e v="#REF!"/>
    <n v="4"/>
    <s v="Valorisables"/>
    <x v="3"/>
    <n v="86.999999999999986"/>
    <n v="51"/>
    <n v="35.999999999999986"/>
    <n v="0.89663760896637623"/>
    <m/>
  </r>
  <r>
    <d v="2022-02-15T00:00:00"/>
    <n v="180"/>
    <x v="179"/>
    <x v="9"/>
    <e v="#REF!"/>
    <e v="#REF!"/>
    <n v="5"/>
    <s v="Valorisables"/>
    <x v="4"/>
    <n v="0.6"/>
    <n v="0.55000000000000004"/>
    <n v="4.9999999999999933E-2"/>
    <n v="1.2453300124532992E-3"/>
    <m/>
  </r>
  <r>
    <d v="2022-02-15T00:00:00"/>
    <n v="180"/>
    <x v="179"/>
    <x v="9"/>
    <e v="#REF!"/>
    <e v="#REF!"/>
    <n v="6"/>
    <s v="Valorisables"/>
    <x v="5"/>
    <m/>
    <m/>
    <n v="0"/>
    <n v="0"/>
    <m/>
  </r>
  <r>
    <d v="2022-02-15T00:00:00"/>
    <n v="180"/>
    <x v="179"/>
    <x v="9"/>
    <e v="#REF!"/>
    <e v="#REF!"/>
    <n v="7"/>
    <s v="Valorisables"/>
    <x v="6"/>
    <m/>
    <m/>
    <n v="0"/>
    <n v="0"/>
    <m/>
  </r>
  <r>
    <d v="2022-02-15T00:00:00"/>
    <n v="180"/>
    <x v="179"/>
    <x v="9"/>
    <e v="#REF!"/>
    <e v="#REF!"/>
    <n v="8"/>
    <s v="Valorisables"/>
    <x v="7"/>
    <n v="0.8"/>
    <n v="0.5"/>
    <n v="0.30000000000000004"/>
    <n v="7.4719800747198063E-3"/>
    <m/>
  </r>
  <r>
    <d v="2022-02-15T00:00:00"/>
    <n v="180"/>
    <x v="179"/>
    <x v="9"/>
    <e v="#REF!"/>
    <e v="#REF!"/>
    <n v="9"/>
    <s v="Valorisables"/>
    <x v="8"/>
    <m/>
    <m/>
    <n v="0"/>
    <n v="0"/>
    <m/>
  </r>
  <r>
    <d v="2022-02-15T00:00:00"/>
    <n v="180"/>
    <x v="179"/>
    <x v="9"/>
    <e v="#REF!"/>
    <e v="#REF!"/>
    <n v="10"/>
    <s v="Valorisables"/>
    <x v="9"/>
    <n v="1.75"/>
    <n v="0.55000000000000004"/>
    <n v="1.2"/>
    <n v="2.9887920298879218E-2"/>
    <m/>
  </r>
  <r>
    <d v="2022-02-15T00:00:00"/>
    <n v="180"/>
    <x v="179"/>
    <x v="9"/>
    <e v="#REF!"/>
    <e v="#REF!"/>
    <n v="11"/>
    <s v="Valorisables"/>
    <x v="10"/>
    <n v="0.6"/>
    <n v="0.55000000000000004"/>
    <n v="4.9999999999999933E-2"/>
    <n v="1.2453300124532992E-3"/>
    <m/>
  </r>
  <r>
    <d v="2022-02-15T00:00:00"/>
    <n v="180"/>
    <x v="179"/>
    <x v="9"/>
    <e v="#REF!"/>
    <e v="#REF!"/>
    <n v="12"/>
    <s v="Refus"/>
    <x v="11"/>
    <n v="9.85"/>
    <n v="8.5500000000000007"/>
    <n v="1.2999999999999989"/>
    <n v="3.2378580323785794E-2"/>
    <m/>
  </r>
  <r>
    <d v="2022-02-15T00:00:00"/>
    <n v="181"/>
    <x v="180"/>
    <x v="12"/>
    <n v="19.7"/>
    <n v="19.20000000000001"/>
    <n v="1"/>
    <s v="Valorisables"/>
    <x v="0"/>
    <m/>
    <m/>
    <n v="0"/>
    <n v="0"/>
    <m/>
  </r>
  <r>
    <d v="2022-02-15T00:00:00"/>
    <n v="181"/>
    <x v="180"/>
    <x v="12"/>
    <n v="19.7"/>
    <n v="-2.5380710659897936E-2"/>
    <n v="2"/>
    <s v="Valorisables"/>
    <x v="1"/>
    <m/>
    <m/>
    <n v="0"/>
    <n v="0"/>
    <m/>
  </r>
  <r>
    <d v="2022-02-15T00:00:00"/>
    <n v="181"/>
    <x v="180"/>
    <x v="12"/>
    <e v="#REF!"/>
    <e v="#REF!"/>
    <n v="3"/>
    <s v="Valorisables"/>
    <x v="2"/>
    <n v="0.6"/>
    <n v="0.55000000000000004"/>
    <n v="4.9999999999999933E-2"/>
    <n v="2.6041666666666618E-3"/>
    <m/>
  </r>
  <r>
    <d v="2022-02-15T00:00:00"/>
    <n v="181"/>
    <x v="180"/>
    <x v="12"/>
    <e v="#REF!"/>
    <e v="#REF!"/>
    <n v="4"/>
    <s v="Valorisables"/>
    <x v="3"/>
    <m/>
    <m/>
    <n v="0"/>
    <n v="0"/>
    <m/>
  </r>
  <r>
    <d v="2022-02-15T00:00:00"/>
    <n v="181"/>
    <x v="180"/>
    <x v="12"/>
    <e v="#REF!"/>
    <e v="#REF!"/>
    <n v="5"/>
    <s v="Valorisables"/>
    <x v="4"/>
    <m/>
    <m/>
    <n v="0"/>
    <n v="0"/>
    <m/>
  </r>
  <r>
    <d v="2022-02-15T00:00:00"/>
    <n v="181"/>
    <x v="180"/>
    <x v="12"/>
    <e v="#REF!"/>
    <e v="#REF!"/>
    <n v="6"/>
    <s v="Valorisables"/>
    <x v="5"/>
    <m/>
    <m/>
    <n v="0"/>
    <n v="0"/>
    <m/>
  </r>
  <r>
    <d v="2022-02-15T00:00:00"/>
    <n v="181"/>
    <x v="180"/>
    <x v="12"/>
    <e v="#REF!"/>
    <e v="#REF!"/>
    <n v="7"/>
    <s v="Valorisables"/>
    <x v="6"/>
    <m/>
    <m/>
    <n v="0"/>
    <n v="0"/>
    <m/>
  </r>
  <r>
    <d v="2022-02-15T00:00:00"/>
    <n v="181"/>
    <x v="180"/>
    <x v="12"/>
    <e v="#REF!"/>
    <e v="#REF!"/>
    <n v="8"/>
    <s v="Valorisables"/>
    <x v="7"/>
    <m/>
    <m/>
    <n v="0"/>
    <n v="0"/>
    <m/>
  </r>
  <r>
    <d v="2022-02-15T00:00:00"/>
    <n v="181"/>
    <x v="180"/>
    <x v="12"/>
    <e v="#REF!"/>
    <e v="#REF!"/>
    <n v="9"/>
    <s v="Valorisables"/>
    <x v="8"/>
    <m/>
    <m/>
    <n v="0"/>
    <n v="0"/>
    <m/>
  </r>
  <r>
    <d v="2022-02-15T00:00:00"/>
    <n v="181"/>
    <x v="180"/>
    <x v="12"/>
    <e v="#REF!"/>
    <e v="#REF!"/>
    <n v="10"/>
    <s v="Valorisables"/>
    <x v="9"/>
    <n v="2.0499999999999998"/>
    <n v="1.1000000000000001"/>
    <n v="0.94999999999999973"/>
    <n v="4.947916666666663E-2"/>
    <m/>
  </r>
  <r>
    <d v="2022-02-15T00:00:00"/>
    <n v="181"/>
    <x v="180"/>
    <x v="12"/>
    <e v="#REF!"/>
    <e v="#REF!"/>
    <n v="11"/>
    <s v="Valorisables"/>
    <x v="10"/>
    <n v="94.050000000000011"/>
    <n v="76.8"/>
    <n v="17.250000000000014"/>
    <n v="0.89843750000000022"/>
    <m/>
  </r>
  <r>
    <d v="2022-02-15T00:00:00"/>
    <n v="181"/>
    <x v="180"/>
    <x v="12"/>
    <e v="#REF!"/>
    <e v="#REF!"/>
    <n v="12"/>
    <s v="Refus"/>
    <x v="11"/>
    <n v="18.049999999999997"/>
    <n v="17.100000000000001"/>
    <n v="0.94999999999999574"/>
    <n v="4.9479166666666421E-2"/>
    <m/>
  </r>
  <r>
    <d v="2022-02-15T00:00:00"/>
    <n v="182"/>
    <x v="181"/>
    <x v="4"/>
    <n v="27.8"/>
    <n v="28.05"/>
    <n v="1"/>
    <s v="Valorisables"/>
    <x v="0"/>
    <n v="103.8"/>
    <n v="76.55"/>
    <n v="27.25"/>
    <n v="0.97147950089126556"/>
    <m/>
  </r>
  <r>
    <d v="2022-02-15T00:00:00"/>
    <n v="182"/>
    <x v="181"/>
    <x v="4"/>
    <n v="27.8"/>
    <n v="8.9928057553956831E-3"/>
    <n v="2"/>
    <s v="Valorisables"/>
    <x v="1"/>
    <n v="1.1000000000000001"/>
    <n v="0.5"/>
    <n v="0.60000000000000009"/>
    <n v="2.1390374331550804E-2"/>
    <m/>
  </r>
  <r>
    <d v="2022-02-15T00:00:00"/>
    <n v="182"/>
    <x v="181"/>
    <x v="4"/>
    <e v="#REF!"/>
    <e v="#REF!"/>
    <n v="3"/>
    <s v="Valorisables"/>
    <x v="2"/>
    <m/>
    <m/>
    <n v="0"/>
    <n v="0"/>
    <m/>
  </r>
  <r>
    <d v="2022-02-15T00:00:00"/>
    <n v="182"/>
    <x v="181"/>
    <x v="4"/>
    <e v="#REF!"/>
    <e v="#REF!"/>
    <n v="4"/>
    <s v="Valorisables"/>
    <x v="3"/>
    <m/>
    <m/>
    <n v="0"/>
    <n v="0"/>
    <m/>
  </r>
  <r>
    <d v="2022-02-15T00:00:00"/>
    <n v="182"/>
    <x v="181"/>
    <x v="4"/>
    <e v="#REF!"/>
    <e v="#REF!"/>
    <n v="5"/>
    <s v="Valorisables"/>
    <x v="4"/>
    <m/>
    <m/>
    <n v="0"/>
    <n v="0"/>
    <m/>
  </r>
  <r>
    <d v="2022-02-15T00:00:00"/>
    <n v="182"/>
    <x v="181"/>
    <x v="4"/>
    <e v="#REF!"/>
    <e v="#REF!"/>
    <n v="6"/>
    <s v="Valorisables"/>
    <x v="5"/>
    <m/>
    <m/>
    <n v="0"/>
    <n v="0"/>
    <m/>
  </r>
  <r>
    <d v="2022-02-15T00:00:00"/>
    <n v="182"/>
    <x v="181"/>
    <x v="4"/>
    <e v="#REF!"/>
    <e v="#REF!"/>
    <n v="7"/>
    <s v="Valorisables"/>
    <x v="6"/>
    <m/>
    <m/>
    <n v="0"/>
    <n v="0"/>
    <m/>
  </r>
  <r>
    <d v="2022-02-15T00:00:00"/>
    <n v="182"/>
    <x v="181"/>
    <x v="4"/>
    <e v="#REF!"/>
    <e v="#REF!"/>
    <n v="8"/>
    <s v="Valorisables"/>
    <x v="7"/>
    <m/>
    <m/>
    <n v="0"/>
    <n v="0"/>
    <m/>
  </r>
  <r>
    <d v="2022-02-15T00:00:00"/>
    <n v="182"/>
    <x v="181"/>
    <x v="4"/>
    <e v="#REF!"/>
    <e v="#REF!"/>
    <n v="9"/>
    <s v="Valorisables"/>
    <x v="8"/>
    <m/>
    <m/>
    <n v="0"/>
    <n v="0"/>
    <m/>
  </r>
  <r>
    <d v="2022-02-15T00:00:00"/>
    <n v="182"/>
    <x v="181"/>
    <x v="4"/>
    <e v="#REF!"/>
    <e v="#REF!"/>
    <n v="10"/>
    <s v="Valorisables"/>
    <x v="9"/>
    <m/>
    <m/>
    <n v="0"/>
    <n v="0"/>
    <m/>
  </r>
  <r>
    <d v="2022-02-15T00:00:00"/>
    <n v="182"/>
    <x v="181"/>
    <x v="4"/>
    <e v="#REF!"/>
    <e v="#REF!"/>
    <n v="11"/>
    <s v="Valorisables"/>
    <x v="10"/>
    <m/>
    <m/>
    <n v="0"/>
    <n v="0"/>
    <m/>
  </r>
  <r>
    <d v="2022-02-15T00:00:00"/>
    <n v="182"/>
    <x v="181"/>
    <x v="4"/>
    <e v="#REF!"/>
    <e v="#REF!"/>
    <n v="12"/>
    <s v="Refus"/>
    <x v="11"/>
    <n v="0.75"/>
    <n v="0.55000000000000004"/>
    <n v="0.19999999999999996"/>
    <n v="7.1301247771835986E-3"/>
    <m/>
  </r>
  <r>
    <d v="2022-02-15T00:00:00"/>
    <n v="183"/>
    <x v="182"/>
    <x v="10"/>
    <n v="30.8"/>
    <n v="30.449999999999992"/>
    <n v="1"/>
    <s v="Valorisables"/>
    <x v="0"/>
    <m/>
    <m/>
    <n v="0"/>
    <n v="0"/>
    <m/>
  </r>
  <r>
    <d v="2022-02-15T00:00:00"/>
    <n v="183"/>
    <x v="182"/>
    <x v="10"/>
    <n v="30.8"/>
    <n v="-1.136363636363664E-2"/>
    <n v="2"/>
    <s v="Valorisables"/>
    <x v="1"/>
    <n v="1.3"/>
    <n v="0.55000000000000004"/>
    <n v="0.75"/>
    <n v="2.4630541871921187E-2"/>
    <m/>
  </r>
  <r>
    <d v="2022-02-15T00:00:00"/>
    <n v="183"/>
    <x v="182"/>
    <x v="10"/>
    <e v="#REF!"/>
    <e v="#REF!"/>
    <n v="3"/>
    <s v="Valorisables"/>
    <x v="2"/>
    <n v="87.1"/>
    <n v="59.25"/>
    <n v="27.849999999999994"/>
    <n v="0.91461412151067323"/>
    <m/>
  </r>
  <r>
    <d v="2022-02-15T00:00:00"/>
    <n v="183"/>
    <x v="182"/>
    <x v="10"/>
    <e v="#REF!"/>
    <e v="#REF!"/>
    <n v="4"/>
    <s v="Valorisables"/>
    <x v="3"/>
    <m/>
    <m/>
    <n v="0"/>
    <n v="0"/>
    <m/>
  </r>
  <r>
    <d v="2022-02-15T00:00:00"/>
    <n v="183"/>
    <x v="182"/>
    <x v="10"/>
    <e v="#REF!"/>
    <e v="#REF!"/>
    <n v="5"/>
    <s v="Valorisables"/>
    <x v="4"/>
    <n v="0.6"/>
    <n v="0.55000000000000004"/>
    <n v="4.9999999999999933E-2"/>
    <n v="1.6420361247947437E-3"/>
    <m/>
  </r>
  <r>
    <d v="2022-02-15T00:00:00"/>
    <n v="183"/>
    <x v="182"/>
    <x v="10"/>
    <e v="#REF!"/>
    <e v="#REF!"/>
    <n v="6"/>
    <s v="Valorisables"/>
    <x v="5"/>
    <m/>
    <m/>
    <n v="0"/>
    <n v="0"/>
    <m/>
  </r>
  <r>
    <d v="2022-02-15T00:00:00"/>
    <n v="183"/>
    <x v="182"/>
    <x v="10"/>
    <e v="#REF!"/>
    <e v="#REF!"/>
    <n v="7"/>
    <s v="Valorisables"/>
    <x v="6"/>
    <m/>
    <m/>
    <n v="0"/>
    <n v="0"/>
    <m/>
  </r>
  <r>
    <d v="2022-02-15T00:00:00"/>
    <n v="183"/>
    <x v="182"/>
    <x v="10"/>
    <e v="#REF!"/>
    <e v="#REF!"/>
    <n v="8"/>
    <s v="Valorisables"/>
    <x v="7"/>
    <n v="0.8"/>
    <n v="0.55000000000000004"/>
    <n v="0.25"/>
    <n v="8.2101806239737295E-3"/>
    <m/>
  </r>
  <r>
    <d v="2022-02-15T00:00:00"/>
    <n v="183"/>
    <x v="182"/>
    <x v="10"/>
    <e v="#REF!"/>
    <e v="#REF!"/>
    <n v="9"/>
    <s v="Valorisables"/>
    <x v="8"/>
    <m/>
    <m/>
    <n v="0"/>
    <n v="0"/>
    <m/>
  </r>
  <r>
    <d v="2022-02-15T00:00:00"/>
    <n v="183"/>
    <x v="182"/>
    <x v="10"/>
    <e v="#REF!"/>
    <e v="#REF!"/>
    <n v="10"/>
    <s v="Valorisables"/>
    <x v="9"/>
    <n v="0.7"/>
    <n v="0.55000000000000004"/>
    <n v="0.14999999999999991"/>
    <n v="4.9261083743842348E-3"/>
    <m/>
  </r>
  <r>
    <d v="2022-02-15T00:00:00"/>
    <n v="183"/>
    <x v="182"/>
    <x v="10"/>
    <e v="#REF!"/>
    <e v="#REF!"/>
    <n v="11"/>
    <s v="Valorisables"/>
    <x v="10"/>
    <m/>
    <m/>
    <n v="0"/>
    <n v="0"/>
    <m/>
  </r>
  <r>
    <d v="2022-02-15T00:00:00"/>
    <n v="183"/>
    <x v="182"/>
    <x v="10"/>
    <e v="#REF!"/>
    <e v="#REF!"/>
    <n v="12"/>
    <s v="Refus"/>
    <x v="11"/>
    <n v="1.95"/>
    <n v="0.55000000000000004"/>
    <n v="1.4"/>
    <n v="4.597701149425288E-2"/>
    <m/>
  </r>
  <r>
    <d v="2022-02-15T00:00:00"/>
    <n v="184"/>
    <x v="183"/>
    <x v="11"/>
    <n v="31.000000000000004"/>
    <n v="29.79999999999999"/>
    <n v="1"/>
    <s v="Valorisables"/>
    <x v="0"/>
    <n v="12.8"/>
    <n v="8.5500000000000007"/>
    <n v="4.25"/>
    <n v="0.14261744966442957"/>
    <m/>
  </r>
  <r>
    <d v="2022-02-15T00:00:00"/>
    <n v="184"/>
    <x v="183"/>
    <x v="11"/>
    <n v="31.000000000000004"/>
    <n v="-3.8709677419355271E-2"/>
    <n v="2"/>
    <s v="Valorisables"/>
    <x v="1"/>
    <n v="81.649999999999991"/>
    <n v="59.5"/>
    <n v="22.149999999999991"/>
    <n v="0.74328859060402686"/>
    <m/>
  </r>
  <r>
    <d v="2022-02-15T00:00:00"/>
    <n v="184"/>
    <x v="183"/>
    <x v="11"/>
    <e v="#REF!"/>
    <e v="#REF!"/>
    <n v="3"/>
    <s v="Valorisables"/>
    <x v="2"/>
    <n v="2"/>
    <n v="1"/>
    <n v="1"/>
    <n v="3.3557046979865786E-2"/>
    <m/>
  </r>
  <r>
    <d v="2022-02-15T00:00:00"/>
    <n v="184"/>
    <x v="183"/>
    <x v="11"/>
    <e v="#REF!"/>
    <e v="#REF!"/>
    <n v="4"/>
    <s v="Valorisables"/>
    <x v="3"/>
    <m/>
    <m/>
    <n v="0"/>
    <n v="0"/>
    <m/>
  </r>
  <r>
    <d v="2022-02-15T00:00:00"/>
    <n v="184"/>
    <x v="183"/>
    <x v="11"/>
    <e v="#REF!"/>
    <e v="#REF!"/>
    <n v="5"/>
    <s v="Valorisables"/>
    <x v="4"/>
    <n v="0.75"/>
    <n v="0.55000000000000004"/>
    <n v="0.19999999999999996"/>
    <n v="6.7114093959731551E-3"/>
    <m/>
  </r>
  <r>
    <d v="2022-02-15T00:00:00"/>
    <n v="184"/>
    <x v="183"/>
    <x v="11"/>
    <e v="#REF!"/>
    <e v="#REF!"/>
    <n v="6"/>
    <s v="Valorisables"/>
    <x v="5"/>
    <m/>
    <m/>
    <n v="0"/>
    <n v="0"/>
    <m/>
  </r>
  <r>
    <d v="2022-02-15T00:00:00"/>
    <n v="184"/>
    <x v="183"/>
    <x v="11"/>
    <e v="#REF!"/>
    <e v="#REF!"/>
    <n v="7"/>
    <s v="Valorisables"/>
    <x v="6"/>
    <m/>
    <m/>
    <n v="0"/>
    <n v="0"/>
    <m/>
  </r>
  <r>
    <d v="2022-02-15T00:00:00"/>
    <n v="184"/>
    <x v="183"/>
    <x v="11"/>
    <e v="#REF!"/>
    <e v="#REF!"/>
    <n v="8"/>
    <s v="Valorisables"/>
    <x v="7"/>
    <n v="0.75"/>
    <n v="0.55000000000000004"/>
    <n v="0.19999999999999996"/>
    <n v="6.7114093959731551E-3"/>
    <m/>
  </r>
  <r>
    <d v="2022-02-15T00:00:00"/>
    <n v="184"/>
    <x v="183"/>
    <x v="11"/>
    <e v="#REF!"/>
    <e v="#REF!"/>
    <n v="9"/>
    <s v="Valorisables"/>
    <x v="8"/>
    <m/>
    <m/>
    <n v="0"/>
    <n v="0"/>
    <m/>
  </r>
  <r>
    <d v="2022-02-15T00:00:00"/>
    <n v="184"/>
    <x v="183"/>
    <x v="11"/>
    <e v="#REF!"/>
    <e v="#REF!"/>
    <n v="10"/>
    <s v="Valorisables"/>
    <x v="9"/>
    <n v="0.8"/>
    <n v="0.55000000000000004"/>
    <n v="0.25"/>
    <n v="8.3892617449664465E-3"/>
    <m/>
  </r>
  <r>
    <d v="2022-02-15T00:00:00"/>
    <n v="184"/>
    <x v="183"/>
    <x v="11"/>
    <e v="#REF!"/>
    <e v="#REF!"/>
    <n v="11"/>
    <s v="Valorisables"/>
    <x v="10"/>
    <n v="0.6"/>
    <n v="0.55000000000000004"/>
    <n v="4.9999999999999933E-2"/>
    <n v="1.6778523489932868E-3"/>
    <m/>
  </r>
  <r>
    <d v="2022-02-15T00:00:00"/>
    <n v="184"/>
    <x v="183"/>
    <x v="11"/>
    <e v="#REF!"/>
    <e v="#REF!"/>
    <n v="12"/>
    <s v="Refus"/>
    <x v="11"/>
    <n v="18.8"/>
    <n v="17.100000000000001"/>
    <n v="1.6999999999999993"/>
    <n v="5.7046979865771806E-2"/>
    <m/>
  </r>
  <r>
    <d v="2022-02-15T00:00:00"/>
    <n v="185"/>
    <x v="184"/>
    <x v="7"/>
    <n v="41"/>
    <n v="41.149999999999984"/>
    <n v="1"/>
    <s v="Valorisables"/>
    <x v="0"/>
    <m/>
    <m/>
    <n v="0"/>
    <n v="0"/>
    <m/>
  </r>
  <r>
    <d v="2022-02-15T00:00:00"/>
    <n v="185"/>
    <x v="184"/>
    <x v="7"/>
    <n v="41"/>
    <n v="3.6585365853654722E-3"/>
    <n v="2"/>
    <s v="Valorisables"/>
    <x v="1"/>
    <m/>
    <m/>
    <n v="0"/>
    <n v="0"/>
    <m/>
  </r>
  <r>
    <d v="2022-02-15T00:00:00"/>
    <n v="185"/>
    <x v="184"/>
    <x v="7"/>
    <e v="#REF!"/>
    <e v="#REF!"/>
    <n v="3"/>
    <s v="Valorisables"/>
    <x v="2"/>
    <n v="0.65"/>
    <n v="0.55000000000000004"/>
    <n v="9.9999999999999978E-2"/>
    <n v="2.4301336573511545E-3"/>
    <m/>
  </r>
  <r>
    <d v="2022-02-15T00:00:00"/>
    <n v="185"/>
    <x v="184"/>
    <x v="7"/>
    <e v="#REF!"/>
    <e v="#REF!"/>
    <n v="4"/>
    <s v="Valorisables"/>
    <x v="3"/>
    <m/>
    <m/>
    <n v="0"/>
    <n v="0"/>
    <m/>
  </r>
  <r>
    <d v="2022-02-15T00:00:00"/>
    <n v="185"/>
    <x v="184"/>
    <x v="7"/>
    <e v="#REF!"/>
    <e v="#REF!"/>
    <n v="5"/>
    <s v="Valorisables"/>
    <x v="4"/>
    <m/>
    <m/>
    <n v="0"/>
    <n v="0"/>
    <m/>
  </r>
  <r>
    <d v="2022-02-15T00:00:00"/>
    <n v="185"/>
    <x v="184"/>
    <x v="7"/>
    <e v="#REF!"/>
    <e v="#REF!"/>
    <n v="6"/>
    <s v="Valorisables"/>
    <x v="5"/>
    <m/>
    <m/>
    <n v="0"/>
    <n v="0"/>
    <m/>
  </r>
  <r>
    <d v="2022-02-15T00:00:00"/>
    <n v="185"/>
    <x v="184"/>
    <x v="7"/>
    <e v="#REF!"/>
    <e v="#REF!"/>
    <n v="7"/>
    <s v="Valorisables"/>
    <x v="6"/>
    <m/>
    <m/>
    <n v="0"/>
    <n v="0"/>
    <m/>
  </r>
  <r>
    <d v="2022-02-15T00:00:00"/>
    <n v="185"/>
    <x v="184"/>
    <x v="7"/>
    <e v="#REF!"/>
    <e v="#REF!"/>
    <n v="8"/>
    <s v="Valorisables"/>
    <x v="7"/>
    <n v="67.349999999999994"/>
    <n v="33.950000000000003"/>
    <n v="33.399999999999991"/>
    <n v="0.81166464155528562"/>
    <m/>
  </r>
  <r>
    <d v="2022-02-15T00:00:00"/>
    <n v="185"/>
    <x v="184"/>
    <x v="7"/>
    <e v="#REF!"/>
    <e v="#REF!"/>
    <n v="9"/>
    <s v="Valorisables"/>
    <x v="8"/>
    <m/>
    <m/>
    <n v="0"/>
    <n v="0"/>
    <m/>
  </r>
  <r>
    <d v="2022-02-15T00:00:00"/>
    <n v="185"/>
    <x v="184"/>
    <x v="7"/>
    <e v="#REF!"/>
    <e v="#REF!"/>
    <n v="10"/>
    <s v="Valorisables"/>
    <x v="9"/>
    <n v="23.4"/>
    <n v="17.100000000000001"/>
    <n v="6.2999999999999972"/>
    <n v="0.15309842041312272"/>
    <m/>
  </r>
  <r>
    <d v="2022-02-15T00:00:00"/>
    <n v="185"/>
    <x v="184"/>
    <x v="7"/>
    <e v="#REF!"/>
    <e v="#REF!"/>
    <n v="11"/>
    <s v="Valorisables"/>
    <x v="10"/>
    <n v="0.6"/>
    <n v="0.55000000000000004"/>
    <n v="4.9999999999999933E-2"/>
    <n v="1.215066828675576E-3"/>
    <m/>
  </r>
  <r>
    <d v="2022-02-15T00:00:00"/>
    <n v="185"/>
    <x v="184"/>
    <x v="7"/>
    <e v="#REF!"/>
    <e v="#REF!"/>
    <n v="12"/>
    <s v="Refus"/>
    <x v="11"/>
    <n v="1.85"/>
    <n v="0.55000000000000004"/>
    <n v="1.3"/>
    <n v="3.1591737545565018E-2"/>
    <m/>
  </r>
  <r>
    <d v="2022-02-15T00:00:00"/>
    <n v="186"/>
    <x v="185"/>
    <x v="8"/>
    <n v="36.199999999999996"/>
    <n v="36"/>
    <n v="1"/>
    <s v="Valorisables"/>
    <x v="0"/>
    <m/>
    <m/>
    <n v="0"/>
    <n v="0"/>
    <m/>
  </r>
  <r>
    <d v="2022-02-15T00:00:00"/>
    <n v="186"/>
    <x v="185"/>
    <x v="8"/>
    <n v="36.199999999999996"/>
    <n v="-5.5248618784529214E-3"/>
    <n v="2"/>
    <s v="Valorisables"/>
    <x v="1"/>
    <n v="0.6"/>
    <n v="0.55000000000000004"/>
    <n v="4.9999999999999933E-2"/>
    <n v="1.388888888888887E-3"/>
    <m/>
  </r>
  <r>
    <d v="2022-02-15T00:00:00"/>
    <n v="186"/>
    <x v="185"/>
    <x v="8"/>
    <e v="#REF!"/>
    <e v="#REF!"/>
    <n v="3"/>
    <s v="Valorisables"/>
    <x v="2"/>
    <n v="0.6"/>
    <n v="0.55000000000000004"/>
    <n v="4.9999999999999933E-2"/>
    <n v="1.388888888888887E-3"/>
    <m/>
  </r>
  <r>
    <d v="2022-02-15T00:00:00"/>
    <n v="186"/>
    <x v="185"/>
    <x v="8"/>
    <e v="#REF!"/>
    <e v="#REF!"/>
    <n v="4"/>
    <s v="Valorisables"/>
    <x v="3"/>
    <m/>
    <m/>
    <n v="0"/>
    <n v="0"/>
    <m/>
  </r>
  <r>
    <d v="2022-02-15T00:00:00"/>
    <n v="186"/>
    <x v="185"/>
    <x v="8"/>
    <e v="#REF!"/>
    <e v="#REF!"/>
    <n v="5"/>
    <s v="Valorisables"/>
    <x v="4"/>
    <m/>
    <m/>
    <n v="0"/>
    <n v="0"/>
    <m/>
  </r>
  <r>
    <d v="2022-02-15T00:00:00"/>
    <n v="186"/>
    <x v="185"/>
    <x v="8"/>
    <e v="#REF!"/>
    <e v="#REF!"/>
    <n v="6"/>
    <s v="Valorisables"/>
    <x v="5"/>
    <m/>
    <m/>
    <n v="0"/>
    <n v="0"/>
    <m/>
  </r>
  <r>
    <d v="2022-02-15T00:00:00"/>
    <n v="186"/>
    <x v="185"/>
    <x v="8"/>
    <e v="#REF!"/>
    <e v="#REF!"/>
    <n v="7"/>
    <s v="Valorisables"/>
    <x v="6"/>
    <m/>
    <m/>
    <n v="0"/>
    <n v="0"/>
    <m/>
  </r>
  <r>
    <d v="2022-02-15T00:00:00"/>
    <n v="186"/>
    <x v="185"/>
    <x v="8"/>
    <e v="#REF!"/>
    <e v="#REF!"/>
    <n v="8"/>
    <s v="Valorisables"/>
    <x v="7"/>
    <n v="0.95"/>
    <n v="0.55000000000000004"/>
    <n v="0.39999999999999991"/>
    <n v="1.1111111111111108E-2"/>
    <m/>
  </r>
  <r>
    <d v="2022-02-15T00:00:00"/>
    <n v="186"/>
    <x v="185"/>
    <x v="8"/>
    <e v="#REF!"/>
    <e v="#REF!"/>
    <n v="9"/>
    <s v="Valorisables"/>
    <x v="8"/>
    <m/>
    <m/>
    <n v="0"/>
    <n v="0"/>
    <m/>
  </r>
  <r>
    <d v="2022-02-15T00:00:00"/>
    <n v="186"/>
    <x v="185"/>
    <x v="8"/>
    <e v="#REF!"/>
    <e v="#REF!"/>
    <n v="10"/>
    <s v="Valorisables"/>
    <x v="9"/>
    <n v="77.45"/>
    <n v="42.45"/>
    <n v="35"/>
    <n v="0.97222222222222221"/>
    <m/>
  </r>
  <r>
    <d v="2022-02-15T00:00:00"/>
    <n v="186"/>
    <x v="185"/>
    <x v="8"/>
    <e v="#REF!"/>
    <e v="#REF!"/>
    <n v="11"/>
    <s v="Valorisables"/>
    <x v="10"/>
    <m/>
    <m/>
    <n v="0"/>
    <n v="0"/>
    <m/>
  </r>
  <r>
    <d v="2022-02-15T00:00:00"/>
    <n v="186"/>
    <x v="185"/>
    <x v="8"/>
    <e v="#REF!"/>
    <e v="#REF!"/>
    <n v="12"/>
    <s v="Refus"/>
    <x v="11"/>
    <n v="1.05"/>
    <n v="0.55000000000000004"/>
    <n v="0.5"/>
    <n v="1.3888888888888888E-2"/>
    <m/>
  </r>
  <r>
    <d v="2022-02-15T00:00:00"/>
    <n v="187"/>
    <x v="186"/>
    <x v="8"/>
    <n v="28.2"/>
    <n v="27.75"/>
    <n v="1"/>
    <s v="Valorisables"/>
    <x v="0"/>
    <m/>
    <m/>
    <n v="0"/>
    <n v="0"/>
    <m/>
  </r>
  <r>
    <d v="2022-02-15T00:00:00"/>
    <n v="187"/>
    <x v="186"/>
    <x v="8"/>
    <n v="28.2"/>
    <n v="-1.5957446808510613E-2"/>
    <n v="2"/>
    <s v="Valorisables"/>
    <x v="1"/>
    <m/>
    <m/>
    <n v="0"/>
    <n v="0"/>
    <m/>
  </r>
  <r>
    <d v="2022-02-15T00:00:00"/>
    <n v="187"/>
    <x v="186"/>
    <x v="8"/>
    <e v="#REF!"/>
    <e v="#REF!"/>
    <n v="3"/>
    <s v="Valorisables"/>
    <x v="2"/>
    <m/>
    <m/>
    <n v="0"/>
    <n v="0"/>
    <m/>
  </r>
  <r>
    <d v="2022-02-15T00:00:00"/>
    <n v="187"/>
    <x v="186"/>
    <x v="8"/>
    <e v="#REF!"/>
    <e v="#REF!"/>
    <n v="4"/>
    <s v="Valorisables"/>
    <x v="3"/>
    <m/>
    <m/>
    <n v="0"/>
    <n v="0"/>
    <m/>
  </r>
  <r>
    <d v="2022-02-15T00:00:00"/>
    <n v="187"/>
    <x v="186"/>
    <x v="8"/>
    <e v="#REF!"/>
    <e v="#REF!"/>
    <n v="5"/>
    <s v="Valorisables"/>
    <x v="4"/>
    <m/>
    <m/>
    <n v="0"/>
    <n v="0"/>
    <m/>
  </r>
  <r>
    <d v="2022-02-15T00:00:00"/>
    <n v="187"/>
    <x v="186"/>
    <x v="8"/>
    <e v="#REF!"/>
    <e v="#REF!"/>
    <n v="6"/>
    <s v="Valorisables"/>
    <x v="5"/>
    <m/>
    <m/>
    <n v="0"/>
    <n v="0"/>
    <m/>
  </r>
  <r>
    <d v="2022-02-15T00:00:00"/>
    <n v="187"/>
    <x v="186"/>
    <x v="8"/>
    <e v="#REF!"/>
    <e v="#REF!"/>
    <n v="7"/>
    <s v="Valorisables"/>
    <x v="6"/>
    <m/>
    <m/>
    <n v="0"/>
    <n v="0"/>
    <m/>
  </r>
  <r>
    <d v="2022-02-15T00:00:00"/>
    <n v="187"/>
    <x v="186"/>
    <x v="8"/>
    <e v="#REF!"/>
    <e v="#REF!"/>
    <n v="8"/>
    <s v="Valorisables"/>
    <x v="7"/>
    <m/>
    <m/>
    <n v="0"/>
    <n v="0"/>
    <m/>
  </r>
  <r>
    <d v="2022-02-15T00:00:00"/>
    <n v="187"/>
    <x v="186"/>
    <x v="8"/>
    <e v="#REF!"/>
    <e v="#REF!"/>
    <n v="9"/>
    <s v="Valorisables"/>
    <x v="8"/>
    <m/>
    <m/>
    <n v="0"/>
    <n v="0"/>
    <m/>
  </r>
  <r>
    <d v="2022-02-15T00:00:00"/>
    <n v="187"/>
    <x v="186"/>
    <x v="8"/>
    <e v="#REF!"/>
    <e v="#REF!"/>
    <n v="10"/>
    <s v="Valorisables"/>
    <x v="9"/>
    <n v="78.7"/>
    <n v="50.95"/>
    <n v="27.75"/>
    <n v="1"/>
    <m/>
  </r>
  <r>
    <d v="2022-02-15T00:00:00"/>
    <n v="187"/>
    <x v="186"/>
    <x v="8"/>
    <e v="#REF!"/>
    <e v="#REF!"/>
    <n v="11"/>
    <s v="Valorisables"/>
    <x v="10"/>
    <m/>
    <m/>
    <n v="0"/>
    <n v="0"/>
    <m/>
  </r>
  <r>
    <d v="2022-02-15T00:00:00"/>
    <n v="187"/>
    <x v="186"/>
    <x v="8"/>
    <e v="#REF!"/>
    <e v="#REF!"/>
    <n v="12"/>
    <s v="Refus"/>
    <x v="11"/>
    <m/>
    <m/>
    <n v="0"/>
    <n v="0"/>
    <m/>
  </r>
  <r>
    <d v="2022-02-15T00:00:00"/>
    <n v="188"/>
    <x v="187"/>
    <x v="6"/>
    <n v="37.199999999999996"/>
    <n v="37.4"/>
    <n v="1"/>
    <s v="Valorisables"/>
    <x v="0"/>
    <m/>
    <m/>
    <n v="0"/>
    <n v="0"/>
    <m/>
  </r>
  <r>
    <d v="2022-02-15T00:00:00"/>
    <n v="188"/>
    <x v="187"/>
    <x v="6"/>
    <n v="37.199999999999996"/>
    <n v="5.3763440860215821E-3"/>
    <n v="2"/>
    <s v="Valorisables"/>
    <x v="1"/>
    <n v="1.05"/>
    <n v="0.55000000000000004"/>
    <n v="0.5"/>
    <n v="1.3368983957219251E-2"/>
    <m/>
  </r>
  <r>
    <d v="2022-02-15T00:00:00"/>
    <n v="188"/>
    <x v="187"/>
    <x v="6"/>
    <e v="#REF!"/>
    <e v="#REF!"/>
    <n v="3"/>
    <s v="Valorisables"/>
    <x v="2"/>
    <n v="0.8"/>
    <n v="0.5"/>
    <n v="0.30000000000000004"/>
    <n v="8.0213903743315516E-3"/>
    <m/>
  </r>
  <r>
    <d v="2022-02-15T00:00:00"/>
    <n v="188"/>
    <x v="187"/>
    <x v="6"/>
    <e v="#REF!"/>
    <e v="#REF!"/>
    <n v="4"/>
    <s v="Valorisables"/>
    <x v="3"/>
    <n v="0.7"/>
    <n v="0.55000000000000004"/>
    <n v="0.14999999999999991"/>
    <n v="4.0106951871657732E-3"/>
    <m/>
  </r>
  <r>
    <d v="2022-02-15T00:00:00"/>
    <n v="188"/>
    <x v="187"/>
    <x v="6"/>
    <e v="#REF!"/>
    <e v="#REF!"/>
    <n v="5"/>
    <s v="Valorisables"/>
    <x v="4"/>
    <n v="1.05"/>
    <n v="0.55000000000000004"/>
    <n v="0.5"/>
    <n v="1.3368983957219251E-2"/>
    <m/>
  </r>
  <r>
    <d v="2022-02-15T00:00:00"/>
    <n v="188"/>
    <x v="187"/>
    <x v="6"/>
    <e v="#REF!"/>
    <e v="#REF!"/>
    <n v="6"/>
    <s v="Valorisables"/>
    <x v="5"/>
    <m/>
    <m/>
    <n v="0"/>
    <n v="0"/>
    <m/>
  </r>
  <r>
    <d v="2022-02-15T00:00:00"/>
    <n v="188"/>
    <x v="187"/>
    <x v="6"/>
    <e v="#REF!"/>
    <e v="#REF!"/>
    <n v="7"/>
    <s v="Valorisables"/>
    <x v="6"/>
    <n v="28.15"/>
    <n v="6.1"/>
    <n v="22.049999999999997"/>
    <n v="0.5895721925133689"/>
    <m/>
  </r>
  <r>
    <d v="2022-02-15T00:00:00"/>
    <n v="188"/>
    <x v="187"/>
    <x v="6"/>
    <e v="#REF!"/>
    <e v="#REF!"/>
    <n v="8"/>
    <s v="Valorisables"/>
    <x v="7"/>
    <n v="2.0499999999999998"/>
    <n v="0.55000000000000004"/>
    <n v="1.4999999999999998"/>
    <n v="4.0106951871657748E-2"/>
    <m/>
  </r>
  <r>
    <d v="2022-02-15T00:00:00"/>
    <n v="188"/>
    <x v="187"/>
    <x v="6"/>
    <e v="#REF!"/>
    <e v="#REF!"/>
    <n v="9"/>
    <s v="Valorisables"/>
    <x v="8"/>
    <n v="0.65"/>
    <n v="0.55000000000000004"/>
    <n v="9.9999999999999978E-2"/>
    <n v="2.6737967914438497E-3"/>
    <m/>
  </r>
  <r>
    <d v="2022-02-15T00:00:00"/>
    <n v="188"/>
    <x v="187"/>
    <x v="6"/>
    <e v="#REF!"/>
    <e v="#REF!"/>
    <n v="10"/>
    <s v="Valorisables"/>
    <x v="9"/>
    <n v="4.55"/>
    <n v="1.05"/>
    <n v="3.5"/>
    <n v="9.3582887700534759E-2"/>
    <m/>
  </r>
  <r>
    <d v="2022-02-15T00:00:00"/>
    <n v="188"/>
    <x v="187"/>
    <x v="6"/>
    <e v="#REF!"/>
    <e v="#REF!"/>
    <n v="11"/>
    <s v="Valorisables"/>
    <x v="10"/>
    <n v="0.6"/>
    <n v="0.55000000000000004"/>
    <n v="4.9999999999999933E-2"/>
    <n v="1.3368983957219233E-3"/>
    <m/>
  </r>
  <r>
    <d v="2022-02-15T00:00:00"/>
    <n v="188"/>
    <x v="187"/>
    <x v="6"/>
    <e v="#REF!"/>
    <e v="#REF!"/>
    <n v="12"/>
    <s v="Refus"/>
    <x v="11"/>
    <n v="25.85"/>
    <n v="17.100000000000001"/>
    <n v="8.75"/>
    <n v="0.23395721925133692"/>
    <m/>
  </r>
  <r>
    <d v="2022-02-15T00:00:00"/>
    <n v="189"/>
    <x v="188"/>
    <x v="3"/>
    <n v="31.000000000000004"/>
    <n v="30.75"/>
    <n v="1"/>
    <s v="Valorisables"/>
    <x v="0"/>
    <n v="10.85"/>
    <n v="8.5500000000000007"/>
    <n v="2.2999999999999989"/>
    <n v="7.4796747967479635E-2"/>
    <m/>
  </r>
  <r>
    <d v="2022-02-15T00:00:00"/>
    <n v="189"/>
    <x v="188"/>
    <x v="3"/>
    <n v="31.000000000000004"/>
    <n v="-8.0645161290323723E-3"/>
    <n v="2"/>
    <s v="Valorisables"/>
    <x v="1"/>
    <n v="11.55"/>
    <n v="8.5500000000000007"/>
    <n v="3"/>
    <n v="9.7560975609756101E-2"/>
    <m/>
  </r>
  <r>
    <d v="2022-02-15T00:00:00"/>
    <n v="189"/>
    <x v="188"/>
    <x v="3"/>
    <e v="#REF!"/>
    <e v="#REF!"/>
    <n v="3"/>
    <s v="Valorisables"/>
    <x v="2"/>
    <n v="13.25"/>
    <n v="8.5500000000000007"/>
    <n v="4.6999999999999993"/>
    <n v="0.15284552845528454"/>
    <m/>
  </r>
  <r>
    <d v="2022-02-15T00:00:00"/>
    <n v="189"/>
    <x v="188"/>
    <x v="3"/>
    <e v="#REF!"/>
    <e v="#REF!"/>
    <n v="4"/>
    <s v="Valorisables"/>
    <x v="3"/>
    <n v="1.1000000000000001"/>
    <n v="0.55000000000000004"/>
    <n v="0.55000000000000004"/>
    <n v="1.7886178861788619E-2"/>
    <m/>
  </r>
  <r>
    <d v="2022-02-15T00:00:00"/>
    <n v="189"/>
    <x v="188"/>
    <x v="3"/>
    <e v="#REF!"/>
    <e v="#REF!"/>
    <n v="5"/>
    <s v="Valorisables"/>
    <x v="4"/>
    <n v="1.85"/>
    <n v="0.55000000000000004"/>
    <n v="1.3"/>
    <n v="4.2276422764227641E-2"/>
    <m/>
  </r>
  <r>
    <d v="2022-02-15T00:00:00"/>
    <n v="189"/>
    <x v="188"/>
    <x v="3"/>
    <e v="#REF!"/>
    <e v="#REF!"/>
    <n v="6"/>
    <s v="Valorisables"/>
    <x v="5"/>
    <m/>
    <m/>
    <n v="0"/>
    <n v="0"/>
    <m/>
  </r>
  <r>
    <d v="2022-02-15T00:00:00"/>
    <n v="189"/>
    <x v="188"/>
    <x v="3"/>
    <e v="#REF!"/>
    <e v="#REF!"/>
    <n v="7"/>
    <s v="Valorisables"/>
    <x v="6"/>
    <m/>
    <m/>
    <n v="0"/>
    <n v="0"/>
    <m/>
  </r>
  <r>
    <d v="2022-02-15T00:00:00"/>
    <n v="189"/>
    <x v="188"/>
    <x v="3"/>
    <e v="#REF!"/>
    <e v="#REF!"/>
    <n v="8"/>
    <s v="Valorisables"/>
    <x v="7"/>
    <n v="3.05"/>
    <n v="0.55000000000000004"/>
    <n v="2.5"/>
    <n v="8.1300813008130079E-2"/>
    <m/>
  </r>
  <r>
    <d v="2022-02-15T00:00:00"/>
    <n v="189"/>
    <x v="188"/>
    <x v="3"/>
    <e v="#REF!"/>
    <e v="#REF!"/>
    <n v="9"/>
    <s v="Valorisables"/>
    <x v="8"/>
    <m/>
    <m/>
    <n v="0"/>
    <n v="0"/>
    <m/>
  </r>
  <r>
    <d v="2022-02-15T00:00:00"/>
    <n v="189"/>
    <x v="188"/>
    <x v="3"/>
    <e v="#REF!"/>
    <e v="#REF!"/>
    <n v="10"/>
    <s v="Valorisables"/>
    <x v="9"/>
    <n v="12.2"/>
    <n v="8.5500000000000007"/>
    <n v="3.6499999999999986"/>
    <n v="0.11869918699186988"/>
    <m/>
  </r>
  <r>
    <d v="2022-02-15T00:00:00"/>
    <n v="189"/>
    <x v="188"/>
    <x v="3"/>
    <e v="#REF!"/>
    <e v="#REF!"/>
    <n v="11"/>
    <s v="Valorisables"/>
    <x v="10"/>
    <n v="0.85"/>
    <n v="0.55000000000000004"/>
    <n v="0.29999999999999993"/>
    <n v="9.756097560975608E-3"/>
    <m/>
  </r>
  <r>
    <d v="2022-02-15T00:00:00"/>
    <n v="189"/>
    <x v="188"/>
    <x v="3"/>
    <e v="#REF!"/>
    <e v="#REF!"/>
    <n v="12"/>
    <s v="Refus"/>
    <x v="11"/>
    <n v="29.3"/>
    <n v="16.850000000000001"/>
    <n v="12.45"/>
    <n v="0.40487804878048778"/>
    <m/>
  </r>
  <r>
    <d v="2022-02-16T00:00:00"/>
    <n v="190"/>
    <x v="189"/>
    <x v="3"/>
    <n v="31.599999999999998"/>
    <n v="31.849999999999994"/>
    <n v="1"/>
    <s v="Valorisables"/>
    <x v="0"/>
    <n v="9.15"/>
    <n v="8.5500000000000007"/>
    <n v="0.59999999999999964"/>
    <n v="1.8838304552590258E-2"/>
    <m/>
  </r>
  <r>
    <d v="2022-02-16T00:00:00"/>
    <n v="190"/>
    <x v="189"/>
    <x v="3"/>
    <n v="31.599999999999998"/>
    <n v="7.9113924050631789E-3"/>
    <n v="2"/>
    <s v="Valorisables"/>
    <x v="1"/>
    <n v="19.549999999999997"/>
    <n v="17.100000000000001"/>
    <n v="2.4499999999999957"/>
    <n v="7.6923076923076802E-2"/>
    <m/>
  </r>
  <r>
    <d v="2022-02-16T00:00:00"/>
    <n v="190"/>
    <x v="189"/>
    <x v="3"/>
    <e v="#REF!"/>
    <e v="#REF!"/>
    <n v="3"/>
    <s v="Valorisables"/>
    <x v="2"/>
    <n v="20.75"/>
    <n v="17.05"/>
    <n v="3.6999999999999993"/>
    <n v="0.11616954474097331"/>
    <m/>
  </r>
  <r>
    <d v="2022-02-16T00:00:00"/>
    <n v="190"/>
    <x v="189"/>
    <x v="3"/>
    <e v="#REF!"/>
    <e v="#REF!"/>
    <n v="4"/>
    <s v="Valorisables"/>
    <x v="3"/>
    <n v="1.05"/>
    <n v="0.55000000000000004"/>
    <n v="0.5"/>
    <n v="1.5698587127158558E-2"/>
    <m/>
  </r>
  <r>
    <d v="2022-02-16T00:00:00"/>
    <n v="190"/>
    <x v="189"/>
    <x v="3"/>
    <e v="#REF!"/>
    <e v="#REF!"/>
    <n v="5"/>
    <s v="Valorisables"/>
    <x v="4"/>
    <n v="1.8"/>
    <n v="0.55000000000000004"/>
    <n v="1.25"/>
    <n v="3.9246467817896397E-2"/>
    <m/>
  </r>
  <r>
    <d v="2022-02-16T00:00:00"/>
    <n v="190"/>
    <x v="189"/>
    <x v="3"/>
    <e v="#REF!"/>
    <e v="#REF!"/>
    <n v="6"/>
    <s v="Valorisables"/>
    <x v="5"/>
    <m/>
    <m/>
    <n v="0"/>
    <n v="0"/>
    <m/>
  </r>
  <r>
    <d v="2022-02-16T00:00:00"/>
    <n v="190"/>
    <x v="189"/>
    <x v="3"/>
    <e v="#REF!"/>
    <e v="#REF!"/>
    <n v="7"/>
    <s v="Valorisables"/>
    <x v="6"/>
    <m/>
    <m/>
    <n v="0"/>
    <n v="0"/>
    <m/>
  </r>
  <r>
    <d v="2022-02-16T00:00:00"/>
    <n v="190"/>
    <x v="189"/>
    <x v="3"/>
    <e v="#REF!"/>
    <e v="#REF!"/>
    <n v="8"/>
    <s v="Valorisables"/>
    <x v="7"/>
    <n v="6.75"/>
    <n v="1.1000000000000001"/>
    <n v="5.65"/>
    <n v="0.17739403453689173"/>
    <m/>
  </r>
  <r>
    <d v="2022-02-16T00:00:00"/>
    <n v="190"/>
    <x v="189"/>
    <x v="3"/>
    <e v="#REF!"/>
    <e v="#REF!"/>
    <n v="9"/>
    <s v="Valorisables"/>
    <x v="8"/>
    <m/>
    <m/>
    <n v="0"/>
    <n v="0"/>
    <m/>
  </r>
  <r>
    <d v="2022-02-16T00:00:00"/>
    <n v="190"/>
    <x v="189"/>
    <x v="3"/>
    <e v="#REF!"/>
    <e v="#REF!"/>
    <n v="10"/>
    <s v="Valorisables"/>
    <x v="9"/>
    <n v="14.75"/>
    <n v="8.3000000000000007"/>
    <n v="6.4499999999999993"/>
    <n v="0.20251177394034539"/>
    <m/>
  </r>
  <r>
    <d v="2022-02-16T00:00:00"/>
    <n v="190"/>
    <x v="189"/>
    <x v="3"/>
    <e v="#REF!"/>
    <e v="#REF!"/>
    <n v="11"/>
    <s v="Valorisables"/>
    <x v="10"/>
    <n v="0.85"/>
    <n v="0.55000000000000004"/>
    <n v="0.29999999999999993"/>
    <n v="9.4191522762951327E-3"/>
    <m/>
  </r>
  <r>
    <d v="2022-02-16T00:00:00"/>
    <n v="190"/>
    <x v="189"/>
    <x v="3"/>
    <e v="#REF!"/>
    <e v="#REF!"/>
    <n v="12"/>
    <s v="Refus"/>
    <x v="11"/>
    <n v="28"/>
    <n v="17.05"/>
    <n v="10.95"/>
    <n v="0.3437990580847724"/>
    <m/>
  </r>
  <r>
    <d v="2022-02-16T00:00:00"/>
    <n v="191"/>
    <x v="190"/>
    <x v="5"/>
    <n v="31.400000000000002"/>
    <n v="31.449999999999996"/>
    <n v="1"/>
    <s v="Valorisables"/>
    <x v="0"/>
    <n v="0.9"/>
    <n v="0.55000000000000004"/>
    <n v="0.35"/>
    <n v="1.1128775834658189E-2"/>
    <m/>
  </r>
  <r>
    <d v="2022-02-16T00:00:00"/>
    <n v="191"/>
    <x v="190"/>
    <x v="5"/>
    <n v="31.400000000000002"/>
    <n v="1.5923566878978854E-3"/>
    <n v="2"/>
    <s v="Valorisables"/>
    <x v="1"/>
    <n v="0.65"/>
    <n v="0.55000000000000004"/>
    <n v="9.9999999999999978E-2"/>
    <n v="3.1796502384737677E-3"/>
    <m/>
  </r>
  <r>
    <d v="2022-02-16T00:00:00"/>
    <n v="191"/>
    <x v="190"/>
    <x v="5"/>
    <e v="#REF!"/>
    <e v="#REF!"/>
    <n v="3"/>
    <s v="Valorisables"/>
    <x v="2"/>
    <n v="0.6"/>
    <n v="0.55000000000000004"/>
    <n v="4.9999999999999933E-2"/>
    <n v="1.5898251192368821E-3"/>
    <m/>
  </r>
  <r>
    <d v="2022-02-16T00:00:00"/>
    <n v="191"/>
    <x v="190"/>
    <x v="5"/>
    <e v="#REF!"/>
    <e v="#REF!"/>
    <n v="4"/>
    <s v="Valorisables"/>
    <x v="3"/>
    <n v="0.6"/>
    <n v="0.55000000000000004"/>
    <n v="4.9999999999999933E-2"/>
    <n v="1.5898251192368821E-3"/>
    <m/>
  </r>
  <r>
    <d v="2022-02-16T00:00:00"/>
    <n v="191"/>
    <x v="190"/>
    <x v="5"/>
    <e v="#REF!"/>
    <e v="#REF!"/>
    <n v="5"/>
    <s v="Valorisables"/>
    <x v="4"/>
    <m/>
    <m/>
    <n v="0"/>
    <n v="0"/>
    <m/>
  </r>
  <r>
    <d v="2022-02-16T00:00:00"/>
    <n v="191"/>
    <x v="190"/>
    <x v="5"/>
    <e v="#REF!"/>
    <e v="#REF!"/>
    <n v="6"/>
    <s v="Valorisables"/>
    <x v="5"/>
    <m/>
    <m/>
    <n v="0"/>
    <n v="0"/>
    <m/>
  </r>
  <r>
    <d v="2022-02-16T00:00:00"/>
    <n v="191"/>
    <x v="190"/>
    <x v="5"/>
    <e v="#REF!"/>
    <e v="#REF!"/>
    <n v="7"/>
    <s v="Valorisables"/>
    <x v="6"/>
    <m/>
    <m/>
    <n v="0"/>
    <n v="0"/>
    <m/>
  </r>
  <r>
    <d v="2022-02-16T00:00:00"/>
    <n v="191"/>
    <x v="190"/>
    <x v="5"/>
    <e v="#REF!"/>
    <e v="#REF!"/>
    <n v="8"/>
    <s v="Valorisables"/>
    <x v="7"/>
    <n v="3.55"/>
    <n v="0.55000000000000004"/>
    <n v="3"/>
    <n v="9.5389507154213043E-2"/>
    <m/>
  </r>
  <r>
    <d v="2022-02-16T00:00:00"/>
    <n v="191"/>
    <x v="190"/>
    <x v="5"/>
    <e v="#REF!"/>
    <e v="#REF!"/>
    <n v="9"/>
    <s v="Valorisables"/>
    <x v="8"/>
    <m/>
    <m/>
    <n v="0"/>
    <n v="0"/>
    <m/>
  </r>
  <r>
    <d v="2022-02-16T00:00:00"/>
    <n v="191"/>
    <x v="190"/>
    <x v="5"/>
    <e v="#REF!"/>
    <e v="#REF!"/>
    <n v="10"/>
    <s v="Valorisables"/>
    <x v="9"/>
    <n v="68.55"/>
    <n v="42.45"/>
    <n v="26.099999999999994"/>
    <n v="0.82988871224165339"/>
    <m/>
  </r>
  <r>
    <d v="2022-02-16T00:00:00"/>
    <n v="191"/>
    <x v="190"/>
    <x v="5"/>
    <e v="#REF!"/>
    <e v="#REF!"/>
    <n v="11"/>
    <s v="Valorisables"/>
    <x v="10"/>
    <n v="0.65"/>
    <n v="0.55000000000000004"/>
    <n v="9.9999999999999978E-2"/>
    <n v="3.1796502384737677E-3"/>
    <m/>
  </r>
  <r>
    <d v="2022-02-16T00:00:00"/>
    <n v="191"/>
    <x v="190"/>
    <x v="5"/>
    <e v="#REF!"/>
    <e v="#REF!"/>
    <n v="12"/>
    <s v="Refus"/>
    <x v="11"/>
    <n v="2.25"/>
    <n v="0.55000000000000004"/>
    <n v="1.7"/>
    <n v="5.4054054054054057E-2"/>
    <m/>
  </r>
  <r>
    <d v="2022-02-16T00:00:00"/>
    <n v="192"/>
    <x v="191"/>
    <x v="12"/>
    <n v="20.2"/>
    <n v="19.449999999999992"/>
    <n v="1"/>
    <s v="Valorisables"/>
    <x v="0"/>
    <m/>
    <m/>
    <n v="0"/>
    <n v="0"/>
    <m/>
  </r>
  <r>
    <d v="2022-02-16T00:00:00"/>
    <n v="192"/>
    <x v="191"/>
    <x v="12"/>
    <n v="20.2"/>
    <n v="-3.7128712871287481E-2"/>
    <n v="2"/>
    <s v="Valorisables"/>
    <x v="1"/>
    <n v="0.65"/>
    <n v="0.55000000000000004"/>
    <n v="9.9999999999999978E-2"/>
    <n v="5.1413881748071984E-3"/>
    <m/>
  </r>
  <r>
    <d v="2022-02-16T00:00:00"/>
    <n v="192"/>
    <x v="191"/>
    <x v="12"/>
    <e v="#REF!"/>
    <e v="#REF!"/>
    <n v="3"/>
    <s v="Valorisables"/>
    <x v="2"/>
    <m/>
    <m/>
    <n v="0"/>
    <n v="0"/>
    <m/>
  </r>
  <r>
    <d v="2022-02-16T00:00:00"/>
    <n v="192"/>
    <x v="191"/>
    <x v="12"/>
    <e v="#REF!"/>
    <e v="#REF!"/>
    <n v="4"/>
    <s v="Valorisables"/>
    <x v="3"/>
    <m/>
    <m/>
    <n v="0"/>
    <n v="0"/>
    <m/>
  </r>
  <r>
    <d v="2022-02-16T00:00:00"/>
    <n v="192"/>
    <x v="191"/>
    <x v="12"/>
    <e v="#REF!"/>
    <e v="#REF!"/>
    <n v="5"/>
    <s v="Valorisables"/>
    <x v="4"/>
    <m/>
    <m/>
    <n v="0"/>
    <n v="0"/>
    <m/>
  </r>
  <r>
    <d v="2022-02-16T00:00:00"/>
    <n v="192"/>
    <x v="191"/>
    <x v="12"/>
    <e v="#REF!"/>
    <e v="#REF!"/>
    <n v="6"/>
    <s v="Valorisables"/>
    <x v="5"/>
    <m/>
    <m/>
    <n v="0"/>
    <n v="0"/>
    <m/>
  </r>
  <r>
    <d v="2022-02-16T00:00:00"/>
    <n v="192"/>
    <x v="191"/>
    <x v="12"/>
    <e v="#REF!"/>
    <e v="#REF!"/>
    <n v="7"/>
    <s v="Valorisables"/>
    <x v="6"/>
    <m/>
    <m/>
    <n v="0"/>
    <n v="0"/>
    <m/>
  </r>
  <r>
    <d v="2022-02-16T00:00:00"/>
    <n v="192"/>
    <x v="191"/>
    <x v="12"/>
    <e v="#REF!"/>
    <e v="#REF!"/>
    <n v="8"/>
    <s v="Valorisables"/>
    <x v="7"/>
    <m/>
    <m/>
    <n v="0"/>
    <n v="0"/>
    <m/>
  </r>
  <r>
    <d v="2022-02-16T00:00:00"/>
    <n v="192"/>
    <x v="191"/>
    <x v="12"/>
    <e v="#REF!"/>
    <e v="#REF!"/>
    <n v="9"/>
    <s v="Valorisables"/>
    <x v="8"/>
    <m/>
    <m/>
    <n v="0"/>
    <n v="0"/>
    <m/>
  </r>
  <r>
    <d v="2022-02-16T00:00:00"/>
    <n v="192"/>
    <x v="191"/>
    <x v="12"/>
    <e v="#REF!"/>
    <e v="#REF!"/>
    <n v="10"/>
    <s v="Valorisables"/>
    <x v="9"/>
    <n v="1.3"/>
    <n v="1.1000000000000001"/>
    <n v="0.19999999999999996"/>
    <n v="1.0282776349614397E-2"/>
    <m/>
  </r>
  <r>
    <d v="2022-02-16T00:00:00"/>
    <n v="192"/>
    <x v="191"/>
    <x v="12"/>
    <e v="#REF!"/>
    <e v="#REF!"/>
    <n v="11"/>
    <s v="Valorisables"/>
    <x v="10"/>
    <n v="70.149999999999991"/>
    <n v="51"/>
    <n v="19.149999999999991"/>
    <n v="0.98457583547557836"/>
    <m/>
  </r>
  <r>
    <d v="2022-02-16T00:00:00"/>
    <n v="192"/>
    <x v="191"/>
    <x v="12"/>
    <e v="#REF!"/>
    <e v="#REF!"/>
    <n v="12"/>
    <s v="Refus"/>
    <x v="11"/>
    <m/>
    <m/>
    <n v="0"/>
    <n v="0"/>
    <m/>
  </r>
  <r>
    <d v="2022-02-16T00:00:00"/>
    <n v="193"/>
    <x v="192"/>
    <x v="10"/>
    <n v="40.9"/>
    <n v="40.700000000000003"/>
    <n v="1"/>
    <s v="Valorisables"/>
    <x v="0"/>
    <n v="0.7"/>
    <n v="0.55000000000000004"/>
    <n v="0.14999999999999991"/>
    <n v="3.685503685503683E-3"/>
    <m/>
  </r>
  <r>
    <d v="2022-02-16T00:00:00"/>
    <n v="193"/>
    <x v="192"/>
    <x v="10"/>
    <n v="40.9"/>
    <n v="-4.8899755501221453E-3"/>
    <n v="2"/>
    <s v="Valorisables"/>
    <x v="1"/>
    <n v="18.399999999999999"/>
    <n v="17.05"/>
    <n v="1.3499999999999979"/>
    <n v="3.3169533169533118E-2"/>
    <m/>
  </r>
  <r>
    <d v="2022-02-16T00:00:00"/>
    <n v="193"/>
    <x v="192"/>
    <x v="10"/>
    <e v="#REF!"/>
    <e v="#REF!"/>
    <n v="3"/>
    <s v="Valorisables"/>
    <x v="2"/>
    <n v="92.3"/>
    <n v="59.55"/>
    <n v="32.75"/>
    <n v="0.80466830466830463"/>
    <m/>
  </r>
  <r>
    <d v="2022-02-16T00:00:00"/>
    <n v="193"/>
    <x v="192"/>
    <x v="10"/>
    <e v="#REF!"/>
    <e v="#REF!"/>
    <n v="4"/>
    <s v="Valorisables"/>
    <x v="3"/>
    <n v="1.85"/>
    <n v="1.1000000000000001"/>
    <n v="0.75"/>
    <n v="1.8427518427518427E-2"/>
    <m/>
  </r>
  <r>
    <d v="2022-02-16T00:00:00"/>
    <n v="193"/>
    <x v="192"/>
    <x v="10"/>
    <e v="#REF!"/>
    <e v="#REF!"/>
    <n v="5"/>
    <s v="Valorisables"/>
    <x v="4"/>
    <n v="0.9"/>
    <n v="0.55000000000000004"/>
    <n v="0.35"/>
    <n v="8.5995085995085978E-3"/>
    <m/>
  </r>
  <r>
    <d v="2022-02-16T00:00:00"/>
    <n v="193"/>
    <x v="192"/>
    <x v="10"/>
    <e v="#REF!"/>
    <e v="#REF!"/>
    <n v="6"/>
    <s v="Valorisables"/>
    <x v="5"/>
    <m/>
    <m/>
    <n v="0"/>
    <n v="0"/>
    <m/>
  </r>
  <r>
    <d v="2022-02-16T00:00:00"/>
    <n v="193"/>
    <x v="192"/>
    <x v="10"/>
    <e v="#REF!"/>
    <e v="#REF!"/>
    <n v="7"/>
    <s v="Valorisables"/>
    <x v="6"/>
    <m/>
    <m/>
    <n v="0"/>
    <n v="0"/>
    <m/>
  </r>
  <r>
    <d v="2022-02-16T00:00:00"/>
    <n v="193"/>
    <x v="192"/>
    <x v="10"/>
    <e v="#REF!"/>
    <e v="#REF!"/>
    <n v="8"/>
    <s v="Valorisables"/>
    <x v="7"/>
    <n v="0.75"/>
    <n v="0.55000000000000004"/>
    <n v="0.19999999999999996"/>
    <n v="4.9140049140049121E-3"/>
    <m/>
  </r>
  <r>
    <d v="2022-02-16T00:00:00"/>
    <n v="193"/>
    <x v="192"/>
    <x v="10"/>
    <e v="#REF!"/>
    <e v="#REF!"/>
    <n v="9"/>
    <s v="Valorisables"/>
    <x v="8"/>
    <m/>
    <m/>
    <n v="0"/>
    <n v="0"/>
    <m/>
  </r>
  <r>
    <d v="2022-02-16T00:00:00"/>
    <n v="193"/>
    <x v="192"/>
    <x v="10"/>
    <e v="#REF!"/>
    <e v="#REF!"/>
    <n v="10"/>
    <s v="Valorisables"/>
    <x v="9"/>
    <n v="1.4"/>
    <n v="0.5"/>
    <n v="0.89999999999999991"/>
    <n v="2.2113022113022109E-2"/>
    <m/>
  </r>
  <r>
    <d v="2022-02-16T00:00:00"/>
    <n v="193"/>
    <x v="192"/>
    <x v="10"/>
    <e v="#REF!"/>
    <e v="#REF!"/>
    <n v="11"/>
    <s v="Valorisables"/>
    <x v="10"/>
    <n v="1.25"/>
    <n v="1.1000000000000001"/>
    <n v="0.14999999999999991"/>
    <n v="3.685503685503683E-3"/>
    <m/>
  </r>
  <r>
    <d v="2022-02-16T00:00:00"/>
    <n v="193"/>
    <x v="192"/>
    <x v="10"/>
    <e v="#REF!"/>
    <e v="#REF!"/>
    <n v="12"/>
    <s v="Refus"/>
    <x v="11"/>
    <n v="12.65"/>
    <n v="8.5500000000000007"/>
    <n v="4.0999999999999996"/>
    <n v="0.10073710073710072"/>
    <m/>
  </r>
  <r>
    <d v="2022-02-16T00:00:00"/>
    <n v="194"/>
    <x v="193"/>
    <x v="4"/>
    <n v="28.2"/>
    <n v="27.900000000000009"/>
    <n v="1"/>
    <s v="Valorisables"/>
    <x v="0"/>
    <n v="94.100000000000009"/>
    <n v="68"/>
    <n v="26.100000000000009"/>
    <n v="0.93548387096774188"/>
    <m/>
  </r>
  <r>
    <d v="2022-02-16T00:00:00"/>
    <n v="194"/>
    <x v="193"/>
    <x v="4"/>
    <n v="28.2"/>
    <n v="-1.0638297872340073E-2"/>
    <n v="2"/>
    <s v="Valorisables"/>
    <x v="1"/>
    <n v="1.2"/>
    <n v="0.55000000000000004"/>
    <n v="0.64999999999999991"/>
    <n v="2.3297491039426511E-2"/>
    <m/>
  </r>
  <r>
    <d v="2022-02-16T00:00:00"/>
    <n v="194"/>
    <x v="193"/>
    <x v="4"/>
    <e v="#REF!"/>
    <e v="#REF!"/>
    <n v="3"/>
    <s v="Valorisables"/>
    <x v="2"/>
    <n v="1.1000000000000001"/>
    <n v="0.55000000000000004"/>
    <n v="0.55000000000000004"/>
    <n v="1.9713261648745515E-2"/>
    <m/>
  </r>
  <r>
    <d v="2022-02-16T00:00:00"/>
    <n v="194"/>
    <x v="193"/>
    <x v="4"/>
    <e v="#REF!"/>
    <e v="#REF!"/>
    <n v="4"/>
    <s v="Valorisables"/>
    <x v="3"/>
    <m/>
    <m/>
    <n v="0"/>
    <n v="0"/>
    <m/>
  </r>
  <r>
    <d v="2022-02-16T00:00:00"/>
    <n v="194"/>
    <x v="193"/>
    <x v="4"/>
    <e v="#REF!"/>
    <e v="#REF!"/>
    <n v="5"/>
    <s v="Valorisables"/>
    <x v="4"/>
    <m/>
    <m/>
    <n v="0"/>
    <n v="0"/>
    <m/>
  </r>
  <r>
    <d v="2022-02-16T00:00:00"/>
    <n v="194"/>
    <x v="193"/>
    <x v="4"/>
    <e v="#REF!"/>
    <e v="#REF!"/>
    <n v="6"/>
    <s v="Valorisables"/>
    <x v="5"/>
    <m/>
    <m/>
    <n v="0"/>
    <n v="0"/>
    <m/>
  </r>
  <r>
    <d v="2022-02-16T00:00:00"/>
    <n v="194"/>
    <x v="193"/>
    <x v="4"/>
    <e v="#REF!"/>
    <e v="#REF!"/>
    <n v="7"/>
    <s v="Valorisables"/>
    <x v="6"/>
    <m/>
    <m/>
    <n v="0"/>
    <n v="0"/>
    <m/>
  </r>
  <r>
    <d v="2022-02-16T00:00:00"/>
    <n v="194"/>
    <x v="193"/>
    <x v="4"/>
    <e v="#REF!"/>
    <e v="#REF!"/>
    <n v="8"/>
    <s v="Valorisables"/>
    <x v="7"/>
    <n v="0.6"/>
    <n v="0.55000000000000004"/>
    <n v="4.9999999999999933E-2"/>
    <n v="1.7921146953404988E-3"/>
    <m/>
  </r>
  <r>
    <d v="2022-02-16T00:00:00"/>
    <n v="194"/>
    <x v="193"/>
    <x v="4"/>
    <e v="#REF!"/>
    <e v="#REF!"/>
    <n v="9"/>
    <s v="Valorisables"/>
    <x v="8"/>
    <m/>
    <m/>
    <n v="0"/>
    <n v="0"/>
    <m/>
  </r>
  <r>
    <d v="2022-02-16T00:00:00"/>
    <n v="194"/>
    <x v="193"/>
    <x v="4"/>
    <e v="#REF!"/>
    <e v="#REF!"/>
    <n v="10"/>
    <s v="Valorisables"/>
    <x v="9"/>
    <n v="0.55000000000000004"/>
    <n v="0.5"/>
    <n v="5.0000000000000044E-2"/>
    <n v="1.7921146953405029E-3"/>
    <m/>
  </r>
  <r>
    <d v="2022-02-16T00:00:00"/>
    <n v="194"/>
    <x v="193"/>
    <x v="4"/>
    <e v="#REF!"/>
    <e v="#REF!"/>
    <n v="11"/>
    <s v="Valorisables"/>
    <x v="10"/>
    <m/>
    <m/>
    <n v="0"/>
    <n v="0"/>
    <m/>
  </r>
  <r>
    <d v="2022-02-16T00:00:00"/>
    <n v="194"/>
    <x v="193"/>
    <x v="4"/>
    <e v="#REF!"/>
    <e v="#REF!"/>
    <n v="12"/>
    <s v="Refus"/>
    <x v="11"/>
    <n v="1"/>
    <n v="0.5"/>
    <n v="0.5"/>
    <n v="1.7921146953405014E-2"/>
    <m/>
  </r>
  <r>
    <d v="2022-02-16T00:00:00"/>
    <n v="195"/>
    <x v="194"/>
    <x v="14"/>
    <n v="40.599999999999994"/>
    <n v="39.750000000000007"/>
    <n v="1"/>
    <s v="Valorisables"/>
    <x v="0"/>
    <m/>
    <m/>
    <n v="0"/>
    <n v="0"/>
    <m/>
  </r>
  <r>
    <d v="2022-02-16T00:00:00"/>
    <n v="195"/>
    <x v="194"/>
    <x v="14"/>
    <n v="40.599999999999994"/>
    <n v="-2.0935960591132691E-2"/>
    <n v="2"/>
    <s v="Valorisables"/>
    <x v="1"/>
    <n v="1"/>
    <n v="0.55000000000000004"/>
    <n v="0.44999999999999996"/>
    <n v="1.132075471698113E-2"/>
    <m/>
  </r>
  <r>
    <d v="2022-02-16T00:00:00"/>
    <n v="195"/>
    <x v="194"/>
    <x v="14"/>
    <e v="#REF!"/>
    <e v="#REF!"/>
    <n v="3"/>
    <s v="Valorisables"/>
    <x v="2"/>
    <n v="1.4"/>
    <n v="1.1000000000000001"/>
    <n v="0.29999999999999982"/>
    <n v="7.5471698113207487E-3"/>
    <m/>
  </r>
  <r>
    <d v="2022-02-16T00:00:00"/>
    <n v="195"/>
    <x v="194"/>
    <x v="14"/>
    <e v="#REF!"/>
    <e v="#REF!"/>
    <n v="4"/>
    <s v="Valorisables"/>
    <x v="3"/>
    <n v="2.2000000000000002"/>
    <n v="1.1000000000000001"/>
    <n v="1.1000000000000001"/>
    <n v="2.7672955974842765E-2"/>
    <m/>
  </r>
  <r>
    <d v="2022-02-16T00:00:00"/>
    <n v="195"/>
    <x v="194"/>
    <x v="14"/>
    <e v="#REF!"/>
    <e v="#REF!"/>
    <n v="5"/>
    <s v="Valorisables"/>
    <x v="4"/>
    <n v="91.600000000000009"/>
    <n v="59.5"/>
    <n v="32.100000000000009"/>
    <n v="0.8075471698113208"/>
    <m/>
  </r>
  <r>
    <d v="2022-02-16T00:00:00"/>
    <n v="195"/>
    <x v="194"/>
    <x v="14"/>
    <e v="#REF!"/>
    <e v="#REF!"/>
    <n v="6"/>
    <s v="Valorisables"/>
    <x v="5"/>
    <n v="0.6"/>
    <n v="0.55000000000000004"/>
    <n v="4.9999999999999933E-2"/>
    <n v="1.257861635220124E-3"/>
    <m/>
  </r>
  <r>
    <d v="2022-02-16T00:00:00"/>
    <n v="195"/>
    <x v="194"/>
    <x v="14"/>
    <e v="#REF!"/>
    <e v="#REF!"/>
    <n v="7"/>
    <s v="Valorisables"/>
    <x v="6"/>
    <m/>
    <m/>
    <n v="0"/>
    <n v="0"/>
    <m/>
  </r>
  <r>
    <d v="2022-02-16T00:00:00"/>
    <n v="195"/>
    <x v="194"/>
    <x v="14"/>
    <e v="#REF!"/>
    <e v="#REF!"/>
    <n v="8"/>
    <s v="Valorisables"/>
    <x v="7"/>
    <n v="0.65"/>
    <n v="0.55000000000000004"/>
    <n v="9.9999999999999978E-2"/>
    <n v="2.5157232704402506E-3"/>
    <m/>
  </r>
  <r>
    <d v="2022-02-16T00:00:00"/>
    <n v="195"/>
    <x v="194"/>
    <x v="14"/>
    <e v="#REF!"/>
    <e v="#REF!"/>
    <n v="9"/>
    <s v="Valorisables"/>
    <x v="8"/>
    <m/>
    <m/>
    <n v="0"/>
    <n v="0"/>
    <m/>
  </r>
  <r>
    <d v="2022-02-16T00:00:00"/>
    <n v="195"/>
    <x v="194"/>
    <x v="14"/>
    <e v="#REF!"/>
    <e v="#REF!"/>
    <n v="10"/>
    <s v="Valorisables"/>
    <x v="9"/>
    <n v="1.95"/>
    <n v="1.05"/>
    <n v="0.89999999999999991"/>
    <n v="2.2641509433962259E-2"/>
    <m/>
  </r>
  <r>
    <d v="2022-02-16T00:00:00"/>
    <n v="195"/>
    <x v="194"/>
    <x v="14"/>
    <e v="#REF!"/>
    <e v="#REF!"/>
    <n v="11"/>
    <s v="Valorisables"/>
    <x v="10"/>
    <n v="0.75"/>
    <n v="0.55000000000000004"/>
    <n v="0.19999999999999996"/>
    <n v="5.0314465408805012E-3"/>
    <m/>
  </r>
  <r>
    <d v="2022-02-16T00:00:00"/>
    <n v="195"/>
    <x v="194"/>
    <x v="14"/>
    <e v="#REF!"/>
    <e v="#REF!"/>
    <n v="12"/>
    <s v="Refus"/>
    <x v="11"/>
    <n v="13.1"/>
    <n v="8.5500000000000007"/>
    <n v="4.5499999999999989"/>
    <n v="0.11446540880503139"/>
    <s v="Morceaux de PVC noir d'1,35kg + 1 casserole de 0,55kg"/>
  </r>
  <r>
    <d v="2022-02-16T00:00:00"/>
    <n v="196"/>
    <x v="195"/>
    <x v="14"/>
    <n v="46.4"/>
    <n v="45.000000000000014"/>
    <n v="1"/>
    <s v="Valorisables"/>
    <x v="0"/>
    <n v="0.7"/>
    <n v="0.55000000000000004"/>
    <n v="0.14999999999999991"/>
    <n v="3.3333333333333305E-3"/>
    <m/>
  </r>
  <r>
    <d v="2022-02-16T00:00:00"/>
    <n v="196"/>
    <x v="195"/>
    <x v="14"/>
    <n v="46.4"/>
    <n v="-3.0172413793103113E-2"/>
    <n v="2"/>
    <s v="Valorisables"/>
    <x v="1"/>
    <n v="1.55"/>
    <n v="1.1000000000000001"/>
    <n v="0.44999999999999996"/>
    <n v="9.999999999999995E-3"/>
    <m/>
  </r>
  <r>
    <d v="2022-02-16T00:00:00"/>
    <n v="196"/>
    <x v="195"/>
    <x v="14"/>
    <e v="#REF!"/>
    <e v="#REF!"/>
    <n v="3"/>
    <s v="Valorisables"/>
    <x v="2"/>
    <n v="0.8"/>
    <n v="0.55000000000000004"/>
    <n v="0.25"/>
    <n v="5.555555555555554E-3"/>
    <m/>
  </r>
  <r>
    <d v="2022-02-16T00:00:00"/>
    <n v="196"/>
    <x v="195"/>
    <x v="14"/>
    <e v="#REF!"/>
    <e v="#REF!"/>
    <n v="4"/>
    <s v="Valorisables"/>
    <x v="3"/>
    <n v="1.65"/>
    <n v="0.55000000000000004"/>
    <n v="1.0999999999999999"/>
    <n v="2.4444444444444435E-2"/>
    <m/>
  </r>
  <r>
    <d v="2022-02-16T00:00:00"/>
    <n v="196"/>
    <x v="195"/>
    <x v="14"/>
    <e v="#REF!"/>
    <e v="#REF!"/>
    <n v="5"/>
    <s v="Valorisables"/>
    <x v="4"/>
    <n v="97.65"/>
    <n v="59.55"/>
    <n v="38.100000000000009"/>
    <n v="0.84666666666666657"/>
    <m/>
  </r>
  <r>
    <d v="2022-02-16T00:00:00"/>
    <n v="196"/>
    <x v="195"/>
    <x v="14"/>
    <e v="#REF!"/>
    <e v="#REF!"/>
    <n v="6"/>
    <s v="Valorisables"/>
    <x v="5"/>
    <n v="0.85"/>
    <n v="0.55000000000000004"/>
    <n v="0.29999999999999993"/>
    <n v="6.6666666666666628E-3"/>
    <m/>
  </r>
  <r>
    <d v="2022-02-16T00:00:00"/>
    <n v="196"/>
    <x v="195"/>
    <x v="14"/>
    <e v="#REF!"/>
    <e v="#REF!"/>
    <n v="7"/>
    <s v="Valorisables"/>
    <x v="6"/>
    <m/>
    <m/>
    <n v="0"/>
    <n v="0"/>
    <m/>
  </r>
  <r>
    <d v="2022-02-16T00:00:00"/>
    <n v="196"/>
    <x v="195"/>
    <x v="14"/>
    <e v="#REF!"/>
    <e v="#REF!"/>
    <n v="8"/>
    <s v="Valorisables"/>
    <x v="7"/>
    <n v="0.6"/>
    <n v="0.5"/>
    <n v="9.9999999999999978E-2"/>
    <n v="2.2222222222222209E-3"/>
    <m/>
  </r>
  <r>
    <d v="2022-02-16T00:00:00"/>
    <n v="196"/>
    <x v="195"/>
    <x v="14"/>
    <e v="#REF!"/>
    <e v="#REF!"/>
    <n v="9"/>
    <s v="Valorisables"/>
    <x v="8"/>
    <m/>
    <m/>
    <n v="0"/>
    <n v="0"/>
    <m/>
  </r>
  <r>
    <d v="2022-02-16T00:00:00"/>
    <n v="196"/>
    <x v="195"/>
    <x v="14"/>
    <e v="#REF!"/>
    <e v="#REF!"/>
    <n v="10"/>
    <s v="Valorisables"/>
    <x v="9"/>
    <n v="1.5"/>
    <n v="0.55000000000000004"/>
    <n v="0.95"/>
    <n v="2.1111111111111105E-2"/>
    <m/>
  </r>
  <r>
    <d v="2022-02-16T00:00:00"/>
    <n v="196"/>
    <x v="195"/>
    <x v="14"/>
    <e v="#REF!"/>
    <e v="#REF!"/>
    <n v="11"/>
    <s v="Valorisables"/>
    <x v="10"/>
    <m/>
    <m/>
    <n v="0"/>
    <n v="0"/>
    <m/>
  </r>
  <r>
    <d v="2022-02-16T00:00:00"/>
    <n v="196"/>
    <x v="195"/>
    <x v="14"/>
    <e v="#REF!"/>
    <e v="#REF!"/>
    <n v="12"/>
    <s v="Refus"/>
    <x v="11"/>
    <n v="12.15"/>
    <n v="8.5500000000000007"/>
    <n v="3.5999999999999996"/>
    <n v="7.999999999999996E-2"/>
    <m/>
  </r>
  <r>
    <d v="2022-02-16T00:00:00"/>
    <n v="197"/>
    <x v="196"/>
    <x v="11"/>
    <n v="30"/>
    <n v="29.549999999999997"/>
    <n v="1"/>
    <s v="Valorisables"/>
    <x v="0"/>
    <n v="34.799999999999997"/>
    <n v="25.35"/>
    <n v="9.4499999999999957"/>
    <n v="0.31979695431472072"/>
    <m/>
  </r>
  <r>
    <d v="2022-02-16T00:00:00"/>
    <n v="197"/>
    <x v="196"/>
    <x v="11"/>
    <n v="30"/>
    <n v="-1.5000000000000095E-2"/>
    <n v="2"/>
    <s v="Valorisables"/>
    <x v="1"/>
    <n v="49.6"/>
    <n v="34.150000000000006"/>
    <n v="15.449999999999996"/>
    <n v="0.52284263959390853"/>
    <m/>
  </r>
  <r>
    <d v="2022-02-16T00:00:00"/>
    <n v="197"/>
    <x v="196"/>
    <x v="11"/>
    <e v="#REF!"/>
    <e v="#REF!"/>
    <n v="3"/>
    <s v="Valorisables"/>
    <x v="2"/>
    <n v="10.65"/>
    <n v="8.5500000000000007"/>
    <n v="2.0999999999999996"/>
    <n v="7.1065989847715727E-2"/>
    <m/>
  </r>
  <r>
    <d v="2022-02-16T00:00:00"/>
    <n v="197"/>
    <x v="196"/>
    <x v="11"/>
    <e v="#REF!"/>
    <e v="#REF!"/>
    <n v="4"/>
    <s v="Valorisables"/>
    <x v="3"/>
    <n v="0.6"/>
    <n v="0.55000000000000004"/>
    <n v="4.9999999999999933E-2"/>
    <n v="1.6920473773265631E-3"/>
    <m/>
  </r>
  <r>
    <d v="2022-02-16T00:00:00"/>
    <n v="197"/>
    <x v="196"/>
    <x v="11"/>
    <e v="#REF!"/>
    <e v="#REF!"/>
    <n v="5"/>
    <s v="Valorisables"/>
    <x v="4"/>
    <n v="0.7"/>
    <n v="0.55000000000000004"/>
    <n v="0.14999999999999991"/>
    <n v="5.0761421319796933E-3"/>
    <m/>
  </r>
  <r>
    <d v="2022-02-16T00:00:00"/>
    <n v="197"/>
    <x v="196"/>
    <x v="11"/>
    <e v="#REF!"/>
    <e v="#REF!"/>
    <n v="6"/>
    <s v="Valorisables"/>
    <x v="5"/>
    <m/>
    <m/>
    <n v="0"/>
    <n v="0"/>
    <m/>
  </r>
  <r>
    <d v="2022-02-16T00:00:00"/>
    <n v="197"/>
    <x v="196"/>
    <x v="11"/>
    <e v="#REF!"/>
    <e v="#REF!"/>
    <n v="7"/>
    <s v="Valorisables"/>
    <x v="6"/>
    <m/>
    <m/>
    <n v="0"/>
    <n v="0"/>
    <m/>
  </r>
  <r>
    <d v="2022-02-16T00:00:00"/>
    <n v="197"/>
    <x v="196"/>
    <x v="11"/>
    <e v="#REF!"/>
    <e v="#REF!"/>
    <n v="8"/>
    <s v="Valorisables"/>
    <x v="7"/>
    <n v="0.65"/>
    <n v="0.55000000000000004"/>
    <n v="9.9999999999999978E-2"/>
    <n v="3.3840947546531297E-3"/>
    <m/>
  </r>
  <r>
    <d v="2022-02-16T00:00:00"/>
    <n v="197"/>
    <x v="196"/>
    <x v="11"/>
    <e v="#REF!"/>
    <e v="#REF!"/>
    <n v="9"/>
    <s v="Valorisables"/>
    <x v="8"/>
    <m/>
    <m/>
    <n v="0"/>
    <n v="0"/>
    <m/>
  </r>
  <r>
    <d v="2022-02-16T00:00:00"/>
    <n v="197"/>
    <x v="196"/>
    <x v="11"/>
    <e v="#REF!"/>
    <e v="#REF!"/>
    <n v="10"/>
    <s v="Valorisables"/>
    <x v="9"/>
    <n v="0.9"/>
    <n v="0.55000000000000004"/>
    <n v="0.35"/>
    <n v="1.1844331641285956E-2"/>
    <m/>
  </r>
  <r>
    <d v="2022-02-16T00:00:00"/>
    <n v="197"/>
    <x v="196"/>
    <x v="11"/>
    <e v="#REF!"/>
    <e v="#REF!"/>
    <n v="11"/>
    <s v="Valorisables"/>
    <x v="10"/>
    <n v="0.6"/>
    <n v="0.5"/>
    <n v="9.9999999999999978E-2"/>
    <n v="3.3840947546531297E-3"/>
    <m/>
  </r>
  <r>
    <d v="2022-02-16T00:00:00"/>
    <n v="197"/>
    <x v="196"/>
    <x v="11"/>
    <e v="#REF!"/>
    <e v="#REF!"/>
    <n v="12"/>
    <s v="Refus"/>
    <x v="11"/>
    <n v="10.35"/>
    <n v="8.5500000000000007"/>
    <n v="1.7999999999999989"/>
    <n v="6.0913705583756313E-2"/>
    <m/>
  </r>
  <r>
    <d v="2022-02-16T00:00:00"/>
    <n v="198"/>
    <x v="197"/>
    <x v="9"/>
    <n v="38"/>
    <n v="37.95000000000001"/>
    <n v="1"/>
    <s v="Valorisables"/>
    <x v="0"/>
    <m/>
    <m/>
    <n v="0"/>
    <n v="0"/>
    <m/>
  </r>
  <r>
    <d v="2022-02-16T00:00:00"/>
    <n v="198"/>
    <x v="197"/>
    <x v="9"/>
    <n v="38"/>
    <n v="-1.3157894736839488E-3"/>
    <n v="2"/>
    <s v="Valorisables"/>
    <x v="1"/>
    <n v="0.75"/>
    <n v="0.55000000000000004"/>
    <n v="0.19999999999999996"/>
    <n v="5.2700922266139634E-3"/>
    <m/>
  </r>
  <r>
    <d v="2022-02-16T00:00:00"/>
    <n v="198"/>
    <x v="197"/>
    <x v="9"/>
    <e v="#REF!"/>
    <e v="#REF!"/>
    <n v="3"/>
    <s v="Valorisables"/>
    <x v="2"/>
    <n v="1.85"/>
    <n v="1.1000000000000001"/>
    <n v="0.75"/>
    <n v="1.9762845849802365E-2"/>
    <m/>
  </r>
  <r>
    <d v="2022-02-16T00:00:00"/>
    <n v="198"/>
    <x v="197"/>
    <x v="9"/>
    <e v="#REF!"/>
    <e v="#REF!"/>
    <n v="4"/>
    <s v="Valorisables"/>
    <x v="3"/>
    <n v="86.2"/>
    <n v="51"/>
    <n v="35.200000000000003"/>
    <n v="0.92753623188405776"/>
    <m/>
  </r>
  <r>
    <d v="2022-02-16T00:00:00"/>
    <n v="198"/>
    <x v="197"/>
    <x v="9"/>
    <e v="#REF!"/>
    <e v="#REF!"/>
    <n v="5"/>
    <s v="Valorisables"/>
    <x v="4"/>
    <m/>
    <m/>
    <n v="0"/>
    <n v="0"/>
    <m/>
  </r>
  <r>
    <d v="2022-02-16T00:00:00"/>
    <n v="198"/>
    <x v="197"/>
    <x v="9"/>
    <e v="#REF!"/>
    <e v="#REF!"/>
    <n v="6"/>
    <s v="Valorisables"/>
    <x v="5"/>
    <m/>
    <m/>
    <n v="0"/>
    <n v="0"/>
    <m/>
  </r>
  <r>
    <d v="2022-02-16T00:00:00"/>
    <n v="198"/>
    <x v="197"/>
    <x v="9"/>
    <e v="#REF!"/>
    <e v="#REF!"/>
    <n v="7"/>
    <s v="Valorisables"/>
    <x v="6"/>
    <m/>
    <m/>
    <n v="0"/>
    <n v="0"/>
    <m/>
  </r>
  <r>
    <d v="2022-02-16T00:00:00"/>
    <n v="198"/>
    <x v="197"/>
    <x v="9"/>
    <e v="#REF!"/>
    <e v="#REF!"/>
    <n v="8"/>
    <s v="Valorisables"/>
    <x v="7"/>
    <n v="0.8"/>
    <n v="0.55000000000000004"/>
    <n v="0.25"/>
    <n v="6.5876152832674553E-3"/>
    <m/>
  </r>
  <r>
    <d v="2022-02-16T00:00:00"/>
    <n v="198"/>
    <x v="197"/>
    <x v="9"/>
    <e v="#REF!"/>
    <e v="#REF!"/>
    <n v="9"/>
    <s v="Valorisables"/>
    <x v="8"/>
    <m/>
    <m/>
    <n v="0"/>
    <n v="0"/>
    <m/>
  </r>
  <r>
    <d v="2022-02-16T00:00:00"/>
    <n v="198"/>
    <x v="197"/>
    <x v="9"/>
    <e v="#REF!"/>
    <e v="#REF!"/>
    <n v="10"/>
    <s v="Valorisables"/>
    <x v="9"/>
    <n v="1"/>
    <n v="0.5"/>
    <n v="0.5"/>
    <n v="1.3175230566534911E-2"/>
    <m/>
  </r>
  <r>
    <d v="2022-02-16T00:00:00"/>
    <n v="198"/>
    <x v="197"/>
    <x v="9"/>
    <e v="#REF!"/>
    <e v="#REF!"/>
    <n v="11"/>
    <s v="Valorisables"/>
    <x v="10"/>
    <n v="0.65"/>
    <n v="0.55000000000000004"/>
    <n v="9.9999999999999978E-2"/>
    <n v="2.6350461133069817E-3"/>
    <m/>
  </r>
  <r>
    <d v="2022-02-16T00:00:00"/>
    <n v="198"/>
    <x v="197"/>
    <x v="9"/>
    <e v="#REF!"/>
    <e v="#REF!"/>
    <n v="12"/>
    <s v="Refus"/>
    <x v="11"/>
    <n v="2.0499999999999998"/>
    <n v="1.1000000000000001"/>
    <n v="0.94999999999999973"/>
    <n v="2.5032938076416322E-2"/>
    <m/>
  </r>
  <r>
    <d v="2022-02-16T00:00:00"/>
    <n v="199"/>
    <x v="198"/>
    <x v="13"/>
    <n v="41.099999999999994"/>
    <n v="41.050000000000004"/>
    <n v="1"/>
    <s v="Valorisables"/>
    <x v="0"/>
    <n v="1.2999999999999998"/>
    <n v="1.05"/>
    <n v="0.24999999999999978"/>
    <n v="6.0901339829476184E-3"/>
    <m/>
  </r>
  <r>
    <d v="2022-02-16T00:00:00"/>
    <n v="199"/>
    <x v="198"/>
    <x v="13"/>
    <n v="41.099999999999994"/>
    <n v="-1.2165450121652082E-3"/>
    <n v="2"/>
    <s v="Valorisables"/>
    <x v="1"/>
    <n v="0.9"/>
    <n v="0.55000000000000004"/>
    <n v="0.35"/>
    <n v="8.5261875761266735E-3"/>
    <m/>
  </r>
  <r>
    <d v="2022-02-16T00:00:00"/>
    <n v="199"/>
    <x v="198"/>
    <x v="13"/>
    <e v="#REF!"/>
    <e v="#REF!"/>
    <n v="3"/>
    <s v="Valorisables"/>
    <x v="2"/>
    <n v="0.65"/>
    <n v="0.55000000000000004"/>
    <n v="9.9999999999999978E-2"/>
    <n v="2.4360535931790489E-3"/>
    <m/>
  </r>
  <r>
    <d v="2022-02-16T00:00:00"/>
    <n v="199"/>
    <x v="198"/>
    <x v="13"/>
    <e v="#REF!"/>
    <e v="#REF!"/>
    <n v="4"/>
    <s v="Valorisables"/>
    <x v="3"/>
    <n v="0.7"/>
    <n v="0.5"/>
    <n v="0.19999999999999996"/>
    <n v="4.8721071863580979E-3"/>
    <m/>
  </r>
  <r>
    <d v="2022-02-16T00:00:00"/>
    <n v="199"/>
    <x v="198"/>
    <x v="13"/>
    <e v="#REF!"/>
    <e v="#REF!"/>
    <n v="5"/>
    <s v="Valorisables"/>
    <x v="4"/>
    <n v="0.65"/>
    <n v="0.55000000000000004"/>
    <n v="9.9999999999999978E-2"/>
    <n v="2.4360535931790489E-3"/>
    <m/>
  </r>
  <r>
    <d v="2022-02-16T00:00:00"/>
    <n v="199"/>
    <x v="198"/>
    <x v="13"/>
    <e v="#REF!"/>
    <e v="#REF!"/>
    <n v="6"/>
    <s v="Valorisables"/>
    <x v="5"/>
    <m/>
    <m/>
    <n v="0"/>
    <n v="0"/>
    <m/>
  </r>
  <r>
    <d v="2022-02-16T00:00:00"/>
    <n v="199"/>
    <x v="198"/>
    <x v="13"/>
    <e v="#REF!"/>
    <e v="#REF!"/>
    <n v="7"/>
    <s v="Valorisables"/>
    <x v="6"/>
    <m/>
    <m/>
    <n v="0"/>
    <n v="0"/>
    <m/>
  </r>
  <r>
    <d v="2022-02-16T00:00:00"/>
    <n v="199"/>
    <x v="198"/>
    <x v="13"/>
    <e v="#REF!"/>
    <e v="#REF!"/>
    <n v="8"/>
    <s v="Valorisables"/>
    <x v="7"/>
    <n v="1.45"/>
    <n v="0.55000000000000004"/>
    <n v="0.89999999999999991"/>
    <n v="2.1924482338611447E-2"/>
    <m/>
  </r>
  <r>
    <d v="2022-02-16T00:00:00"/>
    <n v="199"/>
    <x v="198"/>
    <x v="13"/>
    <e v="#REF!"/>
    <e v="#REF!"/>
    <n v="9"/>
    <s v="Valorisables"/>
    <x v="8"/>
    <n v="69.650000000000006"/>
    <n v="34.200000000000003"/>
    <n v="35.450000000000003"/>
    <n v="0.86358099878197314"/>
    <m/>
  </r>
  <r>
    <d v="2022-02-16T00:00:00"/>
    <n v="199"/>
    <x v="198"/>
    <x v="13"/>
    <e v="#REF!"/>
    <e v="#REF!"/>
    <n v="10"/>
    <s v="Valorisables"/>
    <x v="9"/>
    <n v="1.4"/>
    <n v="0.55000000000000004"/>
    <n v="0.84999999999999987"/>
    <n v="2.0706455542021919E-2"/>
    <m/>
  </r>
  <r>
    <d v="2022-02-16T00:00:00"/>
    <n v="199"/>
    <x v="198"/>
    <x v="13"/>
    <e v="#REF!"/>
    <e v="#REF!"/>
    <n v="11"/>
    <s v="Valorisables"/>
    <x v="10"/>
    <n v="0.9"/>
    <n v="0.55000000000000004"/>
    <n v="0.35"/>
    <n v="8.5261875761266735E-3"/>
    <m/>
  </r>
  <r>
    <d v="2022-02-16T00:00:00"/>
    <n v="199"/>
    <x v="198"/>
    <x v="13"/>
    <e v="#REF!"/>
    <e v="#REF!"/>
    <n v="12"/>
    <s v="Refus"/>
    <x v="11"/>
    <n v="11.05"/>
    <n v="8.5500000000000007"/>
    <n v="2.5"/>
    <n v="6.0901339829476243E-2"/>
    <m/>
  </r>
  <r>
    <d v="2022-02-16T00:00:00"/>
    <n v="200"/>
    <x v="199"/>
    <x v="13"/>
    <n v="43.099999999999994"/>
    <n v="41.849999999999994"/>
    <n v="1"/>
    <s v="Valorisables"/>
    <x v="0"/>
    <n v="0.7"/>
    <n v="0.55000000000000004"/>
    <n v="0.14999999999999991"/>
    <n v="3.5842293906810018E-3"/>
    <m/>
  </r>
  <r>
    <d v="2022-02-16T00:00:00"/>
    <n v="200"/>
    <x v="199"/>
    <x v="13"/>
    <n v="43.099999999999994"/>
    <n v="-2.9002320185614851E-2"/>
    <n v="2"/>
    <s v="Valorisables"/>
    <x v="1"/>
    <n v="0.85"/>
    <n v="0.55000000000000004"/>
    <n v="0.29999999999999993"/>
    <n v="7.1684587813620063E-3"/>
    <m/>
  </r>
  <r>
    <d v="2022-02-16T00:00:00"/>
    <n v="200"/>
    <x v="199"/>
    <x v="13"/>
    <e v="#REF!"/>
    <e v="#REF!"/>
    <n v="3"/>
    <s v="Valorisables"/>
    <x v="2"/>
    <n v="0.8"/>
    <n v="0.55000000000000004"/>
    <n v="0.25"/>
    <n v="5.9737156511350071E-3"/>
    <m/>
  </r>
  <r>
    <d v="2022-02-16T00:00:00"/>
    <n v="200"/>
    <x v="199"/>
    <x v="13"/>
    <e v="#REF!"/>
    <e v="#REF!"/>
    <n v="4"/>
    <s v="Valorisables"/>
    <x v="3"/>
    <m/>
    <m/>
    <n v="0"/>
    <n v="0"/>
    <m/>
  </r>
  <r>
    <d v="2022-02-16T00:00:00"/>
    <n v="200"/>
    <x v="199"/>
    <x v="13"/>
    <e v="#REF!"/>
    <e v="#REF!"/>
    <n v="5"/>
    <s v="Valorisables"/>
    <x v="4"/>
    <m/>
    <m/>
    <n v="0"/>
    <n v="0"/>
    <m/>
  </r>
  <r>
    <d v="2022-02-16T00:00:00"/>
    <n v="200"/>
    <x v="199"/>
    <x v="13"/>
    <e v="#REF!"/>
    <e v="#REF!"/>
    <n v="6"/>
    <s v="Valorisables"/>
    <x v="5"/>
    <m/>
    <m/>
    <n v="0"/>
    <n v="0"/>
    <m/>
  </r>
  <r>
    <d v="2022-02-16T00:00:00"/>
    <n v="200"/>
    <x v="199"/>
    <x v="13"/>
    <e v="#REF!"/>
    <e v="#REF!"/>
    <n v="7"/>
    <s v="Valorisables"/>
    <x v="6"/>
    <m/>
    <m/>
    <n v="0"/>
    <n v="0"/>
    <m/>
  </r>
  <r>
    <d v="2022-02-16T00:00:00"/>
    <n v="200"/>
    <x v="199"/>
    <x v="13"/>
    <e v="#REF!"/>
    <e v="#REF!"/>
    <n v="8"/>
    <s v="Valorisables"/>
    <x v="7"/>
    <m/>
    <m/>
    <n v="0"/>
    <n v="0"/>
    <m/>
  </r>
  <r>
    <d v="2022-02-16T00:00:00"/>
    <n v="200"/>
    <x v="199"/>
    <x v="13"/>
    <e v="#REF!"/>
    <e v="#REF!"/>
    <n v="9"/>
    <s v="Valorisables"/>
    <x v="8"/>
    <n v="61.2"/>
    <n v="25.650000000000002"/>
    <n v="35.549999999999997"/>
    <n v="0.84946236559139787"/>
    <m/>
  </r>
  <r>
    <d v="2022-02-16T00:00:00"/>
    <n v="200"/>
    <x v="199"/>
    <x v="13"/>
    <e v="#REF!"/>
    <e v="#REF!"/>
    <n v="10"/>
    <s v="Valorisables"/>
    <x v="9"/>
    <n v="1.35"/>
    <n v="0.55000000000000004"/>
    <n v="0.8"/>
    <n v="1.9115890083632021E-2"/>
    <m/>
  </r>
  <r>
    <d v="2022-02-16T00:00:00"/>
    <n v="200"/>
    <x v="199"/>
    <x v="13"/>
    <e v="#REF!"/>
    <e v="#REF!"/>
    <n v="11"/>
    <s v="Valorisables"/>
    <x v="10"/>
    <n v="0.95"/>
    <n v="0.55000000000000004"/>
    <n v="0.39999999999999991"/>
    <n v="9.557945041816009E-3"/>
    <m/>
  </r>
  <r>
    <d v="2022-02-16T00:00:00"/>
    <n v="200"/>
    <x v="199"/>
    <x v="13"/>
    <e v="#REF!"/>
    <e v="#REF!"/>
    <n v="12"/>
    <s v="Refus"/>
    <x v="11"/>
    <n v="12.95"/>
    <n v="8.5500000000000007"/>
    <n v="4.3999999999999986"/>
    <n v="0.10513739545997608"/>
    <m/>
  </r>
  <r>
    <d v="2022-02-16T00:00:00"/>
    <n v="201"/>
    <x v="200"/>
    <x v="13"/>
    <n v="45.3"/>
    <n v="44.849999999999994"/>
    <n v="1"/>
    <s v="Valorisables"/>
    <x v="0"/>
    <n v="0.6"/>
    <n v="0.55000000000000004"/>
    <n v="4.9999999999999933E-2"/>
    <n v="1.1148272017837222E-3"/>
    <m/>
  </r>
  <r>
    <d v="2022-02-16T00:00:00"/>
    <n v="201"/>
    <x v="200"/>
    <x v="13"/>
    <n v="45.3"/>
    <n v="-9.933774834437149E-3"/>
    <n v="2"/>
    <s v="Valorisables"/>
    <x v="1"/>
    <n v="0.8"/>
    <n v="0.55000000000000004"/>
    <n v="0.25"/>
    <n v="5.5741360089186179E-3"/>
    <m/>
  </r>
  <r>
    <d v="2022-02-16T00:00:00"/>
    <n v="201"/>
    <x v="200"/>
    <x v="13"/>
    <e v="#REF!"/>
    <e v="#REF!"/>
    <n v="3"/>
    <s v="Valorisables"/>
    <x v="2"/>
    <m/>
    <m/>
    <n v="0"/>
    <n v="0"/>
    <m/>
  </r>
  <r>
    <d v="2022-02-16T00:00:00"/>
    <n v="201"/>
    <x v="200"/>
    <x v="13"/>
    <e v="#REF!"/>
    <e v="#REF!"/>
    <n v="4"/>
    <s v="Valorisables"/>
    <x v="3"/>
    <n v="0.6"/>
    <n v="0.55000000000000004"/>
    <n v="4.9999999999999933E-2"/>
    <n v="1.1148272017837222E-3"/>
    <m/>
  </r>
  <r>
    <d v="2022-02-16T00:00:00"/>
    <n v="201"/>
    <x v="200"/>
    <x v="13"/>
    <e v="#REF!"/>
    <e v="#REF!"/>
    <n v="5"/>
    <s v="Valorisables"/>
    <x v="4"/>
    <n v="0.7"/>
    <n v="0.5"/>
    <n v="0.19999999999999996"/>
    <n v="4.459308807134894E-3"/>
    <m/>
  </r>
  <r>
    <d v="2022-02-16T00:00:00"/>
    <n v="201"/>
    <x v="200"/>
    <x v="13"/>
    <e v="#REF!"/>
    <e v="#REF!"/>
    <n v="6"/>
    <s v="Valorisables"/>
    <x v="5"/>
    <m/>
    <m/>
    <n v="0"/>
    <n v="0"/>
    <m/>
  </r>
  <r>
    <d v="2022-02-16T00:00:00"/>
    <n v="201"/>
    <x v="200"/>
    <x v="13"/>
    <e v="#REF!"/>
    <e v="#REF!"/>
    <n v="7"/>
    <s v="Valorisables"/>
    <x v="6"/>
    <m/>
    <m/>
    <n v="0"/>
    <n v="0"/>
    <m/>
  </r>
  <r>
    <d v="2022-02-16T00:00:00"/>
    <n v="201"/>
    <x v="200"/>
    <x v="13"/>
    <e v="#REF!"/>
    <e v="#REF!"/>
    <n v="8"/>
    <s v="Valorisables"/>
    <x v="7"/>
    <n v="0.9"/>
    <n v="0.55000000000000004"/>
    <n v="0.35"/>
    <n v="7.803790412486065E-3"/>
    <m/>
  </r>
  <r>
    <d v="2022-02-16T00:00:00"/>
    <n v="201"/>
    <x v="200"/>
    <x v="13"/>
    <e v="#REF!"/>
    <e v="#REF!"/>
    <n v="9"/>
    <s v="Valorisables"/>
    <x v="8"/>
    <n v="73.25"/>
    <n v="33.900000000000006"/>
    <n v="39.349999999999994"/>
    <n v="0.87736900780379035"/>
    <m/>
  </r>
  <r>
    <d v="2022-02-16T00:00:00"/>
    <n v="201"/>
    <x v="200"/>
    <x v="13"/>
    <e v="#REF!"/>
    <e v="#REF!"/>
    <n v="10"/>
    <s v="Valorisables"/>
    <x v="9"/>
    <n v="1.1499999999999999"/>
    <n v="0.5"/>
    <n v="0.64999999999999991"/>
    <n v="1.4492753623188406E-2"/>
    <m/>
  </r>
  <r>
    <d v="2022-02-16T00:00:00"/>
    <n v="201"/>
    <x v="200"/>
    <x v="13"/>
    <e v="#REF!"/>
    <e v="#REF!"/>
    <n v="11"/>
    <s v="Valorisables"/>
    <x v="10"/>
    <n v="0.9"/>
    <n v="0.55000000000000004"/>
    <n v="0.35"/>
    <n v="7.803790412486065E-3"/>
    <m/>
  </r>
  <r>
    <d v="2022-02-16T00:00:00"/>
    <n v="201"/>
    <x v="200"/>
    <x v="13"/>
    <e v="#REF!"/>
    <e v="#REF!"/>
    <n v="12"/>
    <s v="Refus"/>
    <x v="11"/>
    <n v="12.15"/>
    <n v="8.5500000000000007"/>
    <n v="3.5999999999999996"/>
    <n v="8.0267558528428096E-2"/>
    <m/>
  </r>
  <r>
    <d v="2022-02-17T00:00:00"/>
    <n v="202"/>
    <x v="201"/>
    <x v="30"/>
    <n v="39.199999999999996"/>
    <n v="38.999999999999993"/>
    <n v="1"/>
    <s v="Valorisables"/>
    <x v="0"/>
    <n v="41.15"/>
    <n v="25.650000000000002"/>
    <n v="15.499999999999996"/>
    <n v="0.39743589743589741"/>
    <m/>
  </r>
  <r>
    <d v="2022-02-17T00:00:00"/>
    <n v="202"/>
    <x v="201"/>
    <x v="30"/>
    <n v="39.199999999999996"/>
    <n v="-5.1020408163266039E-3"/>
    <n v="2"/>
    <s v="Valorisables"/>
    <x v="1"/>
    <n v="42.55"/>
    <n v="25.55"/>
    <n v="16.999999999999996"/>
    <n v="0.4358974358974359"/>
    <m/>
  </r>
  <r>
    <d v="2022-02-17T00:00:00"/>
    <n v="202"/>
    <x v="201"/>
    <x v="30"/>
    <e v="#REF!"/>
    <e v="#REF!"/>
    <n v="3"/>
    <s v="Valorisables"/>
    <x v="2"/>
    <n v="11.55"/>
    <n v="9.1000000000000014"/>
    <n v="2.4499999999999993"/>
    <n v="6.2820512820512819E-2"/>
    <m/>
  </r>
  <r>
    <d v="2022-02-17T00:00:00"/>
    <n v="202"/>
    <x v="201"/>
    <x v="30"/>
    <e v="#REF!"/>
    <e v="#REF!"/>
    <n v="4"/>
    <s v="Valorisables"/>
    <x v="3"/>
    <n v="0.7"/>
    <n v="0.5"/>
    <n v="0.19999999999999996"/>
    <n v="5.1282051282051282E-3"/>
    <m/>
  </r>
  <r>
    <d v="2022-02-17T00:00:00"/>
    <n v="202"/>
    <x v="201"/>
    <x v="30"/>
    <e v="#REF!"/>
    <e v="#REF!"/>
    <n v="5"/>
    <s v="Valorisables"/>
    <x v="4"/>
    <n v="0.75"/>
    <n v="0.55000000000000004"/>
    <n v="0.19999999999999996"/>
    <n v="5.1282051282051282E-3"/>
    <m/>
  </r>
  <r>
    <d v="2022-02-17T00:00:00"/>
    <n v="202"/>
    <x v="201"/>
    <x v="30"/>
    <e v="#REF!"/>
    <e v="#REF!"/>
    <n v="6"/>
    <s v="Valorisables"/>
    <x v="5"/>
    <m/>
    <m/>
    <n v="0"/>
    <n v="0"/>
    <m/>
  </r>
  <r>
    <d v="2022-02-17T00:00:00"/>
    <n v="202"/>
    <x v="201"/>
    <x v="30"/>
    <e v="#REF!"/>
    <e v="#REF!"/>
    <n v="7"/>
    <s v="Valorisables"/>
    <x v="6"/>
    <m/>
    <m/>
    <n v="0"/>
    <n v="0"/>
    <m/>
  </r>
  <r>
    <d v="2022-02-17T00:00:00"/>
    <n v="202"/>
    <x v="201"/>
    <x v="30"/>
    <e v="#REF!"/>
    <e v="#REF!"/>
    <n v="8"/>
    <s v="Valorisables"/>
    <x v="7"/>
    <n v="0.9"/>
    <n v="0.55000000000000004"/>
    <n v="0.35"/>
    <n v="8.9743589743589754E-3"/>
    <m/>
  </r>
  <r>
    <d v="2022-02-17T00:00:00"/>
    <n v="202"/>
    <x v="201"/>
    <x v="30"/>
    <e v="#REF!"/>
    <e v="#REF!"/>
    <n v="9"/>
    <s v="Valorisables"/>
    <x v="8"/>
    <m/>
    <m/>
    <n v="0"/>
    <n v="0"/>
    <m/>
  </r>
  <r>
    <d v="2022-02-17T00:00:00"/>
    <n v="202"/>
    <x v="201"/>
    <x v="30"/>
    <e v="#REF!"/>
    <e v="#REF!"/>
    <n v="10"/>
    <s v="Valorisables"/>
    <x v="9"/>
    <n v="1.4"/>
    <n v="0.55000000000000004"/>
    <n v="0.84999999999999987"/>
    <n v="2.1794871794871794E-2"/>
    <m/>
  </r>
  <r>
    <d v="2022-02-17T00:00:00"/>
    <n v="202"/>
    <x v="201"/>
    <x v="30"/>
    <e v="#REF!"/>
    <e v="#REF!"/>
    <n v="11"/>
    <s v="Valorisables"/>
    <x v="10"/>
    <n v="0.85"/>
    <n v="0.55000000000000004"/>
    <n v="0.29999999999999993"/>
    <n v="7.6923076923076919E-3"/>
    <m/>
  </r>
  <r>
    <d v="2022-02-17T00:00:00"/>
    <n v="202"/>
    <x v="201"/>
    <x v="30"/>
    <e v="#REF!"/>
    <e v="#REF!"/>
    <n v="12"/>
    <s v="Refus"/>
    <x v="11"/>
    <n v="10.7"/>
    <n v="8.5500000000000007"/>
    <n v="2.1499999999999986"/>
    <n v="5.5128205128205099E-2"/>
    <m/>
  </r>
  <r>
    <d v="2022-02-17T00:00:00"/>
    <n v="203"/>
    <x v="202"/>
    <x v="33"/>
    <n v="30.8"/>
    <n v="31.249999999999993"/>
    <n v="1"/>
    <s v="Valorisables"/>
    <x v="0"/>
    <n v="81.849999999999994"/>
    <n v="51"/>
    <n v="30.849999999999994"/>
    <n v="0.98720000000000008"/>
    <m/>
  </r>
  <r>
    <d v="2022-02-17T00:00:00"/>
    <n v="203"/>
    <x v="202"/>
    <x v="33"/>
    <n v="30.8"/>
    <n v="1.4610389610389357E-2"/>
    <n v="2"/>
    <s v="Valorisables"/>
    <x v="1"/>
    <n v="0.7"/>
    <n v="0.55000000000000004"/>
    <n v="0.14999999999999991"/>
    <n v="4.7999999999999978E-3"/>
    <m/>
  </r>
  <r>
    <d v="2022-02-17T00:00:00"/>
    <n v="203"/>
    <x v="202"/>
    <x v="33"/>
    <e v="#REF!"/>
    <e v="#REF!"/>
    <n v="3"/>
    <s v="Valorisables"/>
    <x v="2"/>
    <m/>
    <m/>
    <n v="0"/>
    <n v="0"/>
    <m/>
  </r>
  <r>
    <d v="2022-02-17T00:00:00"/>
    <n v="203"/>
    <x v="202"/>
    <x v="33"/>
    <e v="#REF!"/>
    <e v="#REF!"/>
    <n v="4"/>
    <s v="Valorisables"/>
    <x v="3"/>
    <m/>
    <m/>
    <n v="0"/>
    <n v="0"/>
    <m/>
  </r>
  <r>
    <d v="2022-02-17T00:00:00"/>
    <n v="203"/>
    <x v="202"/>
    <x v="33"/>
    <e v="#REF!"/>
    <e v="#REF!"/>
    <n v="5"/>
    <s v="Valorisables"/>
    <x v="4"/>
    <m/>
    <m/>
    <n v="0"/>
    <n v="0"/>
    <m/>
  </r>
  <r>
    <d v="2022-02-17T00:00:00"/>
    <n v="203"/>
    <x v="202"/>
    <x v="33"/>
    <e v="#REF!"/>
    <e v="#REF!"/>
    <n v="6"/>
    <s v="Valorisables"/>
    <x v="5"/>
    <m/>
    <m/>
    <n v="0"/>
    <n v="0"/>
    <m/>
  </r>
  <r>
    <d v="2022-02-17T00:00:00"/>
    <n v="203"/>
    <x v="202"/>
    <x v="33"/>
    <e v="#REF!"/>
    <e v="#REF!"/>
    <n v="7"/>
    <s v="Valorisables"/>
    <x v="6"/>
    <m/>
    <m/>
    <n v="0"/>
    <n v="0"/>
    <m/>
  </r>
  <r>
    <d v="2022-02-17T00:00:00"/>
    <n v="203"/>
    <x v="202"/>
    <x v="33"/>
    <e v="#REF!"/>
    <e v="#REF!"/>
    <n v="8"/>
    <s v="Valorisables"/>
    <x v="7"/>
    <m/>
    <m/>
    <n v="0"/>
    <n v="0"/>
    <m/>
  </r>
  <r>
    <d v="2022-02-17T00:00:00"/>
    <n v="203"/>
    <x v="202"/>
    <x v="33"/>
    <e v="#REF!"/>
    <e v="#REF!"/>
    <n v="9"/>
    <s v="Valorisables"/>
    <x v="8"/>
    <m/>
    <m/>
    <n v="0"/>
    <n v="0"/>
    <m/>
  </r>
  <r>
    <d v="2022-02-17T00:00:00"/>
    <n v="203"/>
    <x v="202"/>
    <x v="33"/>
    <e v="#REF!"/>
    <e v="#REF!"/>
    <n v="10"/>
    <s v="Valorisables"/>
    <x v="9"/>
    <m/>
    <m/>
    <n v="0"/>
    <n v="0"/>
    <m/>
  </r>
  <r>
    <d v="2022-02-17T00:00:00"/>
    <n v="203"/>
    <x v="202"/>
    <x v="33"/>
    <e v="#REF!"/>
    <e v="#REF!"/>
    <n v="11"/>
    <s v="Valorisables"/>
    <x v="10"/>
    <n v="0.6"/>
    <n v="0.55000000000000004"/>
    <n v="4.9999999999999933E-2"/>
    <n v="1.5999999999999981E-3"/>
    <m/>
  </r>
  <r>
    <d v="2022-02-17T00:00:00"/>
    <n v="203"/>
    <x v="202"/>
    <x v="33"/>
    <e v="#REF!"/>
    <e v="#REF!"/>
    <n v="12"/>
    <s v="Refus"/>
    <x v="11"/>
    <n v="0.75"/>
    <n v="0.55000000000000004"/>
    <n v="0.19999999999999996"/>
    <n v="6.4000000000000003E-3"/>
    <m/>
  </r>
  <r>
    <d v="2022-02-17T00:00:00"/>
    <n v="204"/>
    <x v="203"/>
    <x v="27"/>
    <n v="37.799999999999997"/>
    <n v="37.400000000000006"/>
    <n v="1"/>
    <s v="Valorisables"/>
    <x v="0"/>
    <n v="11"/>
    <n v="8.5500000000000007"/>
    <n v="2.4499999999999993"/>
    <n v="6.5508021390374302E-2"/>
    <m/>
  </r>
  <r>
    <d v="2022-02-17T00:00:00"/>
    <n v="204"/>
    <x v="203"/>
    <x v="27"/>
    <n v="37.799999999999997"/>
    <n v="-1.0582010582010358E-2"/>
    <n v="2"/>
    <s v="Valorisables"/>
    <x v="1"/>
    <n v="10.9"/>
    <n v="8.5"/>
    <n v="2.4000000000000004"/>
    <n v="6.4171122994652413E-2"/>
    <m/>
  </r>
  <r>
    <d v="2022-02-17T00:00:00"/>
    <n v="204"/>
    <x v="203"/>
    <x v="27"/>
    <e v="#REF!"/>
    <e v="#REF!"/>
    <n v="3"/>
    <s v="Valorisables"/>
    <x v="2"/>
    <n v="13.35"/>
    <n v="8.5500000000000007"/>
    <n v="4.7999999999999989"/>
    <n v="0.12834224598930477"/>
    <m/>
  </r>
  <r>
    <d v="2022-02-17T00:00:00"/>
    <n v="204"/>
    <x v="203"/>
    <x v="27"/>
    <e v="#REF!"/>
    <e v="#REF!"/>
    <n v="4"/>
    <s v="Valorisables"/>
    <x v="3"/>
    <n v="0.65"/>
    <n v="0.55000000000000004"/>
    <n v="9.9999999999999978E-2"/>
    <n v="2.6737967914438492E-3"/>
    <m/>
  </r>
  <r>
    <d v="2022-02-17T00:00:00"/>
    <n v="204"/>
    <x v="203"/>
    <x v="27"/>
    <e v="#REF!"/>
    <e v="#REF!"/>
    <n v="5"/>
    <s v="Valorisables"/>
    <x v="4"/>
    <n v="1.3"/>
    <n v="0.5"/>
    <n v="0.8"/>
    <n v="2.1390374331550801E-2"/>
    <m/>
  </r>
  <r>
    <d v="2022-02-17T00:00:00"/>
    <n v="204"/>
    <x v="203"/>
    <x v="27"/>
    <e v="#REF!"/>
    <e v="#REF!"/>
    <n v="6"/>
    <s v="Valorisables"/>
    <x v="5"/>
    <m/>
    <m/>
    <n v="0"/>
    <n v="0"/>
    <m/>
  </r>
  <r>
    <d v="2022-02-17T00:00:00"/>
    <n v="204"/>
    <x v="203"/>
    <x v="27"/>
    <e v="#REF!"/>
    <e v="#REF!"/>
    <n v="7"/>
    <s v="Valorisables"/>
    <x v="6"/>
    <m/>
    <m/>
    <n v="0"/>
    <n v="0"/>
    <m/>
  </r>
  <r>
    <d v="2022-02-17T00:00:00"/>
    <n v="204"/>
    <x v="203"/>
    <x v="27"/>
    <e v="#REF!"/>
    <e v="#REF!"/>
    <n v="8"/>
    <s v="Valorisables"/>
    <x v="7"/>
    <n v="16.350000000000001"/>
    <n v="8.5500000000000007"/>
    <n v="7.8000000000000007"/>
    <n v="0.20855614973262032"/>
    <m/>
  </r>
  <r>
    <d v="2022-02-17T00:00:00"/>
    <n v="204"/>
    <x v="203"/>
    <x v="27"/>
    <e v="#REF!"/>
    <e v="#REF!"/>
    <n v="9"/>
    <s v="Valorisables"/>
    <x v="8"/>
    <m/>
    <m/>
    <n v="0"/>
    <n v="0"/>
    <m/>
  </r>
  <r>
    <d v="2022-02-17T00:00:00"/>
    <n v="204"/>
    <x v="203"/>
    <x v="27"/>
    <e v="#REF!"/>
    <e v="#REF!"/>
    <n v="10"/>
    <s v="Valorisables"/>
    <x v="9"/>
    <n v="13.15"/>
    <n v="8.5500000000000007"/>
    <n v="4.5999999999999996"/>
    <n v="0.12299465240641709"/>
    <m/>
  </r>
  <r>
    <d v="2022-02-17T00:00:00"/>
    <n v="204"/>
    <x v="203"/>
    <x v="27"/>
    <e v="#REF!"/>
    <e v="#REF!"/>
    <n v="11"/>
    <s v="Valorisables"/>
    <x v="10"/>
    <n v="1.1499999999999999"/>
    <n v="0.55000000000000004"/>
    <n v="0.59999999999999987"/>
    <n v="1.6042780748663096E-2"/>
    <m/>
  </r>
  <r>
    <d v="2022-02-17T00:00:00"/>
    <n v="204"/>
    <x v="203"/>
    <x v="27"/>
    <e v="#REF!"/>
    <e v="#REF!"/>
    <n v="12"/>
    <s v="Refus"/>
    <x v="11"/>
    <n v="30.950000000000003"/>
    <n v="17.100000000000001"/>
    <n v="13.850000000000001"/>
    <n v="0.37032085561497324"/>
    <m/>
  </r>
  <r>
    <d v="2022-02-17T00:00:00"/>
    <n v="205"/>
    <x v="204"/>
    <x v="29"/>
    <n v="17.400000000000002"/>
    <n v="15.749999999999998"/>
    <n v="1"/>
    <s v="Valorisables"/>
    <x v="0"/>
    <n v="10.4"/>
    <n v="8.5"/>
    <n v="1.9000000000000004"/>
    <n v="0.23750000000000004"/>
    <m/>
  </r>
  <r>
    <d v="2022-02-17T00:00:00"/>
    <n v="205"/>
    <x v="204"/>
    <x v="29"/>
    <n v="17.400000000000002"/>
    <n v="-9.4827586206896769E-2"/>
    <n v="2"/>
    <s v="Valorisables"/>
    <x v="1"/>
    <n v="10.3"/>
    <n v="8.5500000000000007"/>
    <n v="1.75"/>
    <n v="0.21875"/>
    <m/>
  </r>
  <r>
    <d v="2022-02-17T00:00:00"/>
    <n v="205"/>
    <x v="204"/>
    <x v="29"/>
    <e v="#REF!"/>
    <e v="#REF!"/>
    <n v="3"/>
    <s v="Valorisables"/>
    <x v="2"/>
    <n v="12.9"/>
    <n v="8.5500000000000007"/>
    <n v="4.3499999999999996"/>
    <n v="0.54374999999999996"/>
    <m/>
  </r>
  <r>
    <d v="2022-02-17T00:00:00"/>
    <n v="205"/>
    <x v="144"/>
    <x v="29"/>
    <e v="#REF!"/>
    <e v="#REF!"/>
    <n v="4"/>
    <s v="Valorisables"/>
    <x v="3"/>
    <n v="0.7"/>
    <n v="0.5"/>
    <n v="0.19999999999999996"/>
    <n v="9.5693779904306199E-3"/>
    <m/>
  </r>
  <r>
    <d v="2022-02-17T00:00:00"/>
    <n v="205"/>
    <x v="144"/>
    <x v="29"/>
    <e v="#REF!"/>
    <e v="#REF!"/>
    <n v="5"/>
    <s v="Valorisables"/>
    <x v="4"/>
    <n v="0.6"/>
    <n v="0.55000000000000004"/>
    <n v="4.9999999999999933E-2"/>
    <n v="2.3923444976076524E-3"/>
    <m/>
  </r>
  <r>
    <d v="2022-02-17T00:00:00"/>
    <n v="205"/>
    <x v="144"/>
    <x v="29"/>
    <e v="#REF!"/>
    <e v="#REF!"/>
    <n v="6"/>
    <s v="Valorisables"/>
    <x v="5"/>
    <m/>
    <m/>
    <n v="0"/>
    <n v="0"/>
    <m/>
  </r>
  <r>
    <d v="2022-02-17T00:00:00"/>
    <n v="205"/>
    <x v="144"/>
    <x v="29"/>
    <e v="#REF!"/>
    <e v="#REF!"/>
    <n v="7"/>
    <s v="Valorisables"/>
    <x v="6"/>
    <m/>
    <m/>
    <n v="0"/>
    <n v="0"/>
    <m/>
  </r>
  <r>
    <d v="2022-02-17T00:00:00"/>
    <n v="205"/>
    <x v="144"/>
    <x v="29"/>
    <e v="#REF!"/>
    <e v="#REF!"/>
    <n v="8"/>
    <s v="Valorisables"/>
    <x v="7"/>
    <n v="1.2"/>
    <n v="0.5"/>
    <n v="0.7"/>
    <n v="3.3492822966507178E-2"/>
    <m/>
  </r>
  <r>
    <d v="2022-02-17T00:00:00"/>
    <n v="205"/>
    <x v="144"/>
    <x v="29"/>
    <e v="#REF!"/>
    <e v="#REF!"/>
    <n v="9"/>
    <s v="Valorisables"/>
    <x v="8"/>
    <m/>
    <m/>
    <n v="0"/>
    <n v="0"/>
    <m/>
  </r>
  <r>
    <d v="2022-02-17T00:00:00"/>
    <n v="205"/>
    <x v="144"/>
    <x v="29"/>
    <e v="#REF!"/>
    <e v="#REF!"/>
    <n v="10"/>
    <s v="Valorisables"/>
    <x v="9"/>
    <n v="1.95"/>
    <n v="0.55000000000000004"/>
    <n v="1.4"/>
    <n v="6.6985645933014357E-2"/>
    <m/>
  </r>
  <r>
    <d v="2022-02-17T00:00:00"/>
    <n v="205"/>
    <x v="144"/>
    <x v="29"/>
    <e v="#REF!"/>
    <e v="#REF!"/>
    <n v="11"/>
    <s v="Valorisables"/>
    <x v="10"/>
    <n v="9.6999999999999993"/>
    <n v="8.5500000000000007"/>
    <n v="1.1499999999999986"/>
    <n v="5.502392344497601E-2"/>
    <m/>
  </r>
  <r>
    <d v="2022-02-17T00:00:00"/>
    <n v="205"/>
    <x v="144"/>
    <x v="29"/>
    <e v="#REF!"/>
    <e v="#REF!"/>
    <n v="12"/>
    <s v="Refus"/>
    <x v="11"/>
    <n v="21.35"/>
    <n v="17.100000000000001"/>
    <n v="4.25"/>
    <n v="0.20334928229665072"/>
    <m/>
  </r>
  <r>
    <d v="2022-02-17T00:00:00"/>
    <n v="206"/>
    <x v="205"/>
    <x v="32"/>
    <n v="20.6"/>
    <n v="20.5"/>
    <n v="1"/>
    <s v="Valorisables"/>
    <x v="0"/>
    <n v="0.95"/>
    <n v="0.55000000000000004"/>
    <n v="0.39999999999999991"/>
    <n v="1.9512195121951216E-2"/>
    <m/>
  </r>
  <r>
    <d v="2022-02-17T00:00:00"/>
    <n v="206"/>
    <x v="205"/>
    <x v="32"/>
    <n v="20.6"/>
    <n v="-4.8543689320389039E-3"/>
    <n v="2"/>
    <s v="Valorisables"/>
    <x v="1"/>
    <n v="1.05"/>
    <n v="0.55000000000000004"/>
    <n v="0.5"/>
    <n v="2.4390243902439025E-2"/>
    <m/>
  </r>
  <r>
    <d v="2022-02-17T00:00:00"/>
    <n v="206"/>
    <x v="205"/>
    <x v="32"/>
    <e v="#REF!"/>
    <e v="#REF!"/>
    <n v="3"/>
    <s v="Valorisables"/>
    <x v="2"/>
    <n v="11.25"/>
    <n v="8.5500000000000007"/>
    <n v="2.6999999999999993"/>
    <n v="0.13170731707317071"/>
    <m/>
  </r>
  <r>
    <d v="2022-02-17T00:00:00"/>
    <n v="206"/>
    <x v="205"/>
    <x v="32"/>
    <e v="#REF!"/>
    <e v="#REF!"/>
    <n v="4"/>
    <s v="Valorisables"/>
    <x v="3"/>
    <n v="0.95"/>
    <n v="0.55000000000000004"/>
    <n v="0.39999999999999991"/>
    <n v="1.9512195121951216E-2"/>
    <m/>
  </r>
  <r>
    <d v="2022-02-17T00:00:00"/>
    <n v="206"/>
    <x v="205"/>
    <x v="32"/>
    <e v="#REF!"/>
    <e v="#REF!"/>
    <n v="5"/>
    <s v="Valorisables"/>
    <x v="4"/>
    <n v="1.55"/>
    <n v="0.5"/>
    <n v="1.05"/>
    <n v="5.1219512195121955E-2"/>
    <m/>
  </r>
  <r>
    <d v="2022-02-17T00:00:00"/>
    <n v="206"/>
    <x v="205"/>
    <x v="32"/>
    <e v="#REF!"/>
    <e v="#REF!"/>
    <n v="6"/>
    <s v="Valorisables"/>
    <x v="5"/>
    <m/>
    <m/>
    <n v="0"/>
    <n v="0"/>
    <m/>
  </r>
  <r>
    <d v="2022-02-17T00:00:00"/>
    <n v="206"/>
    <x v="205"/>
    <x v="32"/>
    <e v="#REF!"/>
    <e v="#REF!"/>
    <n v="7"/>
    <s v="Valorisables"/>
    <x v="6"/>
    <m/>
    <m/>
    <n v="0"/>
    <n v="0"/>
    <m/>
  </r>
  <r>
    <d v="2022-02-17T00:00:00"/>
    <n v="206"/>
    <x v="205"/>
    <x v="32"/>
    <e v="#REF!"/>
    <e v="#REF!"/>
    <n v="8"/>
    <s v="Valorisables"/>
    <x v="7"/>
    <n v="6.25"/>
    <n v="1.1000000000000001"/>
    <n v="5.15"/>
    <n v="0.25121951219512195"/>
    <m/>
  </r>
  <r>
    <d v="2022-02-17T00:00:00"/>
    <n v="206"/>
    <x v="205"/>
    <x v="32"/>
    <e v="#REF!"/>
    <e v="#REF!"/>
    <n v="9"/>
    <s v="Valorisables"/>
    <x v="8"/>
    <m/>
    <m/>
    <n v="0"/>
    <n v="0"/>
    <m/>
  </r>
  <r>
    <d v="2022-02-17T00:00:00"/>
    <n v="206"/>
    <x v="205"/>
    <x v="32"/>
    <e v="#REF!"/>
    <e v="#REF!"/>
    <n v="10"/>
    <s v="Valorisables"/>
    <x v="9"/>
    <n v="13.85"/>
    <n v="8.5500000000000007"/>
    <n v="5.2999999999999989"/>
    <n v="0.25853658536585361"/>
    <m/>
  </r>
  <r>
    <d v="2022-02-17T00:00:00"/>
    <n v="206"/>
    <x v="205"/>
    <x v="32"/>
    <e v="#REF!"/>
    <e v="#REF!"/>
    <n v="11"/>
    <s v="Valorisables"/>
    <x v="10"/>
    <n v="0.75"/>
    <n v="0.55000000000000004"/>
    <n v="0.19999999999999996"/>
    <n v="9.756097560975608E-3"/>
    <m/>
  </r>
  <r>
    <d v="2022-02-17T00:00:00"/>
    <n v="206"/>
    <x v="205"/>
    <x v="32"/>
    <e v="#REF!"/>
    <e v="#REF!"/>
    <n v="12"/>
    <s v="Refus"/>
    <x v="11"/>
    <n v="21.85"/>
    <n v="17.05"/>
    <n v="4.8000000000000007"/>
    <n v="0.23414634146341468"/>
    <m/>
  </r>
  <r>
    <d v="2022-02-17T00:00:00"/>
    <n v="207"/>
    <x v="206"/>
    <x v="31"/>
    <n v="37"/>
    <n v="37"/>
    <n v="1"/>
    <s v="Valorisables"/>
    <x v="0"/>
    <n v="0.9"/>
    <n v="0.55000000000000004"/>
    <n v="0.35"/>
    <n v="9.4594594594594582E-3"/>
    <m/>
  </r>
  <r>
    <d v="2022-02-17T00:00:00"/>
    <n v="207"/>
    <x v="206"/>
    <x v="31"/>
    <n v="37"/>
    <n v="0"/>
    <n v="2"/>
    <s v="Valorisables"/>
    <x v="1"/>
    <n v="10.55"/>
    <n v="8.5500000000000007"/>
    <n v="2"/>
    <n v="5.4054054054054057E-2"/>
    <m/>
  </r>
  <r>
    <d v="2022-02-17T00:00:00"/>
    <n v="207"/>
    <x v="206"/>
    <x v="31"/>
    <e v="#REF!"/>
    <e v="#REF!"/>
    <n v="3"/>
    <s v="Valorisables"/>
    <x v="2"/>
    <n v="77.3"/>
    <n v="51.25"/>
    <n v="26.049999999999997"/>
    <n v="0.70405405405405397"/>
    <m/>
  </r>
  <r>
    <d v="2022-02-17T00:00:00"/>
    <n v="207"/>
    <x v="206"/>
    <x v="31"/>
    <e v="#REF!"/>
    <e v="#REF!"/>
    <n v="4"/>
    <s v="Valorisables"/>
    <x v="3"/>
    <n v="1.5"/>
    <n v="0.55000000000000004"/>
    <n v="0.95"/>
    <n v="2.5675675675675674E-2"/>
    <m/>
  </r>
  <r>
    <d v="2022-02-17T00:00:00"/>
    <n v="207"/>
    <x v="206"/>
    <x v="31"/>
    <e v="#REF!"/>
    <e v="#REF!"/>
    <n v="5"/>
    <s v="Valorisables"/>
    <x v="4"/>
    <n v="0.7"/>
    <n v="0.55000000000000004"/>
    <n v="0.14999999999999991"/>
    <n v="4.0540540540540517E-3"/>
    <m/>
  </r>
  <r>
    <d v="2022-02-17T00:00:00"/>
    <n v="207"/>
    <x v="206"/>
    <x v="31"/>
    <e v="#REF!"/>
    <e v="#REF!"/>
    <n v="6"/>
    <s v="Valorisables"/>
    <x v="5"/>
    <m/>
    <m/>
    <n v="0"/>
    <n v="0"/>
    <m/>
  </r>
  <r>
    <d v="2022-02-17T00:00:00"/>
    <n v="207"/>
    <x v="206"/>
    <x v="31"/>
    <e v="#REF!"/>
    <e v="#REF!"/>
    <n v="7"/>
    <s v="Valorisables"/>
    <x v="6"/>
    <m/>
    <m/>
    <n v="0"/>
    <n v="0"/>
    <m/>
  </r>
  <r>
    <d v="2022-02-17T00:00:00"/>
    <n v="207"/>
    <x v="206"/>
    <x v="31"/>
    <e v="#REF!"/>
    <e v="#REF!"/>
    <n v="8"/>
    <s v="Valorisables"/>
    <x v="7"/>
    <n v="0.9"/>
    <n v="0.55000000000000004"/>
    <n v="0.35"/>
    <n v="9.4594594594594582E-3"/>
    <m/>
  </r>
  <r>
    <d v="2022-02-17T00:00:00"/>
    <n v="207"/>
    <x v="206"/>
    <x v="31"/>
    <e v="#REF!"/>
    <e v="#REF!"/>
    <n v="9"/>
    <s v="Valorisables"/>
    <x v="8"/>
    <m/>
    <m/>
    <n v="0"/>
    <n v="0"/>
    <m/>
  </r>
  <r>
    <d v="2022-02-17T00:00:00"/>
    <n v="207"/>
    <x v="206"/>
    <x v="31"/>
    <e v="#REF!"/>
    <e v="#REF!"/>
    <n v="10"/>
    <s v="Valorisables"/>
    <x v="9"/>
    <n v="1.5"/>
    <n v="0.55000000000000004"/>
    <n v="0.95"/>
    <n v="2.5675675675675674E-2"/>
    <m/>
  </r>
  <r>
    <d v="2022-02-17T00:00:00"/>
    <n v="207"/>
    <x v="206"/>
    <x v="31"/>
    <e v="#REF!"/>
    <e v="#REF!"/>
    <n v="11"/>
    <s v="Valorisables"/>
    <x v="10"/>
    <n v="1.6"/>
    <n v="0.55000000000000004"/>
    <n v="1.05"/>
    <n v="2.837837837837838E-2"/>
    <m/>
  </r>
  <r>
    <d v="2022-02-17T00:00:00"/>
    <n v="207"/>
    <x v="206"/>
    <x v="31"/>
    <e v="#REF!"/>
    <e v="#REF!"/>
    <n v="12"/>
    <s v="Refus"/>
    <x v="11"/>
    <n v="22.25"/>
    <n v="17.100000000000001"/>
    <n v="5.1499999999999986"/>
    <n v="0.13918918918918916"/>
    <m/>
  </r>
  <r>
    <d v="2022-02-17T00:00:00"/>
    <n v="208"/>
    <x v="207"/>
    <x v="28"/>
    <n v="33.599999999999994"/>
    <n v="32.649999999999991"/>
    <n v="1"/>
    <s v="Valorisables"/>
    <x v="0"/>
    <n v="0.7"/>
    <n v="0.55000000000000004"/>
    <n v="0.14999999999999991"/>
    <n v="4.59418070444104E-3"/>
    <m/>
  </r>
  <r>
    <d v="2022-02-17T00:00:00"/>
    <n v="208"/>
    <x v="207"/>
    <x v="28"/>
    <n v="33.599999999999994"/>
    <n v="-2.8273809523809614E-2"/>
    <n v="2"/>
    <s v="Valorisables"/>
    <x v="1"/>
    <n v="1.3"/>
    <n v="0.5"/>
    <n v="0.8"/>
    <n v="2.4502297090352228E-2"/>
    <m/>
  </r>
  <r>
    <d v="2022-02-17T00:00:00"/>
    <n v="208"/>
    <x v="207"/>
    <x v="28"/>
    <e v="#REF!"/>
    <e v="#REF!"/>
    <n v="3"/>
    <s v="Valorisables"/>
    <x v="2"/>
    <n v="21.049999999999997"/>
    <n v="17.100000000000001"/>
    <n v="3.9499999999999957"/>
    <n v="0.12098009188361399"/>
    <m/>
  </r>
  <r>
    <d v="2022-02-17T00:00:00"/>
    <n v="208"/>
    <x v="207"/>
    <x v="28"/>
    <e v="#REF!"/>
    <e v="#REF!"/>
    <n v="4"/>
    <s v="Valorisables"/>
    <x v="3"/>
    <n v="43.6"/>
    <n v="25.400000000000002"/>
    <n v="18.2"/>
    <n v="0.55742725880551314"/>
    <m/>
  </r>
  <r>
    <d v="2022-02-17T00:00:00"/>
    <n v="208"/>
    <x v="207"/>
    <x v="28"/>
    <e v="#REF!"/>
    <e v="#REF!"/>
    <n v="5"/>
    <s v="Valorisables"/>
    <x v="4"/>
    <n v="0.65"/>
    <n v="0.55000000000000004"/>
    <n v="9.9999999999999978E-2"/>
    <n v="3.0627871362940277E-3"/>
    <m/>
  </r>
  <r>
    <d v="2022-02-17T00:00:00"/>
    <n v="208"/>
    <x v="207"/>
    <x v="28"/>
    <e v="#REF!"/>
    <e v="#REF!"/>
    <n v="6"/>
    <s v="Valorisables"/>
    <x v="5"/>
    <m/>
    <m/>
    <n v="0"/>
    <n v="0"/>
    <m/>
  </r>
  <r>
    <d v="2022-02-17T00:00:00"/>
    <n v="208"/>
    <x v="207"/>
    <x v="28"/>
    <e v="#REF!"/>
    <e v="#REF!"/>
    <n v="7"/>
    <s v="Valorisables"/>
    <x v="6"/>
    <m/>
    <m/>
    <n v="0"/>
    <n v="0"/>
    <m/>
  </r>
  <r>
    <d v="2022-02-17T00:00:00"/>
    <n v="208"/>
    <x v="207"/>
    <x v="28"/>
    <e v="#REF!"/>
    <e v="#REF!"/>
    <n v="8"/>
    <s v="Valorisables"/>
    <x v="7"/>
    <n v="2.25"/>
    <n v="0.55000000000000004"/>
    <n v="1.7"/>
    <n v="5.2067381316998479E-2"/>
    <m/>
  </r>
  <r>
    <d v="2022-02-17T00:00:00"/>
    <n v="208"/>
    <x v="207"/>
    <x v="28"/>
    <e v="#REF!"/>
    <e v="#REF!"/>
    <n v="9"/>
    <s v="Valorisables"/>
    <x v="8"/>
    <m/>
    <m/>
    <n v="0"/>
    <n v="0"/>
    <m/>
  </r>
  <r>
    <d v="2022-02-17T00:00:00"/>
    <n v="208"/>
    <x v="207"/>
    <x v="28"/>
    <e v="#REF!"/>
    <e v="#REF!"/>
    <n v="10"/>
    <s v="Valorisables"/>
    <x v="9"/>
    <n v="11.15"/>
    <n v="8.3000000000000007"/>
    <n v="2.8499999999999996"/>
    <n v="8.7289433384379791E-2"/>
    <m/>
  </r>
  <r>
    <d v="2022-02-17T00:00:00"/>
    <n v="208"/>
    <x v="207"/>
    <x v="28"/>
    <e v="#REF!"/>
    <e v="#REF!"/>
    <n v="11"/>
    <s v="Valorisables"/>
    <x v="10"/>
    <m/>
    <m/>
    <n v="0"/>
    <n v="0"/>
    <m/>
  </r>
  <r>
    <d v="2022-02-17T00:00:00"/>
    <n v="208"/>
    <x v="207"/>
    <x v="28"/>
    <e v="#REF!"/>
    <e v="#REF!"/>
    <n v="12"/>
    <s v="Refus"/>
    <x v="11"/>
    <n v="30.55"/>
    <n v="25.650000000000002"/>
    <n v="4.8999999999999986"/>
    <n v="0.15007656967840735"/>
    <m/>
  </r>
  <r>
    <d v="2022-02-17T00:00:00"/>
    <n v="209"/>
    <x v="208"/>
    <x v="25"/>
    <n v="13.600000000000001"/>
    <n v="15.799999999999994"/>
    <n v="1"/>
    <s v="Valorisables"/>
    <x v="0"/>
    <n v="3.05"/>
    <n v="1.1000000000000001"/>
    <n v="1.9499999999999997"/>
    <n v="0.12341772151898737"/>
    <m/>
  </r>
  <r>
    <d v="2022-02-17T00:00:00"/>
    <n v="209"/>
    <x v="208"/>
    <x v="25"/>
    <n v="13.600000000000001"/>
    <n v="0.16176470588235234"/>
    <n v="2"/>
    <s v="Valorisables"/>
    <x v="1"/>
    <n v="10.85"/>
    <n v="8.3000000000000007"/>
    <n v="2.5499999999999989"/>
    <n v="0.16139240506329114"/>
    <m/>
  </r>
  <r>
    <d v="2022-02-17T00:00:00"/>
    <n v="209"/>
    <x v="208"/>
    <x v="25"/>
    <e v="#REF!"/>
    <e v="#REF!"/>
    <n v="3"/>
    <s v="Valorisables"/>
    <x v="2"/>
    <n v="30.15"/>
    <n v="25.650000000000002"/>
    <n v="4.4999999999999964"/>
    <n v="0.28481012658227839"/>
    <m/>
  </r>
  <r>
    <d v="2022-02-17T00:00:00"/>
    <n v="209"/>
    <x v="208"/>
    <x v="25"/>
    <e v="#REF!"/>
    <e v="#REF!"/>
    <n v="4"/>
    <s v="Valorisables"/>
    <x v="3"/>
    <n v="1.8"/>
    <n v="0.55000000000000004"/>
    <n v="1.25"/>
    <n v="7.9113924050632944E-2"/>
    <m/>
  </r>
  <r>
    <d v="2022-02-17T00:00:00"/>
    <n v="209"/>
    <x v="208"/>
    <x v="25"/>
    <e v="#REF!"/>
    <e v="#REF!"/>
    <n v="5"/>
    <s v="Valorisables"/>
    <x v="4"/>
    <n v="0.65"/>
    <n v="0.55000000000000004"/>
    <n v="9.9999999999999978E-2"/>
    <n v="6.3291139240506337E-3"/>
    <m/>
  </r>
  <r>
    <d v="2022-02-17T00:00:00"/>
    <n v="209"/>
    <x v="208"/>
    <x v="25"/>
    <e v="#REF!"/>
    <e v="#REF!"/>
    <n v="6"/>
    <s v="Valorisables"/>
    <x v="5"/>
    <m/>
    <m/>
    <n v="0"/>
    <n v="0"/>
    <m/>
  </r>
  <r>
    <d v="2022-02-17T00:00:00"/>
    <n v="209"/>
    <x v="208"/>
    <x v="25"/>
    <e v="#REF!"/>
    <e v="#REF!"/>
    <n v="7"/>
    <s v="Valorisables"/>
    <x v="6"/>
    <m/>
    <m/>
    <n v="0"/>
    <n v="0"/>
    <m/>
  </r>
  <r>
    <d v="2022-02-17T00:00:00"/>
    <n v="209"/>
    <x v="208"/>
    <x v="25"/>
    <e v="#REF!"/>
    <e v="#REF!"/>
    <n v="8"/>
    <s v="Valorisables"/>
    <x v="7"/>
    <n v="1.55"/>
    <n v="1.1000000000000001"/>
    <n v="0.44999999999999996"/>
    <n v="2.8481012658227858E-2"/>
    <m/>
  </r>
  <r>
    <d v="2022-02-17T00:00:00"/>
    <n v="209"/>
    <x v="208"/>
    <x v="25"/>
    <e v="#REF!"/>
    <e v="#REF!"/>
    <n v="9"/>
    <s v="Valorisables"/>
    <x v="8"/>
    <m/>
    <m/>
    <n v="0"/>
    <n v="0"/>
    <m/>
  </r>
  <r>
    <d v="2022-02-17T00:00:00"/>
    <n v="209"/>
    <x v="208"/>
    <x v="25"/>
    <e v="#REF!"/>
    <e v="#REF!"/>
    <n v="10"/>
    <s v="Valorisables"/>
    <x v="9"/>
    <n v="0.85"/>
    <n v="0.55000000000000004"/>
    <n v="0.29999999999999993"/>
    <n v="1.8987341772151903E-2"/>
    <m/>
  </r>
  <r>
    <d v="2022-02-17T00:00:00"/>
    <n v="209"/>
    <x v="208"/>
    <x v="25"/>
    <e v="#REF!"/>
    <e v="#REF!"/>
    <n v="11"/>
    <s v="Valorisables"/>
    <x v="10"/>
    <n v="10.350000000000001"/>
    <n v="9.0500000000000007"/>
    <n v="1.3000000000000007"/>
    <n v="8.2278481012658305E-2"/>
    <m/>
  </r>
  <r>
    <d v="2022-02-17T00:00:00"/>
    <n v="209"/>
    <x v="208"/>
    <x v="25"/>
    <e v="#REF!"/>
    <e v="#REF!"/>
    <n v="12"/>
    <s v="Refus"/>
    <x v="11"/>
    <n v="29"/>
    <n v="25.6"/>
    <n v="3.3999999999999986"/>
    <n v="0.21518987341772153"/>
    <m/>
  </r>
  <r>
    <d v="2022-02-17T00:00:00"/>
    <n v="210"/>
    <x v="209"/>
    <x v="26"/>
    <n v="33.799999999999997"/>
    <n v="33.199999999999996"/>
    <n v="1"/>
    <s v="Valorisables"/>
    <x v="0"/>
    <n v="0.7"/>
    <n v="0.55000000000000004"/>
    <n v="0.14999999999999991"/>
    <n v="4.5180722891566246E-3"/>
    <m/>
  </r>
  <r>
    <d v="2022-02-17T00:00:00"/>
    <n v="210"/>
    <x v="209"/>
    <x v="26"/>
    <n v="33.799999999999997"/>
    <n v="-1.775147928994087E-2"/>
    <n v="2"/>
    <s v="Valorisables"/>
    <x v="1"/>
    <n v="0.9"/>
    <n v="0.55000000000000004"/>
    <n v="0.35"/>
    <n v="1.0542168674698796E-2"/>
    <m/>
  </r>
  <r>
    <d v="2022-02-17T00:00:00"/>
    <n v="210"/>
    <x v="209"/>
    <x v="26"/>
    <e v="#REF!"/>
    <e v="#REF!"/>
    <n v="3"/>
    <s v="Valorisables"/>
    <x v="2"/>
    <n v="1.1000000000000001"/>
    <n v="0.55000000000000004"/>
    <n v="0.55000000000000004"/>
    <n v="1.6566265060240969E-2"/>
    <m/>
  </r>
  <r>
    <d v="2022-02-17T00:00:00"/>
    <n v="210"/>
    <x v="209"/>
    <x v="26"/>
    <e v="#REF!"/>
    <e v="#REF!"/>
    <n v="4"/>
    <s v="Valorisables"/>
    <x v="3"/>
    <n v="0.75"/>
    <n v="0.55000000000000004"/>
    <n v="0.19999999999999996"/>
    <n v="6.0240963855421681E-3"/>
    <m/>
  </r>
  <r>
    <d v="2022-02-17T00:00:00"/>
    <n v="210"/>
    <x v="209"/>
    <x v="26"/>
    <e v="#REF!"/>
    <e v="#REF!"/>
    <n v="5"/>
    <s v="Valorisables"/>
    <x v="4"/>
    <n v="0.85"/>
    <n v="0.5"/>
    <n v="0.35"/>
    <n v="1.0542168674698796E-2"/>
    <m/>
  </r>
  <r>
    <d v="2022-02-17T00:00:00"/>
    <n v="210"/>
    <x v="209"/>
    <x v="26"/>
    <e v="#REF!"/>
    <e v="#REF!"/>
    <n v="6"/>
    <s v="Valorisables"/>
    <x v="5"/>
    <m/>
    <m/>
    <n v="0"/>
    <n v="0"/>
    <m/>
  </r>
  <r>
    <d v="2022-02-17T00:00:00"/>
    <n v="210"/>
    <x v="209"/>
    <x v="26"/>
    <e v="#REF!"/>
    <e v="#REF!"/>
    <n v="7"/>
    <s v="Valorisables"/>
    <x v="6"/>
    <m/>
    <m/>
    <n v="0"/>
    <n v="0"/>
    <m/>
  </r>
  <r>
    <d v="2022-02-17T00:00:00"/>
    <n v="210"/>
    <x v="209"/>
    <x v="26"/>
    <e v="#REF!"/>
    <e v="#REF!"/>
    <n v="8"/>
    <s v="Valorisables"/>
    <x v="7"/>
    <n v="28.55"/>
    <n v="17.100000000000001"/>
    <n v="11.45"/>
    <n v="0.34487951807228917"/>
    <m/>
  </r>
  <r>
    <d v="2022-02-17T00:00:00"/>
    <n v="210"/>
    <x v="209"/>
    <x v="26"/>
    <e v="#REF!"/>
    <e v="#REF!"/>
    <n v="9"/>
    <s v="Valorisables"/>
    <x v="8"/>
    <m/>
    <m/>
    <n v="0"/>
    <n v="0"/>
    <m/>
  </r>
  <r>
    <d v="2022-02-17T00:00:00"/>
    <n v="210"/>
    <x v="209"/>
    <x v="26"/>
    <e v="#REF!"/>
    <e v="#REF!"/>
    <n v="10"/>
    <s v="Valorisables"/>
    <x v="9"/>
    <n v="42.349999999999994"/>
    <n v="25.650000000000002"/>
    <n v="16.699999999999992"/>
    <n v="0.5030120481927709"/>
    <m/>
  </r>
  <r>
    <d v="2022-02-17T00:00:00"/>
    <n v="210"/>
    <x v="209"/>
    <x v="26"/>
    <e v="#REF!"/>
    <e v="#REF!"/>
    <n v="11"/>
    <s v="Valorisables"/>
    <x v="10"/>
    <n v="0.85"/>
    <n v="0.5"/>
    <n v="0.35"/>
    <n v="1.0542168674698796E-2"/>
    <m/>
  </r>
  <r>
    <d v="2022-02-17T00:00:00"/>
    <n v="210"/>
    <x v="209"/>
    <x v="26"/>
    <e v="#REF!"/>
    <e v="#REF!"/>
    <n v="12"/>
    <s v="Refus"/>
    <x v="11"/>
    <n v="20.200000000000003"/>
    <n v="17.100000000000001"/>
    <n v="3.1000000000000014"/>
    <n v="9.3373493975903665E-2"/>
    <m/>
  </r>
  <r>
    <d v="2022-02-17T00:00:00"/>
    <n v="211"/>
    <x v="210"/>
    <x v="21"/>
    <n v="23.2"/>
    <n v="22.600000000000005"/>
    <n v="1"/>
    <s v="Valorisables"/>
    <x v="0"/>
    <n v="0.6"/>
    <n v="0.55000000000000004"/>
    <n v="4.9999999999999933E-2"/>
    <n v="2.21238938053097E-3"/>
    <m/>
  </r>
  <r>
    <d v="2022-02-17T00:00:00"/>
    <n v="211"/>
    <x v="210"/>
    <x v="21"/>
    <n v="23.2"/>
    <n v="-2.5862068965516998E-2"/>
    <n v="2"/>
    <s v="Valorisables"/>
    <x v="1"/>
    <n v="10.35"/>
    <n v="8.5500000000000007"/>
    <n v="1.7999999999999989"/>
    <n v="7.9646017699114974E-2"/>
    <m/>
  </r>
  <r>
    <d v="2022-02-17T00:00:00"/>
    <n v="211"/>
    <x v="210"/>
    <x v="21"/>
    <e v="#REF!"/>
    <e v="#REF!"/>
    <n v="3"/>
    <s v="Valorisables"/>
    <x v="2"/>
    <n v="1.3"/>
    <n v="0.55000000000000004"/>
    <n v="0.75"/>
    <n v="3.3185840707964598E-2"/>
    <m/>
  </r>
  <r>
    <d v="2022-02-17T00:00:00"/>
    <n v="211"/>
    <x v="210"/>
    <x v="21"/>
    <e v="#REF!"/>
    <e v="#REF!"/>
    <n v="4"/>
    <s v="Valorisables"/>
    <x v="3"/>
    <n v="0.6"/>
    <n v="0.55000000000000004"/>
    <n v="4.9999999999999933E-2"/>
    <n v="2.21238938053097E-3"/>
    <m/>
  </r>
  <r>
    <d v="2022-02-17T00:00:00"/>
    <n v="211"/>
    <x v="210"/>
    <x v="21"/>
    <e v="#REF!"/>
    <e v="#REF!"/>
    <n v="5"/>
    <s v="Valorisables"/>
    <x v="4"/>
    <n v="0.6"/>
    <n v="0.55000000000000004"/>
    <n v="4.9999999999999933E-2"/>
    <n v="2.21238938053097E-3"/>
    <m/>
  </r>
  <r>
    <d v="2022-02-17T00:00:00"/>
    <n v="211"/>
    <x v="210"/>
    <x v="21"/>
    <e v="#REF!"/>
    <e v="#REF!"/>
    <n v="6"/>
    <s v="Valorisables"/>
    <x v="5"/>
    <m/>
    <m/>
    <n v="0"/>
    <n v="0"/>
    <m/>
  </r>
  <r>
    <d v="2022-02-17T00:00:00"/>
    <n v="211"/>
    <x v="210"/>
    <x v="21"/>
    <e v="#REF!"/>
    <e v="#REF!"/>
    <n v="7"/>
    <s v="Valorisables"/>
    <x v="6"/>
    <m/>
    <m/>
    <n v="0"/>
    <n v="0"/>
    <m/>
  </r>
  <r>
    <d v="2022-02-17T00:00:00"/>
    <n v="211"/>
    <x v="210"/>
    <x v="21"/>
    <e v="#REF!"/>
    <e v="#REF!"/>
    <n v="8"/>
    <s v="Valorisables"/>
    <x v="7"/>
    <n v="1"/>
    <n v="0.55000000000000004"/>
    <n v="0.44999999999999996"/>
    <n v="1.9911504424778754E-2"/>
    <m/>
  </r>
  <r>
    <d v="2022-02-17T00:00:00"/>
    <n v="211"/>
    <x v="210"/>
    <x v="21"/>
    <e v="#REF!"/>
    <e v="#REF!"/>
    <n v="9"/>
    <s v="Valorisables"/>
    <x v="8"/>
    <m/>
    <m/>
    <n v="0"/>
    <n v="0"/>
    <m/>
  </r>
  <r>
    <d v="2022-02-17T00:00:00"/>
    <n v="211"/>
    <x v="210"/>
    <x v="21"/>
    <e v="#REF!"/>
    <e v="#REF!"/>
    <n v="10"/>
    <s v="Valorisables"/>
    <x v="9"/>
    <n v="1.1499999999999999"/>
    <n v="0.55000000000000004"/>
    <n v="0.59999999999999987"/>
    <n v="2.6548672566371671E-2"/>
    <m/>
  </r>
  <r>
    <d v="2022-02-17T00:00:00"/>
    <n v="211"/>
    <x v="210"/>
    <x v="21"/>
    <e v="#REF!"/>
    <e v="#REF!"/>
    <n v="11"/>
    <s v="Valorisables"/>
    <x v="10"/>
    <n v="74.7"/>
    <n v="59.599999999999994"/>
    <n v="15.100000000000009"/>
    <n v="0.66814159292035424"/>
    <m/>
  </r>
  <r>
    <d v="2022-02-17T00:00:00"/>
    <n v="211"/>
    <x v="210"/>
    <x v="21"/>
    <e v="#REF!"/>
    <e v="#REF!"/>
    <n v="12"/>
    <s v="Refus"/>
    <x v="11"/>
    <n v="20.799999999999997"/>
    <n v="17.05"/>
    <n v="3.7499999999999964"/>
    <n v="0.16592920353982282"/>
    <m/>
  </r>
  <r>
    <d v="2022-02-18T00:00:00"/>
    <n v="212"/>
    <x v="211"/>
    <x v="23"/>
    <n v="18.8"/>
    <n v="18.540000000000003"/>
    <n v="1"/>
    <s v="Valorisables"/>
    <x v="0"/>
    <n v="51.45"/>
    <n v="33.950000000000003"/>
    <n v="17.5"/>
    <n v="0.9439050701186622"/>
    <m/>
  </r>
  <r>
    <d v="2022-02-18T00:00:00"/>
    <n v="212"/>
    <x v="211"/>
    <x v="23"/>
    <n v="18.8"/>
    <n v="-1.3829787234042447E-2"/>
    <n v="2"/>
    <s v="Valorisables"/>
    <x v="1"/>
    <n v="0.8"/>
    <n v="0.5"/>
    <n v="0.30000000000000004"/>
    <n v="1.6181229773462782E-2"/>
    <m/>
  </r>
  <r>
    <d v="2022-02-18T00:00:00"/>
    <n v="212"/>
    <x v="211"/>
    <x v="23"/>
    <e v="#REF!"/>
    <e v="#REF!"/>
    <n v="3"/>
    <s v="Valorisables"/>
    <x v="2"/>
    <n v="0.6"/>
    <n v="0.55000000000000004"/>
    <n v="4.9999999999999933E-2"/>
    <n v="2.6968716289104597E-3"/>
    <m/>
  </r>
  <r>
    <d v="2022-02-18T00:00:00"/>
    <n v="212"/>
    <x v="211"/>
    <x v="23"/>
    <e v="#REF!"/>
    <e v="#REF!"/>
    <n v="4"/>
    <s v="Valorisables"/>
    <x v="3"/>
    <m/>
    <m/>
    <n v="0"/>
    <n v="0"/>
    <m/>
  </r>
  <r>
    <d v="2022-02-18T00:00:00"/>
    <n v="212"/>
    <x v="211"/>
    <x v="23"/>
    <e v="#REF!"/>
    <e v="#REF!"/>
    <n v="5"/>
    <s v="Valorisables"/>
    <x v="4"/>
    <n v="0.56999999999999995"/>
    <n v="0.55000000000000004"/>
    <n v="1.9999999999999907E-2"/>
    <n v="1.0787486515641805E-3"/>
    <m/>
  </r>
  <r>
    <d v="2022-02-18T00:00:00"/>
    <n v="212"/>
    <x v="211"/>
    <x v="23"/>
    <e v="#REF!"/>
    <e v="#REF!"/>
    <n v="6"/>
    <s v="Valorisables"/>
    <x v="5"/>
    <m/>
    <m/>
    <n v="0"/>
    <n v="0"/>
    <m/>
  </r>
  <r>
    <d v="2022-02-18T00:00:00"/>
    <n v="212"/>
    <x v="211"/>
    <x v="23"/>
    <e v="#REF!"/>
    <e v="#REF!"/>
    <n v="7"/>
    <s v="Valorisables"/>
    <x v="6"/>
    <m/>
    <m/>
    <n v="0"/>
    <n v="0"/>
    <m/>
  </r>
  <r>
    <d v="2022-02-18T00:00:00"/>
    <n v="212"/>
    <x v="211"/>
    <x v="23"/>
    <e v="#REF!"/>
    <e v="#REF!"/>
    <n v="8"/>
    <s v="Valorisables"/>
    <x v="7"/>
    <n v="0.6"/>
    <n v="0.55000000000000004"/>
    <n v="4.9999999999999933E-2"/>
    <n v="2.6968716289104597E-3"/>
    <m/>
  </r>
  <r>
    <d v="2022-02-18T00:00:00"/>
    <n v="212"/>
    <x v="211"/>
    <x v="23"/>
    <e v="#REF!"/>
    <e v="#REF!"/>
    <n v="9"/>
    <s v="Valorisables"/>
    <x v="8"/>
    <m/>
    <m/>
    <n v="0"/>
    <n v="0"/>
    <m/>
  </r>
  <r>
    <d v="2022-02-18T00:00:00"/>
    <n v="212"/>
    <x v="211"/>
    <x v="23"/>
    <e v="#REF!"/>
    <e v="#REF!"/>
    <n v="10"/>
    <s v="Valorisables"/>
    <x v="9"/>
    <n v="0.65"/>
    <n v="0.55000000000000004"/>
    <n v="9.9999999999999978E-2"/>
    <n v="5.3937432578209255E-3"/>
    <m/>
  </r>
  <r>
    <d v="2022-02-18T00:00:00"/>
    <n v="212"/>
    <x v="211"/>
    <x v="23"/>
    <e v="#REF!"/>
    <e v="#REF!"/>
    <n v="11"/>
    <s v="Valorisables"/>
    <x v="10"/>
    <n v="0.56999999999999995"/>
    <n v="0.55000000000000004"/>
    <n v="1.9999999999999907E-2"/>
    <n v="1.0787486515641805E-3"/>
    <m/>
  </r>
  <r>
    <d v="2022-02-18T00:00:00"/>
    <n v="212"/>
    <x v="211"/>
    <x v="23"/>
    <e v="#REF!"/>
    <e v="#REF!"/>
    <n v="12"/>
    <s v="Refus"/>
    <x v="11"/>
    <n v="1.05"/>
    <n v="0.55000000000000004"/>
    <n v="0.5"/>
    <n v="2.6968716289104636E-2"/>
    <m/>
  </r>
  <r>
    <d v="2022-02-18T00:00:00"/>
    <n v="213"/>
    <x v="212"/>
    <x v="22"/>
    <n v="21.2"/>
    <n v="21.049999999999997"/>
    <n v="1"/>
    <s v="Valorisables"/>
    <x v="0"/>
    <n v="0.8"/>
    <n v="0.55000000000000004"/>
    <n v="0.25"/>
    <n v="1.1876484560570073E-2"/>
    <m/>
  </r>
  <r>
    <d v="2022-02-18T00:00:00"/>
    <n v="213"/>
    <x v="212"/>
    <x v="22"/>
    <n v="21.2"/>
    <n v="-7.0754716981133083E-3"/>
    <n v="2"/>
    <s v="Valorisables"/>
    <x v="1"/>
    <n v="2.0499999999999998"/>
    <n v="1.1000000000000001"/>
    <n v="0.94999999999999973"/>
    <n v="4.5130641330166262E-2"/>
    <m/>
  </r>
  <r>
    <d v="2022-02-18T00:00:00"/>
    <n v="213"/>
    <x v="212"/>
    <x v="22"/>
    <e v="#REF!"/>
    <e v="#REF!"/>
    <n v="3"/>
    <s v="Valorisables"/>
    <x v="2"/>
    <n v="26.8"/>
    <n v="17.100000000000001"/>
    <n v="9.6999999999999993"/>
    <n v="0.4608076009501188"/>
    <m/>
  </r>
  <r>
    <d v="2022-02-18T00:00:00"/>
    <n v="213"/>
    <x v="212"/>
    <x v="22"/>
    <e v="#REF!"/>
    <e v="#REF!"/>
    <n v="4"/>
    <s v="Valorisables"/>
    <x v="3"/>
    <n v="4.25"/>
    <n v="1.05"/>
    <n v="3.2"/>
    <n v="0.15201900237529695"/>
    <m/>
  </r>
  <r>
    <d v="2022-02-18T00:00:00"/>
    <n v="213"/>
    <x v="212"/>
    <x v="22"/>
    <e v="#REF!"/>
    <e v="#REF!"/>
    <n v="5"/>
    <s v="Valorisables"/>
    <x v="4"/>
    <n v="0.7"/>
    <n v="0.55000000000000004"/>
    <n v="0.14999999999999991"/>
    <n v="7.1258907363420396E-3"/>
    <m/>
  </r>
  <r>
    <d v="2022-02-18T00:00:00"/>
    <n v="213"/>
    <x v="212"/>
    <x v="22"/>
    <e v="#REF!"/>
    <e v="#REF!"/>
    <n v="6"/>
    <s v="Valorisables"/>
    <x v="5"/>
    <m/>
    <m/>
    <n v="0"/>
    <n v="0"/>
    <m/>
  </r>
  <r>
    <d v="2022-02-18T00:00:00"/>
    <n v="213"/>
    <x v="212"/>
    <x v="22"/>
    <e v="#REF!"/>
    <e v="#REF!"/>
    <n v="7"/>
    <s v="Valorisables"/>
    <x v="6"/>
    <m/>
    <m/>
    <n v="0"/>
    <n v="0"/>
    <m/>
  </r>
  <r>
    <d v="2022-02-18T00:00:00"/>
    <n v="213"/>
    <x v="212"/>
    <x v="22"/>
    <e v="#REF!"/>
    <e v="#REF!"/>
    <n v="8"/>
    <s v="Valorisables"/>
    <x v="7"/>
    <n v="0.95"/>
    <n v="0.55000000000000004"/>
    <n v="0.39999999999999991"/>
    <n v="1.9002375296912111E-2"/>
    <m/>
  </r>
  <r>
    <d v="2022-02-18T00:00:00"/>
    <n v="213"/>
    <x v="212"/>
    <x v="22"/>
    <e v="#REF!"/>
    <e v="#REF!"/>
    <n v="9"/>
    <s v="Valorisables"/>
    <x v="8"/>
    <m/>
    <m/>
    <n v="0"/>
    <n v="0"/>
    <m/>
  </r>
  <r>
    <d v="2022-02-18T00:00:00"/>
    <n v="213"/>
    <x v="212"/>
    <x v="22"/>
    <e v="#REF!"/>
    <e v="#REF!"/>
    <n v="10"/>
    <s v="Valorisables"/>
    <x v="9"/>
    <n v="9.8000000000000007"/>
    <n v="8.5500000000000007"/>
    <n v="1.25"/>
    <n v="5.9382422802850367E-2"/>
    <m/>
  </r>
  <r>
    <d v="2022-02-18T00:00:00"/>
    <n v="213"/>
    <x v="212"/>
    <x v="22"/>
    <e v="#REF!"/>
    <e v="#REF!"/>
    <n v="11"/>
    <s v="Valorisables"/>
    <x v="10"/>
    <n v="2.2999999999999998"/>
    <n v="1.05"/>
    <n v="1.2499999999999998"/>
    <n v="5.9382422802850353E-2"/>
    <m/>
  </r>
  <r>
    <d v="2022-02-18T00:00:00"/>
    <n v="213"/>
    <x v="212"/>
    <x v="22"/>
    <e v="#REF!"/>
    <e v="#REF!"/>
    <n v="12"/>
    <s v="Refus"/>
    <x v="11"/>
    <n v="20.75"/>
    <n v="16.850000000000001"/>
    <n v="3.8999999999999986"/>
    <n v="0.18527315914489306"/>
    <m/>
  </r>
  <r>
    <d v="2022-02-18T00:00:00"/>
    <n v="214"/>
    <x v="213"/>
    <x v="24"/>
    <n v="31.2"/>
    <n v="30.75"/>
    <n v="1"/>
    <s v="Valorisables"/>
    <x v="0"/>
    <n v="14.4"/>
    <n v="8.5500000000000007"/>
    <n v="5.85"/>
    <n v="0.19024390243902436"/>
    <m/>
  </r>
  <r>
    <d v="2022-02-18T00:00:00"/>
    <n v="214"/>
    <x v="213"/>
    <x v="24"/>
    <n v="31.2"/>
    <n v="-1.4423076923076901E-2"/>
    <n v="2"/>
    <s v="Valorisables"/>
    <x v="1"/>
    <n v="15.05"/>
    <n v="8.5500000000000007"/>
    <n v="6.5"/>
    <n v="0.21138211382113822"/>
    <m/>
  </r>
  <r>
    <d v="2022-02-18T00:00:00"/>
    <n v="214"/>
    <x v="213"/>
    <x v="24"/>
    <e v="#REF!"/>
    <e v="#REF!"/>
    <n v="3"/>
    <s v="Valorisables"/>
    <x v="2"/>
    <n v="13.05"/>
    <n v="8.5500000000000007"/>
    <n v="4.5"/>
    <n v="0.14634146341463414"/>
    <m/>
  </r>
  <r>
    <d v="2022-02-18T00:00:00"/>
    <n v="214"/>
    <x v="213"/>
    <x v="24"/>
    <e v="#REF!"/>
    <e v="#REF!"/>
    <n v="4"/>
    <s v="Valorisables"/>
    <x v="3"/>
    <n v="1.25"/>
    <n v="0.55000000000000004"/>
    <n v="0.7"/>
    <n v="2.2764227642276421E-2"/>
    <m/>
  </r>
  <r>
    <d v="2022-02-18T00:00:00"/>
    <n v="214"/>
    <x v="213"/>
    <x v="24"/>
    <e v="#REF!"/>
    <e v="#REF!"/>
    <n v="5"/>
    <s v="Valorisables"/>
    <x v="4"/>
    <n v="1.2"/>
    <n v="0.55000000000000004"/>
    <n v="0.64999999999999991"/>
    <n v="2.1138211382113817E-2"/>
    <m/>
  </r>
  <r>
    <d v="2022-02-18T00:00:00"/>
    <n v="214"/>
    <x v="213"/>
    <x v="24"/>
    <e v="#REF!"/>
    <e v="#REF!"/>
    <n v="6"/>
    <s v="Valorisables"/>
    <x v="5"/>
    <m/>
    <m/>
    <n v="0"/>
    <n v="0"/>
    <m/>
  </r>
  <r>
    <d v="2022-02-18T00:00:00"/>
    <n v="214"/>
    <x v="213"/>
    <x v="24"/>
    <e v="#REF!"/>
    <e v="#REF!"/>
    <n v="7"/>
    <s v="Valorisables"/>
    <x v="6"/>
    <m/>
    <m/>
    <n v="0"/>
    <n v="0"/>
    <m/>
  </r>
  <r>
    <d v="2022-02-18T00:00:00"/>
    <n v="214"/>
    <x v="213"/>
    <x v="24"/>
    <e v="#REF!"/>
    <e v="#REF!"/>
    <n v="8"/>
    <s v="Valorisables"/>
    <x v="7"/>
    <n v="2.7"/>
    <n v="0.55000000000000004"/>
    <n v="2.1500000000000004"/>
    <n v="6.9918699186991881E-2"/>
    <m/>
  </r>
  <r>
    <d v="2022-02-18T00:00:00"/>
    <n v="214"/>
    <x v="213"/>
    <x v="24"/>
    <e v="#REF!"/>
    <e v="#REF!"/>
    <n v="9"/>
    <s v="Valorisables"/>
    <x v="8"/>
    <m/>
    <m/>
    <n v="0"/>
    <n v="0"/>
    <m/>
  </r>
  <r>
    <d v="2022-02-18T00:00:00"/>
    <n v="214"/>
    <x v="213"/>
    <x v="24"/>
    <e v="#REF!"/>
    <e v="#REF!"/>
    <n v="10"/>
    <s v="Valorisables"/>
    <x v="9"/>
    <n v="12.45"/>
    <n v="8.5500000000000007"/>
    <n v="3.8999999999999986"/>
    <n v="0.12682926829268287"/>
    <m/>
  </r>
  <r>
    <d v="2022-02-18T00:00:00"/>
    <n v="214"/>
    <x v="213"/>
    <x v="24"/>
    <e v="#REF!"/>
    <e v="#REF!"/>
    <n v="11"/>
    <s v="Valorisables"/>
    <x v="10"/>
    <n v="9.15"/>
    <n v="8.5500000000000007"/>
    <n v="0.59999999999999964"/>
    <n v="1.9512195121951209E-2"/>
    <m/>
  </r>
  <r>
    <d v="2022-02-18T00:00:00"/>
    <n v="214"/>
    <x v="213"/>
    <x v="24"/>
    <e v="#REF!"/>
    <e v="#REF!"/>
    <n v="12"/>
    <s v="Refus"/>
    <x v="11"/>
    <n v="22.75"/>
    <n v="16.850000000000001"/>
    <n v="5.8999999999999986"/>
    <n v="0.19186991869918696"/>
    <m/>
  </r>
  <r>
    <d v="2022-02-18T00:00:00"/>
    <n v="215"/>
    <x v="214"/>
    <x v="20"/>
    <n v="22.6"/>
    <n v="22.049999999999994"/>
    <n v="1"/>
    <s v="Valorisables"/>
    <x v="0"/>
    <n v="10.75"/>
    <n v="8.5500000000000007"/>
    <n v="2.1999999999999993"/>
    <n v="9.9773242630385478E-2"/>
    <m/>
  </r>
  <r>
    <d v="2022-02-18T00:00:00"/>
    <n v="215"/>
    <x v="214"/>
    <x v="20"/>
    <n v="22.6"/>
    <n v="-2.4336283185841051E-2"/>
    <n v="2"/>
    <s v="Valorisables"/>
    <x v="1"/>
    <n v="21.4"/>
    <n v="17.100000000000001"/>
    <n v="4.2999999999999972"/>
    <n v="0.19501133786848066"/>
    <m/>
  </r>
  <r>
    <d v="2022-02-18T00:00:00"/>
    <n v="215"/>
    <x v="214"/>
    <x v="20"/>
    <e v="#REF!"/>
    <e v="#REF!"/>
    <n v="3"/>
    <s v="Valorisables"/>
    <x v="2"/>
    <n v="10.65"/>
    <n v="8.3000000000000007"/>
    <n v="2.3499999999999996"/>
    <n v="0.10657596371882087"/>
    <m/>
  </r>
  <r>
    <d v="2022-02-18T00:00:00"/>
    <n v="215"/>
    <x v="214"/>
    <x v="20"/>
    <e v="#REF!"/>
    <e v="#REF!"/>
    <n v="4"/>
    <s v="Valorisables"/>
    <x v="3"/>
    <n v="1.65"/>
    <n v="0.65"/>
    <n v="0.99999999999999989"/>
    <n v="4.5351473922902501E-2"/>
    <m/>
  </r>
  <r>
    <d v="2022-02-18T00:00:00"/>
    <n v="215"/>
    <x v="214"/>
    <x v="20"/>
    <e v="#REF!"/>
    <e v="#REF!"/>
    <n v="5"/>
    <s v="Valorisables"/>
    <x v="4"/>
    <n v="0.75"/>
    <n v="0.55000000000000004"/>
    <n v="0.19999999999999996"/>
    <n v="9.0702947845804991E-3"/>
    <m/>
  </r>
  <r>
    <d v="2022-02-18T00:00:00"/>
    <n v="215"/>
    <x v="214"/>
    <x v="20"/>
    <e v="#REF!"/>
    <e v="#REF!"/>
    <n v="6"/>
    <s v="Valorisables"/>
    <x v="5"/>
    <m/>
    <m/>
    <n v="0"/>
    <n v="0"/>
    <m/>
  </r>
  <r>
    <d v="2022-02-18T00:00:00"/>
    <n v="215"/>
    <x v="214"/>
    <x v="20"/>
    <e v="#REF!"/>
    <e v="#REF!"/>
    <n v="7"/>
    <s v="Valorisables"/>
    <x v="6"/>
    <m/>
    <m/>
    <n v="0"/>
    <n v="0"/>
    <m/>
  </r>
  <r>
    <d v="2022-02-18T00:00:00"/>
    <n v="215"/>
    <x v="214"/>
    <x v="20"/>
    <e v="#REF!"/>
    <e v="#REF!"/>
    <n v="8"/>
    <s v="Valorisables"/>
    <x v="7"/>
    <n v="3.1"/>
    <n v="1.1000000000000001"/>
    <n v="2"/>
    <n v="9.0702947845805015E-2"/>
    <m/>
  </r>
  <r>
    <d v="2022-02-18T00:00:00"/>
    <n v="215"/>
    <x v="214"/>
    <x v="20"/>
    <e v="#REF!"/>
    <e v="#REF!"/>
    <n v="9"/>
    <s v="Valorisables"/>
    <x v="8"/>
    <m/>
    <m/>
    <n v="0"/>
    <n v="0"/>
    <m/>
  </r>
  <r>
    <d v="2022-02-18T00:00:00"/>
    <n v="215"/>
    <x v="214"/>
    <x v="20"/>
    <e v="#REF!"/>
    <e v="#REF!"/>
    <n v="10"/>
    <s v="Valorisables"/>
    <x v="9"/>
    <n v="10.65"/>
    <n v="8.5"/>
    <n v="2.1500000000000004"/>
    <n v="9.7505668934240411E-2"/>
    <m/>
  </r>
  <r>
    <d v="2022-02-18T00:00:00"/>
    <n v="215"/>
    <x v="214"/>
    <x v="20"/>
    <e v="#REF!"/>
    <e v="#REF!"/>
    <n v="11"/>
    <s v="Valorisables"/>
    <x v="10"/>
    <n v="18.649999999999999"/>
    <n v="17.100000000000001"/>
    <n v="1.5499999999999972"/>
    <n v="7.0294784580498759E-2"/>
    <m/>
  </r>
  <r>
    <d v="2022-02-18T00:00:00"/>
    <n v="215"/>
    <x v="214"/>
    <x v="20"/>
    <e v="#REF!"/>
    <e v="#REF!"/>
    <n v="12"/>
    <s v="Refus"/>
    <x v="11"/>
    <n v="23.35"/>
    <n v="17.05"/>
    <n v="6.3000000000000007"/>
    <n v="0.28571428571428581"/>
    <m/>
  </r>
  <r>
    <d v="2022-02-18T00:00:00"/>
    <n v="216"/>
    <x v="215"/>
    <x v="19"/>
    <n v="39.199999999999996"/>
    <n v="38.539999999999992"/>
    <n v="1"/>
    <s v="Valorisables"/>
    <x v="0"/>
    <m/>
    <m/>
    <n v="0"/>
    <n v="0"/>
    <m/>
  </r>
  <r>
    <d v="2022-02-18T00:00:00"/>
    <n v="216"/>
    <x v="215"/>
    <x v="19"/>
    <n v="39.199999999999996"/>
    <n v="-1.6836734693877649E-2"/>
    <n v="2"/>
    <s v="Valorisables"/>
    <x v="1"/>
    <n v="0.02"/>
    <n v="0"/>
    <n v="0.02"/>
    <n v="5.189413596263623E-4"/>
    <m/>
  </r>
  <r>
    <d v="2022-02-18T00:00:00"/>
    <n v="216"/>
    <x v="215"/>
    <x v="19"/>
    <e v="#REF!"/>
    <e v="#REF!"/>
    <n v="3"/>
    <s v="Valorisables"/>
    <x v="2"/>
    <n v="0.05"/>
    <n v="0"/>
    <n v="0.05"/>
    <n v="1.297353399065906E-3"/>
    <m/>
  </r>
  <r>
    <d v="2022-02-18T00:00:00"/>
    <n v="216"/>
    <x v="215"/>
    <x v="19"/>
    <e v="#REF!"/>
    <e v="#REF!"/>
    <n v="4"/>
    <s v="Valorisables"/>
    <x v="3"/>
    <n v="0.02"/>
    <n v="0"/>
    <n v="0.02"/>
    <n v="5.189413596263623E-4"/>
    <m/>
  </r>
  <r>
    <d v="2022-02-18T00:00:00"/>
    <n v="216"/>
    <x v="215"/>
    <x v="19"/>
    <e v="#REF!"/>
    <e v="#REF!"/>
    <n v="5"/>
    <s v="Valorisables"/>
    <x v="4"/>
    <n v="0.65"/>
    <n v="0.55000000000000004"/>
    <n v="9.9999999999999978E-2"/>
    <n v="2.5947067981318111E-3"/>
    <m/>
  </r>
  <r>
    <d v="2022-02-18T00:00:00"/>
    <n v="216"/>
    <x v="215"/>
    <x v="19"/>
    <e v="#REF!"/>
    <e v="#REF!"/>
    <n v="6"/>
    <s v="Valorisables"/>
    <x v="5"/>
    <m/>
    <m/>
    <n v="0"/>
    <n v="0"/>
    <m/>
  </r>
  <r>
    <d v="2022-02-18T00:00:00"/>
    <n v="216"/>
    <x v="215"/>
    <x v="19"/>
    <e v="#REF!"/>
    <e v="#REF!"/>
    <n v="7"/>
    <s v="Valorisables"/>
    <x v="6"/>
    <m/>
    <m/>
    <n v="0"/>
    <n v="0"/>
    <m/>
  </r>
  <r>
    <d v="2022-02-18T00:00:00"/>
    <n v="216"/>
    <x v="215"/>
    <x v="19"/>
    <e v="#REF!"/>
    <e v="#REF!"/>
    <n v="8"/>
    <s v="Valorisables"/>
    <x v="7"/>
    <n v="57.35"/>
    <n v="25.650000000000002"/>
    <n v="31.7"/>
    <n v="0.8225220550077843"/>
    <m/>
  </r>
  <r>
    <d v="2022-02-18T00:00:00"/>
    <n v="216"/>
    <x v="215"/>
    <x v="19"/>
    <e v="#REF!"/>
    <e v="#REF!"/>
    <n v="9"/>
    <s v="Valorisables"/>
    <x v="8"/>
    <m/>
    <m/>
    <n v="0"/>
    <n v="0"/>
    <m/>
  </r>
  <r>
    <d v="2022-02-18T00:00:00"/>
    <n v="216"/>
    <x v="215"/>
    <x v="19"/>
    <e v="#REF!"/>
    <e v="#REF!"/>
    <n v="10"/>
    <s v="Valorisables"/>
    <x v="9"/>
    <n v="13.25"/>
    <n v="9.1000000000000014"/>
    <n v="4.1499999999999986"/>
    <n v="0.10768033212247015"/>
    <m/>
  </r>
  <r>
    <d v="2022-02-18T00:00:00"/>
    <n v="216"/>
    <x v="215"/>
    <x v="19"/>
    <e v="#REF!"/>
    <e v="#REF!"/>
    <n v="11"/>
    <s v="Valorisables"/>
    <x v="10"/>
    <n v="0.6"/>
    <n v="0.55000000000000004"/>
    <n v="4.9999999999999933E-2"/>
    <n v="1.297353399065904E-3"/>
    <m/>
  </r>
  <r>
    <d v="2022-02-18T00:00:00"/>
    <n v="216"/>
    <x v="215"/>
    <x v="19"/>
    <e v="#REF!"/>
    <e v="#REF!"/>
    <n v="12"/>
    <s v="Refus"/>
    <x v="11"/>
    <n v="10.95"/>
    <n v="8.5"/>
    <n v="2.4499999999999993"/>
    <n v="6.3570316554229372E-2"/>
    <m/>
  </r>
  <r>
    <d v="2022-02-18T00:00:00"/>
    <n v="217"/>
    <x v="216"/>
    <x v="18"/>
    <n v="43.8"/>
    <n v="44.35"/>
    <n v="1"/>
    <s v="Valorisables"/>
    <x v="0"/>
    <n v="0.05"/>
    <n v="0"/>
    <n v="0.05"/>
    <n v="1.1273957158962795E-3"/>
    <m/>
  </r>
  <r>
    <d v="2022-02-18T00:00:00"/>
    <n v="217"/>
    <x v="216"/>
    <x v="18"/>
    <n v="43.8"/>
    <n v="1.2557077625570874E-2"/>
    <n v="2"/>
    <s v="Valorisables"/>
    <x v="1"/>
    <n v="0.7"/>
    <n v="0.55000000000000004"/>
    <n v="0.14999999999999991"/>
    <n v="3.3821871476888365E-3"/>
    <m/>
  </r>
  <r>
    <d v="2022-02-18T00:00:00"/>
    <n v="217"/>
    <x v="216"/>
    <x v="18"/>
    <e v="#REF!"/>
    <e v="#REF!"/>
    <n v="3"/>
    <s v="Valorisables"/>
    <x v="2"/>
    <n v="0.75"/>
    <n v="0.55000000000000004"/>
    <n v="0.19999999999999996"/>
    <n v="4.5095828635851173E-3"/>
    <m/>
  </r>
  <r>
    <d v="2022-02-18T00:00:00"/>
    <n v="217"/>
    <x v="216"/>
    <x v="18"/>
    <e v="#REF!"/>
    <e v="#REF!"/>
    <n v="4"/>
    <s v="Valorisables"/>
    <x v="3"/>
    <n v="0.8"/>
    <n v="0.5"/>
    <n v="0.30000000000000004"/>
    <n v="6.7643742953776781E-3"/>
    <m/>
  </r>
  <r>
    <d v="2022-02-18T00:00:00"/>
    <n v="217"/>
    <x v="216"/>
    <x v="18"/>
    <e v="#REF!"/>
    <e v="#REF!"/>
    <n v="5"/>
    <s v="Valorisables"/>
    <x v="4"/>
    <n v="0.05"/>
    <n v="0"/>
    <n v="0.05"/>
    <n v="1.1273957158962795E-3"/>
    <m/>
  </r>
  <r>
    <d v="2022-02-18T00:00:00"/>
    <n v="217"/>
    <x v="216"/>
    <x v="18"/>
    <e v="#REF!"/>
    <e v="#REF!"/>
    <n v="6"/>
    <s v="Valorisables"/>
    <x v="5"/>
    <m/>
    <m/>
    <n v="0"/>
    <n v="0"/>
    <m/>
  </r>
  <r>
    <d v="2022-02-18T00:00:00"/>
    <n v="217"/>
    <x v="216"/>
    <x v="18"/>
    <e v="#REF!"/>
    <e v="#REF!"/>
    <n v="7"/>
    <s v="Valorisables"/>
    <x v="6"/>
    <m/>
    <m/>
    <n v="0"/>
    <n v="0"/>
    <m/>
  </r>
  <r>
    <d v="2022-02-18T00:00:00"/>
    <n v="217"/>
    <x v="216"/>
    <x v="18"/>
    <e v="#REF!"/>
    <e v="#REF!"/>
    <n v="8"/>
    <s v="Valorisables"/>
    <x v="7"/>
    <n v="41.15"/>
    <n v="25.650000000000002"/>
    <n v="15.499999999999996"/>
    <n v="0.34949267192784661"/>
    <m/>
  </r>
  <r>
    <d v="2022-02-18T00:00:00"/>
    <n v="217"/>
    <x v="216"/>
    <x v="18"/>
    <e v="#REF!"/>
    <e v="#REF!"/>
    <n v="9"/>
    <s v="Valorisables"/>
    <x v="8"/>
    <m/>
    <m/>
    <n v="0"/>
    <n v="0"/>
    <m/>
  </r>
  <r>
    <d v="2022-02-18T00:00:00"/>
    <n v="217"/>
    <x v="216"/>
    <x v="18"/>
    <e v="#REF!"/>
    <e v="#REF!"/>
    <n v="10"/>
    <s v="Valorisables"/>
    <x v="9"/>
    <n v="58.350000000000009"/>
    <n v="33.900000000000006"/>
    <n v="24.450000000000003"/>
    <n v="0.55129650507328076"/>
    <m/>
  </r>
  <r>
    <d v="2022-02-18T00:00:00"/>
    <n v="217"/>
    <x v="216"/>
    <x v="18"/>
    <e v="#REF!"/>
    <e v="#REF!"/>
    <n v="11"/>
    <s v="Valorisables"/>
    <x v="10"/>
    <n v="8.9499999999999993"/>
    <n v="8.5500000000000007"/>
    <n v="0.39999999999999858"/>
    <n v="9.0191657271702051E-3"/>
    <m/>
  </r>
  <r>
    <d v="2022-02-18T00:00:00"/>
    <n v="217"/>
    <x v="216"/>
    <x v="18"/>
    <e v="#REF!"/>
    <e v="#REF!"/>
    <n v="12"/>
    <s v="Refus"/>
    <x v="11"/>
    <n v="20.350000000000001"/>
    <n v="17.100000000000001"/>
    <n v="3.25"/>
    <n v="7.3280721533258167E-2"/>
    <m/>
  </r>
  <r>
    <d v="2022-02-18T00:00:00"/>
    <n v="218"/>
    <x v="217"/>
    <x v="38"/>
    <n v="42"/>
    <n v="40.649999999999991"/>
    <n v="1"/>
    <s v="Valorisables"/>
    <x v="0"/>
    <n v="11.25"/>
    <n v="8.3000000000000007"/>
    <n v="2.9499999999999993"/>
    <n v="7.2570725707257075E-2"/>
    <m/>
  </r>
  <r>
    <d v="2022-02-18T00:00:00"/>
    <n v="218"/>
    <x v="217"/>
    <x v="38"/>
    <n v="42"/>
    <n v="-3.2142857142857348E-2"/>
    <n v="2"/>
    <s v="Valorisables"/>
    <x v="1"/>
    <n v="13.099999999999998"/>
    <n v="10.15"/>
    <n v="2.9499999999999975"/>
    <n v="7.2570725707257033E-2"/>
    <m/>
  </r>
  <r>
    <d v="2022-02-18T00:00:00"/>
    <n v="218"/>
    <x v="217"/>
    <x v="38"/>
    <e v="#REF!"/>
    <e v="#REF!"/>
    <n v="3"/>
    <s v="Valorisables"/>
    <x v="2"/>
    <n v="12.049999999999999"/>
    <n v="9.1000000000000014"/>
    <n v="2.9499999999999975"/>
    <n v="7.2570725707257033E-2"/>
    <m/>
  </r>
  <r>
    <d v="2022-02-18T00:00:00"/>
    <n v="218"/>
    <x v="217"/>
    <x v="38"/>
    <e v="#REF!"/>
    <e v="#REF!"/>
    <n v="4"/>
    <s v="Valorisables"/>
    <x v="3"/>
    <n v="3.4"/>
    <n v="1.1000000000000001"/>
    <n v="2.2999999999999998"/>
    <n v="5.6580565805658067E-2"/>
    <m/>
  </r>
  <r>
    <d v="2022-02-18T00:00:00"/>
    <n v="218"/>
    <x v="217"/>
    <x v="38"/>
    <e v="#REF!"/>
    <e v="#REF!"/>
    <n v="5"/>
    <s v="Valorisables"/>
    <x v="4"/>
    <n v="0.95"/>
    <n v="0.55000000000000004"/>
    <n v="0.39999999999999991"/>
    <n v="9.8400984009840101E-3"/>
    <m/>
  </r>
  <r>
    <d v="2022-02-18T00:00:00"/>
    <n v="218"/>
    <x v="217"/>
    <x v="38"/>
    <e v="#REF!"/>
    <e v="#REF!"/>
    <n v="6"/>
    <s v="Valorisables"/>
    <x v="5"/>
    <n v="0.55000000000000004"/>
    <n v="0.5"/>
    <n v="5.0000000000000044E-2"/>
    <n v="1.2300123001230026E-3"/>
    <m/>
  </r>
  <r>
    <d v="2022-02-18T00:00:00"/>
    <n v="218"/>
    <x v="217"/>
    <x v="38"/>
    <e v="#REF!"/>
    <e v="#REF!"/>
    <n v="7"/>
    <s v="Valorisables"/>
    <x v="6"/>
    <n v="1.25"/>
    <n v="0.55000000000000004"/>
    <n v="0.7"/>
    <n v="1.722017220172202E-2"/>
    <m/>
  </r>
  <r>
    <d v="2022-02-18T00:00:00"/>
    <n v="218"/>
    <x v="217"/>
    <x v="38"/>
    <e v="#REF!"/>
    <e v="#REF!"/>
    <n v="8"/>
    <s v="Valorisables"/>
    <x v="7"/>
    <n v="11.65"/>
    <n v="8.5500000000000007"/>
    <n v="3.0999999999999996"/>
    <n v="7.6260762607626084E-2"/>
    <m/>
  </r>
  <r>
    <d v="2022-02-18T00:00:00"/>
    <n v="218"/>
    <x v="217"/>
    <x v="38"/>
    <e v="#REF!"/>
    <e v="#REF!"/>
    <n v="9"/>
    <s v="Valorisables"/>
    <x v="8"/>
    <n v="4.0999999999999996"/>
    <n v="0.55000000000000004"/>
    <n v="3.55"/>
    <n v="8.7330873308733098E-2"/>
    <m/>
  </r>
  <r>
    <d v="2022-02-18T00:00:00"/>
    <n v="218"/>
    <x v="217"/>
    <x v="38"/>
    <e v="#REF!"/>
    <e v="#REF!"/>
    <n v="10"/>
    <s v="Valorisables"/>
    <x v="9"/>
    <n v="28.7"/>
    <n v="17.100000000000001"/>
    <n v="11.599999999999998"/>
    <n v="0.28536285362853631"/>
    <m/>
  </r>
  <r>
    <d v="2022-02-18T00:00:00"/>
    <n v="218"/>
    <x v="217"/>
    <x v="38"/>
    <e v="#REF!"/>
    <e v="#REF!"/>
    <n v="11"/>
    <s v="Valorisables"/>
    <x v="10"/>
    <n v="9.35"/>
    <n v="8.5500000000000007"/>
    <n v="0.79999999999999893"/>
    <n v="1.9680196801967996E-2"/>
    <m/>
  </r>
  <r>
    <d v="2022-02-18T00:00:00"/>
    <n v="218"/>
    <x v="217"/>
    <x v="38"/>
    <e v="#REF!"/>
    <e v="#REF!"/>
    <n v="12"/>
    <s v="Refus"/>
    <x v="11"/>
    <n v="27.500000000000004"/>
    <n v="18.200000000000003"/>
    <n v="9.3000000000000007"/>
    <n v="0.22878228782287829"/>
    <m/>
  </r>
  <r>
    <d v="2022-02-18T00:00:00"/>
    <n v="219"/>
    <x v="218"/>
    <x v="38"/>
    <n v="47.599999999999994"/>
    <n v="47.149999999999991"/>
    <n v="1"/>
    <s v="Valorisables"/>
    <x v="0"/>
    <n v="21.549999999999997"/>
    <n v="17.100000000000001"/>
    <n v="4.4499999999999957"/>
    <n v="9.4379639448568323E-2"/>
    <m/>
  </r>
  <r>
    <d v="2022-02-18T00:00:00"/>
    <n v="219"/>
    <x v="218"/>
    <x v="38"/>
    <n v="47.599999999999994"/>
    <n v="-9.4537815126051021E-3"/>
    <n v="2"/>
    <s v="Valorisables"/>
    <x v="1"/>
    <n v="5.4"/>
    <n v="2.1500000000000004"/>
    <n v="3.25"/>
    <n v="6.8928950159066818E-2"/>
    <m/>
  </r>
  <r>
    <d v="2022-02-18T00:00:00"/>
    <n v="219"/>
    <x v="218"/>
    <x v="38"/>
    <e v="#REF!"/>
    <e v="#REF!"/>
    <n v="3"/>
    <s v="Valorisables"/>
    <x v="2"/>
    <n v="13.4"/>
    <n v="9.6500000000000021"/>
    <n v="3.7499999999999982"/>
    <n v="7.9533404029692445E-2"/>
    <m/>
  </r>
  <r>
    <d v="2022-02-18T00:00:00"/>
    <n v="219"/>
    <x v="218"/>
    <x v="38"/>
    <e v="#REF!"/>
    <e v="#REF!"/>
    <n v="4"/>
    <s v="Valorisables"/>
    <x v="3"/>
    <n v="1.95"/>
    <n v="0.55000000000000004"/>
    <n v="1.4"/>
    <n v="2.969247083775186E-2"/>
    <m/>
  </r>
  <r>
    <d v="2022-02-18T00:00:00"/>
    <n v="219"/>
    <x v="218"/>
    <x v="38"/>
    <e v="#REF!"/>
    <e v="#REF!"/>
    <n v="5"/>
    <s v="Valorisables"/>
    <x v="4"/>
    <n v="1.6"/>
    <n v="0.5"/>
    <n v="1.1000000000000001"/>
    <n v="2.3329798515376463E-2"/>
    <m/>
  </r>
  <r>
    <d v="2022-02-18T00:00:00"/>
    <n v="219"/>
    <x v="218"/>
    <x v="38"/>
    <e v="#REF!"/>
    <e v="#REF!"/>
    <n v="6"/>
    <s v="Valorisables"/>
    <x v="5"/>
    <n v="0.7"/>
    <n v="0.55000000000000004"/>
    <n v="0.14999999999999991"/>
    <n v="3.1813361611876976E-3"/>
    <m/>
  </r>
  <r>
    <d v="2022-02-18T00:00:00"/>
    <n v="219"/>
    <x v="218"/>
    <x v="38"/>
    <e v="#REF!"/>
    <e v="#REF!"/>
    <n v="7"/>
    <s v="Valorisables"/>
    <x v="6"/>
    <n v="1.25"/>
    <n v="0.55000000000000004"/>
    <n v="0.7"/>
    <n v="1.484623541887593E-2"/>
    <m/>
  </r>
  <r>
    <d v="2022-02-18T00:00:00"/>
    <n v="219"/>
    <x v="218"/>
    <x v="38"/>
    <e v="#REF!"/>
    <e v="#REF!"/>
    <n v="8"/>
    <s v="Valorisables"/>
    <x v="7"/>
    <n v="12.8"/>
    <n v="8.5500000000000007"/>
    <n v="4.25"/>
    <n v="9.0137857900318155E-2"/>
    <m/>
  </r>
  <r>
    <d v="2022-02-18T00:00:00"/>
    <n v="219"/>
    <x v="218"/>
    <x v="38"/>
    <e v="#REF!"/>
    <e v="#REF!"/>
    <n v="9"/>
    <s v="Valorisables"/>
    <x v="8"/>
    <n v="3.05"/>
    <n v="0.55000000000000004"/>
    <n v="2.5"/>
    <n v="5.3022269353128322E-2"/>
    <m/>
  </r>
  <r>
    <d v="2022-02-18T00:00:00"/>
    <n v="219"/>
    <x v="218"/>
    <x v="38"/>
    <e v="#REF!"/>
    <e v="#REF!"/>
    <n v="10"/>
    <s v="Valorisables"/>
    <x v="9"/>
    <n v="32.1"/>
    <n v="17.100000000000001"/>
    <n v="15"/>
    <n v="0.31813361611876995"/>
    <m/>
  </r>
  <r>
    <d v="2022-02-18T00:00:00"/>
    <n v="219"/>
    <x v="218"/>
    <x v="38"/>
    <e v="#REF!"/>
    <e v="#REF!"/>
    <n v="11"/>
    <s v="Valorisables"/>
    <x v="10"/>
    <n v="10.050000000000001"/>
    <n v="8.5500000000000007"/>
    <n v="1.5"/>
    <n v="3.1813361611876992E-2"/>
    <m/>
  </r>
  <r>
    <d v="2022-02-18T00:00:00"/>
    <n v="219"/>
    <x v="218"/>
    <x v="38"/>
    <e v="#REF!"/>
    <e v="#REF!"/>
    <n v="12"/>
    <s v="Refus"/>
    <x v="11"/>
    <n v="27.55"/>
    <n v="18.450000000000003"/>
    <n v="9.0999999999999979"/>
    <n v="0.19300106044538706"/>
    <m/>
  </r>
  <r>
    <d v="2022-02-24T00:00:00"/>
    <n v="220"/>
    <x v="219"/>
    <x v="39"/>
    <n v="20.400000000000002"/>
    <n v="20.169999999999998"/>
    <n v="1"/>
    <s v="Valorisables"/>
    <x v="0"/>
    <n v="70.399999999999991"/>
    <n v="51.849999999999994"/>
    <n v="18.549999999999997"/>
    <n v="0.91968269707486361"/>
    <m/>
  </r>
  <r>
    <d v="2022-02-24T00:00:00"/>
    <n v="220"/>
    <x v="219"/>
    <x v="39"/>
    <n v="20.400000000000002"/>
    <n v="-1.1274509803921763E-2"/>
    <n v="2"/>
    <s v="Valorisables"/>
    <x v="1"/>
    <n v="0.55000000000000004"/>
    <n v="0"/>
    <n v="0.55000000000000004"/>
    <n v="2.7268220128904317E-2"/>
    <m/>
  </r>
  <r>
    <d v="2022-02-24T00:00:00"/>
    <n v="220"/>
    <x v="219"/>
    <x v="39"/>
    <e v="#REF!"/>
    <e v="#REF!"/>
    <n v="3"/>
    <s v="Valorisables"/>
    <x v="2"/>
    <n v="0.02"/>
    <n v="0"/>
    <n v="0.02"/>
    <n v="9.9157164105106608E-4"/>
    <m/>
  </r>
  <r>
    <d v="2022-02-24T00:00:00"/>
    <n v="220"/>
    <x v="219"/>
    <x v="39"/>
    <e v="#REF!"/>
    <e v="#REF!"/>
    <n v="4"/>
    <s v="Valorisables"/>
    <x v="3"/>
    <m/>
    <m/>
    <n v="0"/>
    <n v="0"/>
    <m/>
  </r>
  <r>
    <d v="2022-02-24T00:00:00"/>
    <n v="220"/>
    <x v="219"/>
    <x v="39"/>
    <e v="#REF!"/>
    <e v="#REF!"/>
    <n v="5"/>
    <s v="Valorisables"/>
    <x v="4"/>
    <n v="0.6"/>
    <n v="0.55000000000000004"/>
    <n v="4.9999999999999933E-2"/>
    <n v="2.478929102627662E-3"/>
    <m/>
  </r>
  <r>
    <d v="2022-02-24T00:00:00"/>
    <n v="220"/>
    <x v="219"/>
    <x v="39"/>
    <e v="#REF!"/>
    <e v="#REF!"/>
    <n v="6"/>
    <s v="Valorisables"/>
    <x v="5"/>
    <m/>
    <m/>
    <n v="0"/>
    <n v="0"/>
    <m/>
  </r>
  <r>
    <d v="2022-02-24T00:00:00"/>
    <n v="220"/>
    <x v="219"/>
    <x v="39"/>
    <e v="#REF!"/>
    <e v="#REF!"/>
    <n v="7"/>
    <s v="Valorisables"/>
    <x v="6"/>
    <m/>
    <m/>
    <n v="0"/>
    <n v="0"/>
    <m/>
  </r>
  <r>
    <d v="2022-02-24T00:00:00"/>
    <n v="220"/>
    <x v="219"/>
    <x v="39"/>
    <e v="#REF!"/>
    <e v="#REF!"/>
    <n v="8"/>
    <s v="Valorisables"/>
    <x v="7"/>
    <n v="0.05"/>
    <n v="0"/>
    <n v="0.05"/>
    <n v="2.4789291026276654E-3"/>
    <m/>
  </r>
  <r>
    <d v="2022-02-24T00:00:00"/>
    <n v="220"/>
    <x v="219"/>
    <x v="39"/>
    <e v="#REF!"/>
    <e v="#REF!"/>
    <n v="9"/>
    <s v="Valorisables"/>
    <x v="8"/>
    <m/>
    <m/>
    <n v="0"/>
    <n v="0"/>
    <m/>
  </r>
  <r>
    <d v="2022-02-24T00:00:00"/>
    <n v="220"/>
    <x v="219"/>
    <x v="39"/>
    <e v="#REF!"/>
    <e v="#REF!"/>
    <n v="10"/>
    <s v="Valorisables"/>
    <x v="9"/>
    <n v="0.05"/>
    <n v="0"/>
    <n v="0.05"/>
    <n v="2.4789291026276654E-3"/>
    <m/>
  </r>
  <r>
    <d v="2022-02-24T00:00:00"/>
    <n v="220"/>
    <x v="219"/>
    <x v="39"/>
    <e v="#REF!"/>
    <e v="#REF!"/>
    <n v="11"/>
    <s v="Valorisables"/>
    <x v="10"/>
    <n v="0.05"/>
    <n v="0"/>
    <n v="0.05"/>
    <n v="2.4789291026276654E-3"/>
    <m/>
  </r>
  <r>
    <d v="2022-02-24T00:00:00"/>
    <n v="220"/>
    <x v="219"/>
    <x v="39"/>
    <e v="#REF!"/>
    <e v="#REF!"/>
    <n v="12"/>
    <s v="Refus"/>
    <x v="11"/>
    <n v="17.899999999999999"/>
    <n v="17.05"/>
    <n v="0.84999999999999787"/>
    <n v="4.2141794744670204E-2"/>
    <m/>
  </r>
  <r>
    <d v="2022-02-24T00:00:00"/>
    <n v="221"/>
    <x v="220"/>
    <x v="40"/>
    <n v="11.200000000000001"/>
    <n v="10.94"/>
    <n v="1"/>
    <s v="Valorisables"/>
    <x v="0"/>
    <n v="0.02"/>
    <n v="0"/>
    <n v="0.02"/>
    <n v="1.8281535648994518E-3"/>
    <m/>
  </r>
  <r>
    <d v="2022-02-24T00:00:00"/>
    <n v="221"/>
    <x v="220"/>
    <x v="40"/>
    <n v="11.200000000000001"/>
    <n v="-2.321428571428585E-2"/>
    <n v="2"/>
    <s v="Valorisables"/>
    <x v="1"/>
    <n v="8.9"/>
    <n v="8.3000000000000007"/>
    <n v="0.59999999999999964"/>
    <n v="5.4844606946983517E-2"/>
    <m/>
  </r>
  <r>
    <d v="2022-02-24T00:00:00"/>
    <n v="221"/>
    <x v="220"/>
    <x v="40"/>
    <e v="#REF!"/>
    <e v="#REF!"/>
    <n v="3"/>
    <s v="Valorisables"/>
    <x v="2"/>
    <n v="0.6"/>
    <n v="0.55000000000000004"/>
    <n v="4.9999999999999933E-2"/>
    <n v="4.5703839122486229E-3"/>
    <m/>
  </r>
  <r>
    <d v="2022-02-24T00:00:00"/>
    <n v="221"/>
    <x v="220"/>
    <x v="40"/>
    <e v="#REF!"/>
    <e v="#REF!"/>
    <n v="4"/>
    <s v="Valorisables"/>
    <x v="3"/>
    <m/>
    <m/>
    <n v="0"/>
    <n v="0"/>
    <m/>
  </r>
  <r>
    <d v="2022-02-24T00:00:00"/>
    <n v="221"/>
    <x v="220"/>
    <x v="40"/>
    <e v="#REF!"/>
    <e v="#REF!"/>
    <n v="5"/>
    <s v="Valorisables"/>
    <x v="4"/>
    <n v="0.02"/>
    <n v="0"/>
    <n v="0.02"/>
    <n v="1.8281535648994518E-3"/>
    <m/>
  </r>
  <r>
    <d v="2022-02-24T00:00:00"/>
    <n v="221"/>
    <x v="220"/>
    <x v="40"/>
    <e v="#REF!"/>
    <e v="#REF!"/>
    <n v="6"/>
    <s v="Valorisables"/>
    <x v="5"/>
    <m/>
    <m/>
    <n v="0"/>
    <n v="0"/>
    <m/>
  </r>
  <r>
    <d v="2022-02-24T00:00:00"/>
    <n v="221"/>
    <x v="220"/>
    <x v="40"/>
    <e v="#REF!"/>
    <e v="#REF!"/>
    <n v="7"/>
    <s v="Valorisables"/>
    <x v="6"/>
    <m/>
    <m/>
    <n v="0"/>
    <n v="0"/>
    <m/>
  </r>
  <r>
    <d v="2022-02-24T00:00:00"/>
    <n v="221"/>
    <x v="220"/>
    <x v="40"/>
    <e v="#REF!"/>
    <e v="#REF!"/>
    <n v="8"/>
    <s v="Valorisables"/>
    <x v="7"/>
    <n v="0.65"/>
    <n v="0.55000000000000004"/>
    <n v="9.9999999999999978E-2"/>
    <n v="9.1407678244972562E-3"/>
    <m/>
  </r>
  <r>
    <d v="2022-02-24T00:00:00"/>
    <n v="221"/>
    <x v="220"/>
    <x v="40"/>
    <e v="#REF!"/>
    <e v="#REF!"/>
    <n v="9"/>
    <s v="Valorisables"/>
    <x v="8"/>
    <n v="0.05"/>
    <n v="0"/>
    <n v="0.05"/>
    <n v="4.570383912248629E-3"/>
    <m/>
  </r>
  <r>
    <d v="2022-02-24T00:00:00"/>
    <n v="221"/>
    <x v="220"/>
    <x v="40"/>
    <e v="#REF!"/>
    <e v="#REF!"/>
    <n v="10"/>
    <s v="Valorisables"/>
    <x v="9"/>
    <n v="0.65"/>
    <n v="0.55000000000000004"/>
    <n v="9.9999999999999978E-2"/>
    <n v="9.1407678244972562E-3"/>
    <m/>
  </r>
  <r>
    <d v="2022-02-24T00:00:00"/>
    <n v="221"/>
    <x v="220"/>
    <x v="40"/>
    <e v="#REF!"/>
    <e v="#REF!"/>
    <n v="11"/>
    <s v="Valorisables"/>
    <x v="10"/>
    <n v="51.2"/>
    <n v="42.7"/>
    <n v="8.5"/>
    <n v="0.77696526508226693"/>
    <m/>
  </r>
  <r>
    <d v="2022-02-24T00:00:00"/>
    <n v="221"/>
    <x v="220"/>
    <x v="40"/>
    <e v="#REF!"/>
    <e v="#REF!"/>
    <n v="12"/>
    <s v="Refus"/>
    <x v="11"/>
    <n v="10.050000000000001"/>
    <n v="8.5500000000000007"/>
    <n v="1.5"/>
    <n v="0.13711151736745888"/>
    <m/>
  </r>
  <r>
    <d v="2022-02-24T00:00:00"/>
    <n v="222"/>
    <x v="221"/>
    <x v="41"/>
    <n v="23.2"/>
    <n v="22.359999999999992"/>
    <n v="1"/>
    <s v="Valorisables"/>
    <x v="0"/>
    <n v="0.7"/>
    <n v="0.5"/>
    <n v="0.19999999999999996"/>
    <n v="8.9445438282647598E-3"/>
    <m/>
  </r>
  <r>
    <d v="2022-02-24T00:00:00"/>
    <n v="222"/>
    <x v="221"/>
    <x v="41"/>
    <n v="23.2"/>
    <n v="-3.6206896551724439E-2"/>
    <n v="2"/>
    <s v="Valorisables"/>
    <x v="1"/>
    <n v="10.65"/>
    <n v="9.0500000000000007"/>
    <n v="1.5999999999999996"/>
    <n v="7.1556350626118079E-2"/>
    <m/>
  </r>
  <r>
    <d v="2022-02-24T00:00:00"/>
    <n v="222"/>
    <x v="221"/>
    <x v="41"/>
    <e v="#REF!"/>
    <e v="#REF!"/>
    <n v="3"/>
    <s v="Valorisables"/>
    <x v="2"/>
    <n v="47"/>
    <n v="33.950000000000003"/>
    <n v="13.049999999999997"/>
    <n v="0.58363148479427551"/>
    <m/>
  </r>
  <r>
    <d v="2022-02-24T00:00:00"/>
    <n v="222"/>
    <x v="221"/>
    <x v="41"/>
    <e v="#REF!"/>
    <e v="#REF!"/>
    <n v="4"/>
    <s v="Valorisables"/>
    <x v="3"/>
    <n v="1.35"/>
    <n v="0.55000000000000004"/>
    <n v="0.8"/>
    <n v="3.5778175313059046E-2"/>
    <m/>
  </r>
  <r>
    <d v="2022-02-24T00:00:00"/>
    <n v="222"/>
    <x v="221"/>
    <x v="41"/>
    <e v="#REF!"/>
    <e v="#REF!"/>
    <n v="5"/>
    <s v="Valorisables"/>
    <x v="4"/>
    <n v="0.75"/>
    <n v="0.55000000000000004"/>
    <n v="0.19999999999999996"/>
    <n v="8.9445438282647598E-3"/>
    <m/>
  </r>
  <r>
    <d v="2022-02-24T00:00:00"/>
    <n v="222"/>
    <x v="221"/>
    <x v="41"/>
    <e v="#REF!"/>
    <e v="#REF!"/>
    <n v="6"/>
    <s v="Valorisables"/>
    <x v="5"/>
    <m/>
    <m/>
    <n v="0"/>
    <n v="0"/>
    <m/>
  </r>
  <r>
    <d v="2022-02-24T00:00:00"/>
    <n v="222"/>
    <x v="221"/>
    <x v="41"/>
    <e v="#REF!"/>
    <e v="#REF!"/>
    <n v="7"/>
    <s v="Valorisables"/>
    <x v="6"/>
    <m/>
    <m/>
    <n v="0"/>
    <n v="0"/>
    <m/>
  </r>
  <r>
    <d v="2022-02-24T00:00:00"/>
    <n v="222"/>
    <x v="221"/>
    <x v="41"/>
    <e v="#REF!"/>
    <e v="#REF!"/>
    <n v="8"/>
    <s v="Valorisables"/>
    <x v="7"/>
    <n v="0.8"/>
    <n v="0.5"/>
    <n v="0.30000000000000004"/>
    <n v="1.3416815742397144E-2"/>
    <m/>
  </r>
  <r>
    <d v="2022-02-24T00:00:00"/>
    <n v="222"/>
    <x v="221"/>
    <x v="41"/>
    <e v="#REF!"/>
    <e v="#REF!"/>
    <n v="9"/>
    <s v="Valorisables"/>
    <x v="8"/>
    <m/>
    <m/>
    <n v="0"/>
    <n v="0"/>
    <m/>
  </r>
  <r>
    <d v="2022-02-24T00:00:00"/>
    <n v="222"/>
    <x v="221"/>
    <x v="41"/>
    <e v="#REF!"/>
    <e v="#REF!"/>
    <n v="10"/>
    <s v="Valorisables"/>
    <x v="9"/>
    <n v="2.0499999999999998"/>
    <n v="0.55000000000000004"/>
    <n v="1.4999999999999998"/>
    <n v="6.7084078711985698E-2"/>
    <m/>
  </r>
  <r>
    <d v="2022-02-24T00:00:00"/>
    <n v="222"/>
    <x v="221"/>
    <x v="41"/>
    <e v="#REF!"/>
    <e v="#REF!"/>
    <n v="11"/>
    <s v="Valorisables"/>
    <x v="10"/>
    <n v="8.85"/>
    <n v="8.5500000000000007"/>
    <n v="0.29999999999999893"/>
    <n v="1.3416815742397096E-2"/>
    <m/>
  </r>
  <r>
    <d v="2022-02-24T00:00:00"/>
    <n v="222"/>
    <x v="221"/>
    <x v="41"/>
    <e v="#REF!"/>
    <e v="#REF!"/>
    <n v="12"/>
    <s v="Refus"/>
    <x v="11"/>
    <n v="30.009999999999998"/>
    <n v="25.6"/>
    <n v="4.4099999999999966"/>
    <n v="0.19722719141323783"/>
    <m/>
  </r>
  <r>
    <d v="2022-02-24T00:00:00"/>
    <n v="223"/>
    <x v="222"/>
    <x v="42"/>
    <n v="29"/>
    <n v="28.849999999999994"/>
    <n v="1"/>
    <s v="Valorisables"/>
    <x v="0"/>
    <m/>
    <m/>
    <n v="0"/>
    <n v="0"/>
    <m/>
  </r>
  <r>
    <d v="2022-02-24T00:00:00"/>
    <n v="223"/>
    <x v="222"/>
    <x v="42"/>
    <n v="29"/>
    <n v="-5.1724137931036442E-3"/>
    <n v="2"/>
    <s v="Valorisables"/>
    <x v="1"/>
    <n v="1.85"/>
    <n v="1.1000000000000001"/>
    <n v="0.75"/>
    <n v="2.599653379549394E-2"/>
    <m/>
  </r>
  <r>
    <d v="2022-02-24T00:00:00"/>
    <n v="223"/>
    <x v="222"/>
    <x v="42"/>
    <e v="#REF!"/>
    <e v="#REF!"/>
    <n v="3"/>
    <s v="Valorisables"/>
    <x v="2"/>
    <n v="9.75"/>
    <n v="8.5500000000000007"/>
    <n v="1.1999999999999993"/>
    <n v="4.1594454072790277E-2"/>
    <m/>
  </r>
  <r>
    <d v="2022-02-24T00:00:00"/>
    <n v="223"/>
    <x v="222"/>
    <x v="42"/>
    <e v="#REF!"/>
    <e v="#REF!"/>
    <n v="4"/>
    <s v="Valorisables"/>
    <x v="3"/>
    <n v="53.25"/>
    <n v="34.150000000000006"/>
    <n v="19.099999999999994"/>
    <n v="0.66204506065857882"/>
    <m/>
  </r>
  <r>
    <d v="2022-02-24T00:00:00"/>
    <n v="223"/>
    <x v="222"/>
    <x v="42"/>
    <e v="#REF!"/>
    <e v="#REF!"/>
    <n v="5"/>
    <s v="Valorisables"/>
    <x v="4"/>
    <n v="0.05"/>
    <n v="0"/>
    <n v="0.05"/>
    <n v="1.7331022530329293E-3"/>
    <m/>
  </r>
  <r>
    <d v="2022-02-24T00:00:00"/>
    <n v="223"/>
    <x v="222"/>
    <x v="42"/>
    <e v="#REF!"/>
    <e v="#REF!"/>
    <n v="6"/>
    <s v="Valorisables"/>
    <x v="5"/>
    <m/>
    <m/>
    <n v="0"/>
    <n v="0"/>
    <m/>
  </r>
  <r>
    <d v="2022-02-24T00:00:00"/>
    <n v="223"/>
    <x v="222"/>
    <x v="42"/>
    <e v="#REF!"/>
    <e v="#REF!"/>
    <n v="7"/>
    <s v="Valorisables"/>
    <x v="6"/>
    <m/>
    <m/>
    <n v="0"/>
    <n v="0"/>
    <m/>
  </r>
  <r>
    <d v="2022-02-24T00:00:00"/>
    <n v="223"/>
    <x v="222"/>
    <x v="42"/>
    <e v="#REF!"/>
    <e v="#REF!"/>
    <n v="8"/>
    <s v="Valorisables"/>
    <x v="7"/>
    <n v="1.4"/>
    <n v="0.55000000000000004"/>
    <n v="0.84999999999999987"/>
    <n v="2.9462738301559793E-2"/>
    <m/>
  </r>
  <r>
    <d v="2022-02-24T00:00:00"/>
    <n v="223"/>
    <x v="222"/>
    <x v="42"/>
    <e v="#REF!"/>
    <e v="#REF!"/>
    <n v="9"/>
    <s v="Valorisables"/>
    <x v="8"/>
    <m/>
    <m/>
    <n v="0"/>
    <n v="0"/>
    <m/>
  </r>
  <r>
    <d v="2022-02-24T00:00:00"/>
    <n v="223"/>
    <x v="222"/>
    <x v="42"/>
    <e v="#REF!"/>
    <e v="#REF!"/>
    <n v="10"/>
    <s v="Valorisables"/>
    <x v="9"/>
    <n v="1.8"/>
    <n v="0.55000000000000004"/>
    <n v="1.25"/>
    <n v="4.3327556325823233E-2"/>
    <m/>
  </r>
  <r>
    <d v="2022-02-24T00:00:00"/>
    <n v="223"/>
    <x v="222"/>
    <x v="42"/>
    <e v="#REF!"/>
    <e v="#REF!"/>
    <n v="11"/>
    <s v="Valorisables"/>
    <x v="10"/>
    <n v="17.950000000000003"/>
    <n v="16.850000000000001"/>
    <n v="1.1000000000000014"/>
    <n v="3.8128249566724497E-2"/>
    <m/>
  </r>
  <r>
    <d v="2022-02-24T00:00:00"/>
    <n v="223"/>
    <x v="222"/>
    <x v="42"/>
    <e v="#REF!"/>
    <e v="#REF!"/>
    <n v="12"/>
    <s v="Refus"/>
    <x v="11"/>
    <n v="21.65"/>
    <n v="17.100000000000001"/>
    <n v="4.5499999999999972"/>
    <n v="0.15771230502599648"/>
    <m/>
  </r>
  <r>
    <d v="2022-02-24T00:00:00"/>
    <n v="224"/>
    <x v="223"/>
    <x v="43"/>
    <n v="18.8"/>
    <n v="18.300000000000004"/>
    <n v="1"/>
    <s v="Valorisables"/>
    <x v="0"/>
    <n v="1.1000000000000001"/>
    <n v="0.55000000000000004"/>
    <n v="0.55000000000000004"/>
    <n v="3.0054644808743165E-2"/>
    <m/>
  </r>
  <r>
    <d v="2022-02-24T00:00:00"/>
    <n v="224"/>
    <x v="223"/>
    <x v="43"/>
    <n v="18.8"/>
    <n v="-2.6595744680850873E-2"/>
    <n v="2"/>
    <s v="Valorisables"/>
    <x v="1"/>
    <n v="57.6"/>
    <n v="42.75"/>
    <n v="14.850000000000001"/>
    <n v="0.81147540983606548"/>
    <m/>
  </r>
  <r>
    <d v="2022-02-24T00:00:00"/>
    <n v="224"/>
    <x v="223"/>
    <x v="43"/>
    <e v="#REF!"/>
    <e v="#REF!"/>
    <n v="3"/>
    <s v="Valorisables"/>
    <x v="2"/>
    <n v="1.1000000000000001"/>
    <n v="0.55000000000000004"/>
    <n v="0.55000000000000004"/>
    <n v="3.0054644808743165E-2"/>
    <m/>
  </r>
  <r>
    <d v="2022-02-24T00:00:00"/>
    <n v="224"/>
    <x v="223"/>
    <x v="43"/>
    <e v="#REF!"/>
    <e v="#REF!"/>
    <n v="4"/>
    <s v="Valorisables"/>
    <x v="3"/>
    <n v="0.1"/>
    <n v="0"/>
    <n v="0.1"/>
    <n v="5.464480874316939E-3"/>
    <m/>
  </r>
  <r>
    <d v="2022-02-24T00:00:00"/>
    <n v="224"/>
    <x v="223"/>
    <x v="43"/>
    <e v="#REF!"/>
    <e v="#REF!"/>
    <n v="5"/>
    <s v="Valorisables"/>
    <x v="4"/>
    <n v="0.6"/>
    <n v="0.55000000000000004"/>
    <n v="4.9999999999999933E-2"/>
    <n v="2.7322404371584656E-3"/>
    <m/>
  </r>
  <r>
    <d v="2022-02-24T00:00:00"/>
    <n v="224"/>
    <x v="223"/>
    <x v="43"/>
    <e v="#REF!"/>
    <e v="#REF!"/>
    <n v="6"/>
    <s v="Valorisables"/>
    <x v="5"/>
    <m/>
    <m/>
    <n v="0"/>
    <n v="0"/>
    <m/>
  </r>
  <r>
    <d v="2022-02-24T00:00:00"/>
    <n v="224"/>
    <x v="223"/>
    <x v="43"/>
    <e v="#REF!"/>
    <e v="#REF!"/>
    <n v="7"/>
    <s v="Valorisables"/>
    <x v="6"/>
    <m/>
    <m/>
    <n v="0"/>
    <n v="0"/>
    <m/>
  </r>
  <r>
    <d v="2022-02-24T00:00:00"/>
    <n v="224"/>
    <x v="223"/>
    <x v="43"/>
    <e v="#REF!"/>
    <e v="#REF!"/>
    <n v="8"/>
    <s v="Valorisables"/>
    <x v="7"/>
    <n v="1.45"/>
    <n v="0.55000000000000004"/>
    <n v="0.89999999999999991"/>
    <n v="4.9180327868852444E-2"/>
    <m/>
  </r>
  <r>
    <d v="2022-02-24T00:00:00"/>
    <n v="224"/>
    <x v="223"/>
    <x v="43"/>
    <e v="#REF!"/>
    <e v="#REF!"/>
    <n v="9"/>
    <s v="Valorisables"/>
    <x v="8"/>
    <m/>
    <m/>
    <n v="0"/>
    <n v="0"/>
    <m/>
  </r>
  <r>
    <d v="2022-02-24T00:00:00"/>
    <n v="224"/>
    <x v="223"/>
    <x v="43"/>
    <e v="#REF!"/>
    <e v="#REF!"/>
    <n v="10"/>
    <s v="Valorisables"/>
    <x v="9"/>
    <n v="0.85"/>
    <n v="0.5"/>
    <n v="0.35"/>
    <n v="1.9125683060109283E-2"/>
    <m/>
  </r>
  <r>
    <d v="2022-02-24T00:00:00"/>
    <n v="224"/>
    <x v="223"/>
    <x v="43"/>
    <e v="#REF!"/>
    <e v="#REF!"/>
    <n v="11"/>
    <s v="Valorisables"/>
    <x v="10"/>
    <n v="0.1"/>
    <n v="0"/>
    <n v="0.1"/>
    <n v="5.464480874316939E-3"/>
    <m/>
  </r>
  <r>
    <d v="2022-02-24T00:00:00"/>
    <n v="224"/>
    <x v="223"/>
    <x v="43"/>
    <e v="#REF!"/>
    <e v="#REF!"/>
    <n v="12"/>
    <s v="Refus"/>
    <x v="11"/>
    <n v="17.899999999999999"/>
    <n v="17.05"/>
    <n v="0.84999999999999787"/>
    <n v="4.644808743169386E-2"/>
    <m/>
  </r>
  <r>
    <d v="2022-02-24T00:00:00"/>
    <n v="225"/>
    <x v="224"/>
    <x v="44"/>
    <n v="41.199999999999996"/>
    <n v="41.739999999999981"/>
    <n v="1"/>
    <s v="Valorisables"/>
    <x v="0"/>
    <m/>
    <m/>
    <n v="0"/>
    <n v="0"/>
    <m/>
  </r>
  <r>
    <d v="2022-02-24T00:00:00"/>
    <n v="225"/>
    <x v="224"/>
    <x v="44"/>
    <n v="41.199999999999996"/>
    <n v="1.3106796116504491E-2"/>
    <n v="2"/>
    <s v="Valorisables"/>
    <x v="1"/>
    <n v="0.7"/>
    <n v="0.5"/>
    <n v="0.19999999999999996"/>
    <n v="4.7915668423574517E-3"/>
    <m/>
  </r>
  <r>
    <d v="2022-02-24T00:00:00"/>
    <n v="225"/>
    <x v="224"/>
    <x v="44"/>
    <e v="#REF!"/>
    <e v="#REF!"/>
    <n v="3"/>
    <s v="Valorisables"/>
    <x v="2"/>
    <n v="0.02"/>
    <n v="0"/>
    <n v="0.02"/>
    <n v="4.7915668423574532E-4"/>
    <m/>
  </r>
  <r>
    <d v="2022-02-24T00:00:00"/>
    <n v="225"/>
    <x v="224"/>
    <x v="44"/>
    <e v="#REF!"/>
    <e v="#REF!"/>
    <n v="4"/>
    <s v="Valorisables"/>
    <x v="3"/>
    <n v="0.05"/>
    <n v="0"/>
    <n v="0.05"/>
    <n v="1.1978917105893634E-3"/>
    <m/>
  </r>
  <r>
    <d v="2022-02-24T00:00:00"/>
    <n v="225"/>
    <x v="224"/>
    <x v="44"/>
    <e v="#REF!"/>
    <e v="#REF!"/>
    <n v="5"/>
    <s v="Valorisables"/>
    <x v="4"/>
    <n v="0.02"/>
    <n v="0"/>
    <n v="0.02"/>
    <n v="4.7915668423574532E-4"/>
    <m/>
  </r>
  <r>
    <d v="2022-02-24T00:00:00"/>
    <n v="225"/>
    <x v="224"/>
    <x v="44"/>
    <e v="#REF!"/>
    <e v="#REF!"/>
    <n v="6"/>
    <s v="Valorisables"/>
    <x v="5"/>
    <m/>
    <m/>
    <n v="0"/>
    <n v="0"/>
    <m/>
  </r>
  <r>
    <d v="2022-02-24T00:00:00"/>
    <n v="225"/>
    <x v="224"/>
    <x v="44"/>
    <e v="#REF!"/>
    <e v="#REF!"/>
    <n v="7"/>
    <s v="Valorisables"/>
    <x v="6"/>
    <m/>
    <m/>
    <n v="0"/>
    <n v="0"/>
    <m/>
  </r>
  <r>
    <d v="2022-02-24T00:00:00"/>
    <n v="225"/>
    <x v="224"/>
    <x v="44"/>
    <e v="#REF!"/>
    <e v="#REF!"/>
    <n v="8"/>
    <s v="Valorisables"/>
    <x v="7"/>
    <n v="68.55"/>
    <n v="34.150000000000006"/>
    <n v="34.399999999999991"/>
    <n v="0.82414949688548178"/>
    <m/>
  </r>
  <r>
    <d v="2022-02-24T00:00:00"/>
    <n v="225"/>
    <x v="224"/>
    <x v="44"/>
    <e v="#REF!"/>
    <e v="#REF!"/>
    <n v="9"/>
    <s v="Valorisables"/>
    <x v="8"/>
    <m/>
    <m/>
    <n v="0"/>
    <n v="0"/>
    <m/>
  </r>
  <r>
    <d v="2022-02-24T00:00:00"/>
    <n v="225"/>
    <x v="224"/>
    <x v="44"/>
    <e v="#REF!"/>
    <e v="#REF!"/>
    <n v="10"/>
    <s v="Valorisables"/>
    <x v="9"/>
    <n v="30.65"/>
    <n v="25.650000000000002"/>
    <n v="4.9999999999999964"/>
    <n v="0.11978917105893624"/>
    <m/>
  </r>
  <r>
    <d v="2022-02-24T00:00:00"/>
    <n v="225"/>
    <x v="224"/>
    <x v="44"/>
    <e v="#REF!"/>
    <e v="#REF!"/>
    <n v="11"/>
    <s v="Valorisables"/>
    <x v="10"/>
    <n v="0.7"/>
    <n v="0.5"/>
    <n v="0.19999999999999996"/>
    <n v="4.7915668423574517E-3"/>
    <m/>
  </r>
  <r>
    <d v="2022-02-24T00:00:00"/>
    <n v="225"/>
    <x v="224"/>
    <x v="44"/>
    <e v="#REF!"/>
    <e v="#REF!"/>
    <n v="12"/>
    <s v="Refus"/>
    <x v="11"/>
    <n v="18.7"/>
    <n v="16.850000000000001"/>
    <n v="1.8499999999999979"/>
    <n v="4.4321993291806389E-2"/>
    <m/>
  </r>
  <r>
    <d v="2022-02-24T00:00:00"/>
    <n v="226"/>
    <x v="225"/>
    <x v="45"/>
    <n v="33.199999999999996"/>
    <n v="33.099999999999994"/>
    <n v="1"/>
    <s v="Valorisables"/>
    <x v="0"/>
    <m/>
    <m/>
    <n v="0"/>
    <n v="0"/>
    <m/>
  </r>
  <r>
    <d v="2022-02-24T00:00:00"/>
    <n v="226"/>
    <x v="225"/>
    <x v="45"/>
    <n v="33.199999999999996"/>
    <n v="-3.0120481927711274E-3"/>
    <n v="2"/>
    <s v="Valorisables"/>
    <x v="1"/>
    <n v="0.6"/>
    <n v="0.5"/>
    <n v="9.9999999999999978E-2"/>
    <n v="3.0211480362537764E-3"/>
    <m/>
  </r>
  <r>
    <d v="2022-02-24T00:00:00"/>
    <n v="226"/>
    <x v="225"/>
    <x v="45"/>
    <e v="#REF!"/>
    <e v="#REF!"/>
    <n v="3"/>
    <s v="Valorisables"/>
    <x v="2"/>
    <n v="0.65"/>
    <n v="0.55000000000000004"/>
    <n v="9.9999999999999978E-2"/>
    <n v="3.0211480362537764E-3"/>
    <m/>
  </r>
  <r>
    <d v="2022-02-24T00:00:00"/>
    <n v="226"/>
    <x v="225"/>
    <x v="45"/>
    <e v="#REF!"/>
    <e v="#REF!"/>
    <n v="4"/>
    <s v="Valorisables"/>
    <x v="3"/>
    <m/>
    <m/>
    <n v="0"/>
    <n v="0"/>
    <m/>
  </r>
  <r>
    <d v="2022-02-24T00:00:00"/>
    <n v="226"/>
    <x v="225"/>
    <x v="45"/>
    <e v="#REF!"/>
    <e v="#REF!"/>
    <n v="5"/>
    <s v="Valorisables"/>
    <x v="4"/>
    <n v="0.05"/>
    <n v="0"/>
    <n v="0.05"/>
    <n v="1.5105740181268886E-3"/>
    <m/>
  </r>
  <r>
    <d v="2022-02-24T00:00:00"/>
    <n v="226"/>
    <x v="225"/>
    <x v="45"/>
    <e v="#REF!"/>
    <e v="#REF!"/>
    <n v="6"/>
    <s v="Valorisables"/>
    <x v="5"/>
    <m/>
    <m/>
    <n v="0"/>
    <n v="0"/>
    <m/>
  </r>
  <r>
    <d v="2022-02-24T00:00:00"/>
    <n v="226"/>
    <x v="225"/>
    <x v="45"/>
    <e v="#REF!"/>
    <e v="#REF!"/>
    <n v="7"/>
    <s v="Valorisables"/>
    <x v="6"/>
    <m/>
    <m/>
    <n v="0"/>
    <n v="0"/>
    <m/>
  </r>
  <r>
    <d v="2022-02-24T00:00:00"/>
    <n v="226"/>
    <x v="225"/>
    <x v="45"/>
    <e v="#REF!"/>
    <e v="#REF!"/>
    <n v="8"/>
    <s v="Valorisables"/>
    <x v="7"/>
    <n v="59.25"/>
    <n v="34.150000000000006"/>
    <n v="25.099999999999994"/>
    <n v="0.75830815709969779"/>
    <m/>
  </r>
  <r>
    <d v="2022-02-24T00:00:00"/>
    <n v="226"/>
    <x v="225"/>
    <x v="45"/>
    <e v="#REF!"/>
    <e v="#REF!"/>
    <n v="9"/>
    <s v="Valorisables"/>
    <x v="8"/>
    <n v="0.05"/>
    <n v="0"/>
    <n v="0.05"/>
    <n v="1.5105740181268886E-3"/>
    <m/>
  </r>
  <r>
    <d v="2022-02-24T00:00:00"/>
    <n v="226"/>
    <x v="225"/>
    <x v="45"/>
    <e v="#REF!"/>
    <e v="#REF!"/>
    <n v="10"/>
    <s v="Valorisables"/>
    <x v="9"/>
    <n v="31.35"/>
    <n v="25.400000000000002"/>
    <n v="5.9499999999999993"/>
    <n v="0.1797583081570997"/>
    <m/>
  </r>
  <r>
    <d v="2022-02-24T00:00:00"/>
    <n v="226"/>
    <x v="225"/>
    <x v="45"/>
    <e v="#REF!"/>
    <e v="#REF!"/>
    <n v="11"/>
    <s v="Valorisables"/>
    <x v="10"/>
    <n v="0.6"/>
    <n v="0.55000000000000004"/>
    <n v="4.9999999999999933E-2"/>
    <n v="1.5105740181268865E-3"/>
    <m/>
  </r>
  <r>
    <d v="2022-02-24T00:00:00"/>
    <n v="226"/>
    <x v="225"/>
    <x v="45"/>
    <e v="#REF!"/>
    <e v="#REF!"/>
    <n v="12"/>
    <s v="Refus"/>
    <x v="11"/>
    <n v="18.8"/>
    <n v="17.100000000000001"/>
    <n v="1.6999999999999993"/>
    <n v="5.1359516616314188E-2"/>
    <m/>
  </r>
  <r>
    <d v="2022-02-24T00:00:00"/>
    <n v="227"/>
    <x v="226"/>
    <x v="46"/>
    <n v="34.599999999999994"/>
    <n v="34.019999999999996"/>
    <n v="1"/>
    <s v="Valorisables"/>
    <x v="0"/>
    <n v="0.02"/>
    <n v="0"/>
    <n v="0.02"/>
    <n v="5.8788947677836578E-4"/>
    <m/>
  </r>
  <r>
    <d v="2022-02-24T00:00:00"/>
    <n v="227"/>
    <x v="226"/>
    <x v="46"/>
    <n v="34.599999999999994"/>
    <n v="-1.6763005780346774E-2"/>
    <n v="2"/>
    <s v="Valorisables"/>
    <x v="1"/>
    <n v="0.65"/>
    <n v="0.5"/>
    <n v="0.15000000000000002"/>
    <n v="4.409171075837744E-3"/>
    <m/>
  </r>
  <r>
    <d v="2022-02-24T00:00:00"/>
    <n v="227"/>
    <x v="226"/>
    <x v="46"/>
    <e v="#REF!"/>
    <e v="#REF!"/>
    <n v="3"/>
    <s v="Valorisables"/>
    <x v="2"/>
    <m/>
    <m/>
    <n v="0"/>
    <n v="0"/>
    <m/>
  </r>
  <r>
    <d v="2022-02-24T00:00:00"/>
    <n v="227"/>
    <x v="226"/>
    <x v="46"/>
    <e v="#REF!"/>
    <e v="#REF!"/>
    <n v="4"/>
    <s v="Valorisables"/>
    <x v="3"/>
    <n v="0.05"/>
    <n v="0"/>
    <n v="0.05"/>
    <n v="1.4697236919459144E-3"/>
    <m/>
  </r>
  <r>
    <d v="2022-02-24T00:00:00"/>
    <n v="227"/>
    <x v="226"/>
    <x v="46"/>
    <e v="#REF!"/>
    <e v="#REF!"/>
    <n v="5"/>
    <s v="Valorisables"/>
    <x v="4"/>
    <n v="0.55000000000000004"/>
    <n v="0.5"/>
    <n v="5.0000000000000044E-2"/>
    <n v="1.4697236919459157E-3"/>
    <m/>
  </r>
  <r>
    <d v="2022-02-24T00:00:00"/>
    <n v="227"/>
    <x v="226"/>
    <x v="46"/>
    <e v="#REF!"/>
    <e v="#REF!"/>
    <n v="6"/>
    <s v="Valorisables"/>
    <x v="5"/>
    <m/>
    <m/>
    <n v="0"/>
    <n v="0"/>
    <m/>
  </r>
  <r>
    <d v="2022-02-24T00:00:00"/>
    <n v="227"/>
    <x v="226"/>
    <x v="46"/>
    <e v="#REF!"/>
    <e v="#REF!"/>
    <n v="7"/>
    <s v="Valorisables"/>
    <x v="6"/>
    <m/>
    <m/>
    <n v="0"/>
    <n v="0"/>
    <m/>
  </r>
  <r>
    <d v="2022-02-24T00:00:00"/>
    <n v="227"/>
    <x v="226"/>
    <x v="46"/>
    <e v="#REF!"/>
    <e v="#REF!"/>
    <n v="8"/>
    <s v="Valorisables"/>
    <x v="7"/>
    <n v="29.049999999999997"/>
    <n v="25.6"/>
    <n v="3.4499999999999957"/>
    <n v="0.10141093474426796"/>
    <m/>
  </r>
  <r>
    <d v="2022-02-24T00:00:00"/>
    <n v="227"/>
    <x v="226"/>
    <x v="46"/>
    <e v="#REF!"/>
    <e v="#REF!"/>
    <n v="9"/>
    <s v="Valorisables"/>
    <x v="8"/>
    <m/>
    <m/>
    <n v="0"/>
    <n v="0"/>
    <m/>
  </r>
  <r>
    <d v="2022-02-24T00:00:00"/>
    <n v="227"/>
    <x v="226"/>
    <x v="46"/>
    <e v="#REF!"/>
    <e v="#REF!"/>
    <n v="10"/>
    <s v="Valorisables"/>
    <x v="9"/>
    <n v="71.45"/>
    <n v="42.7"/>
    <n v="28.75"/>
    <n v="0.84509112286890076"/>
    <m/>
  </r>
  <r>
    <d v="2022-02-24T00:00:00"/>
    <n v="227"/>
    <x v="226"/>
    <x v="46"/>
    <e v="#REF!"/>
    <e v="#REF!"/>
    <n v="11"/>
    <s v="Valorisables"/>
    <x v="10"/>
    <n v="0.55000000000000004"/>
    <n v="0.5"/>
    <n v="5.0000000000000044E-2"/>
    <n v="1.4697236919459157E-3"/>
    <m/>
  </r>
  <r>
    <d v="2022-02-24T00:00:00"/>
    <n v="227"/>
    <x v="226"/>
    <x v="46"/>
    <e v="#REF!"/>
    <e v="#REF!"/>
    <n v="12"/>
    <s v="Refus"/>
    <x v="11"/>
    <n v="18.350000000000001"/>
    <n v="16.850000000000001"/>
    <n v="1.5"/>
    <n v="4.409171075837743E-2"/>
    <m/>
  </r>
  <r>
    <d v="2022-02-24T00:00:00"/>
    <n v="228"/>
    <x v="227"/>
    <x v="47"/>
    <m/>
    <n v="26.489999999999991"/>
    <n v="1"/>
    <s v="Valorisables"/>
    <x v="0"/>
    <m/>
    <m/>
    <n v="0"/>
    <n v="0"/>
    <m/>
  </r>
  <r>
    <d v="2022-02-24T00:00:00"/>
    <n v="228"/>
    <x v="227"/>
    <x v="47"/>
    <n v="0"/>
    <e v="#DIV/0!"/>
    <n v="2"/>
    <s v="Valorisables"/>
    <x v="1"/>
    <n v="0.7"/>
    <n v="0.55000000000000004"/>
    <n v="0.14999999999999991"/>
    <n v="5.6625141562853896E-3"/>
    <m/>
  </r>
  <r>
    <d v="2022-02-24T00:00:00"/>
    <n v="228"/>
    <x v="227"/>
    <x v="47"/>
    <e v="#REF!"/>
    <e v="#REF!"/>
    <n v="3"/>
    <s v="Valorisables"/>
    <x v="2"/>
    <n v="0.7"/>
    <n v="0.55000000000000004"/>
    <n v="0.14999999999999991"/>
    <n v="5.6625141562853896E-3"/>
    <m/>
  </r>
  <r>
    <d v="2022-02-24T00:00:00"/>
    <n v="228"/>
    <x v="227"/>
    <x v="47"/>
    <e v="#REF!"/>
    <e v="#REF!"/>
    <n v="4"/>
    <s v="Valorisables"/>
    <x v="3"/>
    <n v="0.02"/>
    <n v="0"/>
    <n v="0.02"/>
    <n v="7.5500188750471907E-4"/>
    <m/>
  </r>
  <r>
    <d v="2022-02-24T00:00:00"/>
    <n v="228"/>
    <x v="227"/>
    <x v="47"/>
    <e v="#REF!"/>
    <e v="#REF!"/>
    <n v="5"/>
    <s v="Valorisables"/>
    <x v="4"/>
    <n v="0.1"/>
    <n v="0"/>
    <n v="0.1"/>
    <n v="3.7750094375235952E-3"/>
    <m/>
  </r>
  <r>
    <d v="2022-02-24T00:00:00"/>
    <n v="228"/>
    <x v="227"/>
    <x v="47"/>
    <e v="#REF!"/>
    <e v="#REF!"/>
    <n v="6"/>
    <s v="Valorisables"/>
    <x v="5"/>
    <m/>
    <m/>
    <n v="0"/>
    <n v="0"/>
    <m/>
  </r>
  <r>
    <d v="2022-02-24T00:00:00"/>
    <n v="228"/>
    <x v="227"/>
    <x v="47"/>
    <e v="#REF!"/>
    <e v="#REF!"/>
    <n v="7"/>
    <s v="Valorisables"/>
    <x v="6"/>
    <n v="34.25"/>
    <n v="18.149999999999999"/>
    <n v="16.100000000000001"/>
    <n v="0.60777651944129885"/>
    <m/>
  </r>
  <r>
    <d v="2022-02-24T00:00:00"/>
    <n v="228"/>
    <x v="227"/>
    <x v="47"/>
    <e v="#REF!"/>
    <e v="#REF!"/>
    <n v="8"/>
    <s v="Valorisables"/>
    <x v="7"/>
    <n v="9.6999999999999993"/>
    <n v="8.5500000000000007"/>
    <n v="1.1499999999999986"/>
    <n v="4.3412608531521291E-2"/>
    <m/>
  </r>
  <r>
    <d v="2022-02-24T00:00:00"/>
    <n v="228"/>
    <x v="227"/>
    <x v="47"/>
    <e v="#REF!"/>
    <e v="#REF!"/>
    <n v="9"/>
    <s v="Valorisables"/>
    <x v="8"/>
    <n v="1.1000000000000001"/>
    <n v="0.5"/>
    <n v="0.60000000000000009"/>
    <n v="2.2650056625141572E-2"/>
    <m/>
  </r>
  <r>
    <d v="2022-02-24T00:00:00"/>
    <n v="228"/>
    <x v="227"/>
    <x v="47"/>
    <e v="#REF!"/>
    <e v="#REF!"/>
    <n v="10"/>
    <s v="Valorisables"/>
    <x v="9"/>
    <n v="19.049999999999997"/>
    <n v="17.100000000000001"/>
    <n v="1.9499999999999957"/>
    <n v="7.3612684031709938E-2"/>
    <m/>
  </r>
  <r>
    <d v="2022-02-24T00:00:00"/>
    <n v="228"/>
    <x v="227"/>
    <x v="47"/>
    <e v="#REF!"/>
    <e v="#REF!"/>
    <n v="11"/>
    <s v="Valorisables"/>
    <x v="10"/>
    <n v="0.02"/>
    <n v="0"/>
    <n v="0.02"/>
    <n v="7.5500188750471907E-4"/>
    <m/>
  </r>
  <r>
    <d v="2022-02-24T00:00:00"/>
    <n v="228"/>
    <x v="227"/>
    <x v="47"/>
    <e v="#REF!"/>
    <e v="#REF!"/>
    <n v="12"/>
    <s v="Refus"/>
    <x v="11"/>
    <n v="23.849999999999998"/>
    <n v="17.600000000000001"/>
    <n v="6.2499999999999964"/>
    <n v="0.23593808984522455"/>
    <m/>
  </r>
  <r>
    <d v="2022-02-24T00:00:00"/>
    <n v="229"/>
    <x v="228"/>
    <x v="48"/>
    <n v="26.400000000000002"/>
    <n v="25.79999999999999"/>
    <n v="1"/>
    <s v="Valorisables"/>
    <x v="0"/>
    <n v="2.9"/>
    <n v="1.1000000000000001"/>
    <n v="1.7999999999999998"/>
    <n v="6.9767441860465143E-2"/>
    <m/>
  </r>
  <r>
    <d v="2022-02-24T00:00:00"/>
    <n v="229"/>
    <x v="228"/>
    <x v="48"/>
    <s v=","/>
    <n v="-2.2727272727273182E-2"/>
    <n v="2"/>
    <s v="Valorisables"/>
    <x v="1"/>
    <n v="19"/>
    <n v="17.100000000000001"/>
    <n v="1.8999999999999986"/>
    <n v="7.3643410852713156E-2"/>
    <m/>
  </r>
  <r>
    <d v="2022-02-24T00:00:00"/>
    <n v="229"/>
    <x v="228"/>
    <x v="48"/>
    <e v="#REF!"/>
    <e v="#REF!"/>
    <n v="3"/>
    <s v="Valorisables"/>
    <x v="2"/>
    <n v="2.8"/>
    <n v="1.1000000000000001"/>
    <n v="1.6999999999999997"/>
    <n v="6.5891472868217074E-2"/>
    <m/>
  </r>
  <r>
    <d v="2022-02-24T00:00:00"/>
    <n v="229"/>
    <x v="228"/>
    <x v="48"/>
    <e v="#REF!"/>
    <e v="#REF!"/>
    <n v="4"/>
    <s v="Valorisables"/>
    <x v="3"/>
    <n v="0.75"/>
    <n v="0.55000000000000004"/>
    <n v="0.19999999999999996"/>
    <n v="7.7519379844961257E-3"/>
    <m/>
  </r>
  <r>
    <d v="2022-02-24T00:00:00"/>
    <n v="229"/>
    <x v="228"/>
    <x v="48"/>
    <e v="#REF!"/>
    <e v="#REF!"/>
    <n v="5"/>
    <s v="Valorisables"/>
    <x v="4"/>
    <n v="1"/>
    <n v="0.55000000000000004"/>
    <n v="0.44999999999999996"/>
    <n v="1.7441860465116286E-2"/>
    <m/>
  </r>
  <r>
    <d v="2022-02-24T00:00:00"/>
    <n v="229"/>
    <x v="228"/>
    <x v="48"/>
    <e v="#REF!"/>
    <e v="#REF!"/>
    <n v="6"/>
    <s v="Valorisables"/>
    <x v="5"/>
    <n v="0.8"/>
    <n v="0.55000000000000004"/>
    <n v="0.25"/>
    <n v="9.6899224806201584E-3"/>
    <m/>
  </r>
  <r>
    <d v="2022-02-24T00:00:00"/>
    <n v="229"/>
    <x v="228"/>
    <x v="48"/>
    <e v="#REF!"/>
    <e v="#REF!"/>
    <n v="7"/>
    <s v="Valorisables"/>
    <x v="6"/>
    <m/>
    <m/>
    <n v="0"/>
    <n v="0"/>
    <m/>
  </r>
  <r>
    <d v="2022-02-24T00:00:00"/>
    <n v="229"/>
    <x v="228"/>
    <x v="48"/>
    <e v="#REF!"/>
    <e v="#REF!"/>
    <n v="8"/>
    <s v="Valorisables"/>
    <x v="7"/>
    <n v="10.45"/>
    <n v="8.3000000000000007"/>
    <n v="2.1499999999999986"/>
    <n v="8.3333333333333315E-2"/>
    <m/>
  </r>
  <r>
    <d v="2022-02-24T00:00:00"/>
    <n v="229"/>
    <x v="228"/>
    <x v="48"/>
    <e v="#REF!"/>
    <e v="#REF!"/>
    <n v="9"/>
    <s v="Valorisables"/>
    <x v="8"/>
    <m/>
    <m/>
    <n v="0"/>
    <n v="0"/>
    <m/>
  </r>
  <r>
    <d v="2022-02-24T00:00:00"/>
    <n v="229"/>
    <x v="228"/>
    <x v="48"/>
    <e v="#REF!"/>
    <e v="#REF!"/>
    <n v="10"/>
    <s v="Valorisables"/>
    <x v="9"/>
    <n v="28.9"/>
    <n v="25.6"/>
    <n v="3.2999999999999972"/>
    <n v="0.127906976744186"/>
    <m/>
  </r>
  <r>
    <d v="2022-02-24T00:00:00"/>
    <n v="229"/>
    <x v="228"/>
    <x v="48"/>
    <e v="#REF!"/>
    <e v="#REF!"/>
    <n v="11"/>
    <s v="Valorisables"/>
    <x v="10"/>
    <n v="0.75"/>
    <n v="0.55000000000000004"/>
    <n v="0.19999999999999996"/>
    <n v="7.7519379844961257E-3"/>
    <m/>
  </r>
  <r>
    <d v="2022-02-24T00:00:00"/>
    <n v="229"/>
    <x v="228"/>
    <x v="48"/>
    <e v="#REF!"/>
    <e v="#REF!"/>
    <n v="12"/>
    <s v="Refus"/>
    <x v="11"/>
    <n v="39.5"/>
    <n v="25.650000000000002"/>
    <n v="13.849999999999998"/>
    <n v="0.53682170542635677"/>
    <m/>
  </r>
  <r>
    <d v="2022-02-24T00:00:00"/>
    <n v="230"/>
    <x v="229"/>
    <x v="49"/>
    <m/>
    <n v="0"/>
    <n v="1"/>
    <s v="Valorisables"/>
    <x v="0"/>
    <m/>
    <m/>
    <n v="0"/>
    <e v="#DIV/0!"/>
    <m/>
  </r>
  <r>
    <d v="2022-02-24T00:00:00"/>
    <n v="230"/>
    <x v="229"/>
    <x v="49"/>
    <n v="0"/>
    <e v="#DIV/0!"/>
    <n v="2"/>
    <s v="Valorisables"/>
    <x v="1"/>
    <m/>
    <m/>
    <n v="0"/>
    <e v="#DIV/0!"/>
    <m/>
  </r>
  <r>
    <d v="2022-02-24T00:00:00"/>
    <n v="230"/>
    <x v="229"/>
    <x v="49"/>
    <e v="#REF!"/>
    <e v="#REF!"/>
    <n v="3"/>
    <s v="Valorisables"/>
    <x v="2"/>
    <m/>
    <m/>
    <n v="0"/>
    <e v="#DIV/0!"/>
    <m/>
  </r>
  <r>
    <d v="2022-02-24T00:00:00"/>
    <n v="230"/>
    <x v="229"/>
    <x v="49"/>
    <e v="#REF!"/>
    <e v="#REF!"/>
    <n v="4"/>
    <s v="Valorisables"/>
    <x v="3"/>
    <m/>
    <m/>
    <n v="0"/>
    <e v="#DIV/0!"/>
    <m/>
  </r>
  <r>
    <d v="2022-02-24T00:00:00"/>
    <n v="230"/>
    <x v="229"/>
    <x v="49"/>
    <e v="#REF!"/>
    <e v="#REF!"/>
    <n v="5"/>
    <s v="Valorisables"/>
    <x v="4"/>
    <m/>
    <m/>
    <n v="0"/>
    <e v="#DIV/0!"/>
    <m/>
  </r>
  <r>
    <d v="2022-02-24T00:00:00"/>
    <n v="230"/>
    <x v="229"/>
    <x v="49"/>
    <e v="#REF!"/>
    <e v="#REF!"/>
    <n v="6"/>
    <s v="Valorisables"/>
    <x v="5"/>
    <m/>
    <m/>
    <n v="0"/>
    <e v="#DIV/0!"/>
    <m/>
  </r>
  <r>
    <d v="2022-02-24T00:00:00"/>
    <n v="230"/>
    <x v="229"/>
    <x v="49"/>
    <e v="#REF!"/>
    <e v="#REF!"/>
    <n v="7"/>
    <s v="Valorisables"/>
    <x v="6"/>
    <m/>
    <m/>
    <n v="0"/>
    <e v="#DIV/0!"/>
    <m/>
  </r>
  <r>
    <d v="2022-02-24T00:00:00"/>
    <n v="230"/>
    <x v="229"/>
    <x v="49"/>
    <e v="#REF!"/>
    <e v="#REF!"/>
    <n v="8"/>
    <s v="Valorisables"/>
    <x v="7"/>
    <m/>
    <m/>
    <n v="0"/>
    <e v="#DIV/0!"/>
    <m/>
  </r>
  <r>
    <d v="2022-02-24T00:00:00"/>
    <n v="230"/>
    <x v="229"/>
    <x v="49"/>
    <e v="#REF!"/>
    <e v="#REF!"/>
    <n v="9"/>
    <s v="Valorisables"/>
    <x v="8"/>
    <m/>
    <m/>
    <n v="0"/>
    <e v="#DIV/0!"/>
    <m/>
  </r>
  <r>
    <d v="2022-02-24T00:00:00"/>
    <n v="230"/>
    <x v="229"/>
    <x v="49"/>
    <e v="#REF!"/>
    <e v="#REF!"/>
    <n v="10"/>
    <s v="Valorisables"/>
    <x v="9"/>
    <m/>
    <m/>
    <n v="0"/>
    <e v="#DIV/0!"/>
    <m/>
  </r>
  <r>
    <d v="2022-02-24T00:00:00"/>
    <n v="230"/>
    <x v="229"/>
    <x v="49"/>
    <e v="#REF!"/>
    <e v="#REF!"/>
    <n v="11"/>
    <s v="Valorisables"/>
    <x v="10"/>
    <m/>
    <m/>
    <n v="0"/>
    <e v="#DIV/0!"/>
    <m/>
  </r>
  <r>
    <d v="2022-02-24T00:00:00"/>
    <n v="230"/>
    <x v="229"/>
    <x v="49"/>
    <e v="#REF!"/>
    <e v="#REF!"/>
    <n v="12"/>
    <s v="Refus"/>
    <x v="11"/>
    <m/>
    <m/>
    <n v="0"/>
    <e v="#DIV/0!"/>
    <m/>
  </r>
  <r>
    <d v="2022-02-24T00:00:00"/>
    <n v="231"/>
    <x v="229"/>
    <x v="49"/>
    <m/>
    <n v="0"/>
    <n v="1"/>
    <s v="Valorisables"/>
    <x v="0"/>
    <m/>
    <m/>
    <n v="0"/>
    <e v="#DIV/0!"/>
    <m/>
  </r>
  <r>
    <d v="2022-02-24T00:00:00"/>
    <n v="231"/>
    <x v="229"/>
    <x v="49"/>
    <n v="0"/>
    <e v="#DIV/0!"/>
    <n v="2"/>
    <s v="Valorisables"/>
    <x v="1"/>
    <m/>
    <m/>
    <n v="0"/>
    <e v="#DIV/0!"/>
    <m/>
  </r>
  <r>
    <d v="2022-02-24T00:00:00"/>
    <n v="231"/>
    <x v="229"/>
    <x v="49"/>
    <e v="#REF!"/>
    <e v="#REF!"/>
    <n v="3"/>
    <s v="Valorisables"/>
    <x v="2"/>
    <m/>
    <m/>
    <n v="0"/>
    <e v="#DIV/0!"/>
    <m/>
  </r>
  <r>
    <d v="2022-02-24T00:00:00"/>
    <n v="231"/>
    <x v="229"/>
    <x v="49"/>
    <e v="#REF!"/>
    <e v="#REF!"/>
    <n v="4"/>
    <s v="Valorisables"/>
    <x v="3"/>
    <m/>
    <m/>
    <n v="0"/>
    <e v="#DIV/0!"/>
    <m/>
  </r>
  <r>
    <d v="2022-02-24T00:00:00"/>
    <n v="231"/>
    <x v="229"/>
    <x v="49"/>
    <e v="#REF!"/>
    <e v="#REF!"/>
    <n v="5"/>
    <s v="Valorisables"/>
    <x v="4"/>
    <m/>
    <m/>
    <n v="0"/>
    <e v="#DIV/0!"/>
    <m/>
  </r>
  <r>
    <d v="2022-02-24T00:00:00"/>
    <n v="231"/>
    <x v="229"/>
    <x v="49"/>
    <e v="#REF!"/>
    <e v="#REF!"/>
    <n v="6"/>
    <s v="Valorisables"/>
    <x v="5"/>
    <m/>
    <m/>
    <n v="0"/>
    <e v="#DIV/0!"/>
    <m/>
  </r>
  <r>
    <d v="2022-02-24T00:00:00"/>
    <n v="231"/>
    <x v="229"/>
    <x v="49"/>
    <e v="#REF!"/>
    <e v="#REF!"/>
    <n v="7"/>
    <s v="Valorisables"/>
    <x v="6"/>
    <m/>
    <m/>
    <n v="0"/>
    <e v="#DIV/0!"/>
    <m/>
  </r>
  <r>
    <d v="2022-02-24T00:00:00"/>
    <n v="231"/>
    <x v="229"/>
    <x v="49"/>
    <e v="#REF!"/>
    <e v="#REF!"/>
    <n v="8"/>
    <s v="Valorisables"/>
    <x v="7"/>
    <m/>
    <m/>
    <n v="0"/>
    <e v="#DIV/0!"/>
    <m/>
  </r>
  <r>
    <d v="2022-02-24T00:00:00"/>
    <n v="231"/>
    <x v="229"/>
    <x v="49"/>
    <e v="#REF!"/>
    <e v="#REF!"/>
    <n v="9"/>
    <s v="Valorisables"/>
    <x v="8"/>
    <m/>
    <m/>
    <n v="0"/>
    <e v="#DIV/0!"/>
    <m/>
  </r>
  <r>
    <d v="2022-02-24T00:00:00"/>
    <n v="231"/>
    <x v="229"/>
    <x v="49"/>
    <e v="#REF!"/>
    <e v="#REF!"/>
    <n v="10"/>
    <s v="Valorisables"/>
    <x v="9"/>
    <m/>
    <m/>
    <n v="0"/>
    <e v="#DIV/0!"/>
    <m/>
  </r>
  <r>
    <d v="2022-02-24T00:00:00"/>
    <n v="231"/>
    <x v="229"/>
    <x v="49"/>
    <e v="#REF!"/>
    <e v="#REF!"/>
    <n v="11"/>
    <s v="Valorisables"/>
    <x v="10"/>
    <m/>
    <m/>
    <n v="0"/>
    <e v="#DIV/0!"/>
    <m/>
  </r>
  <r>
    <d v="2022-02-24T00:00:00"/>
    <n v="231"/>
    <x v="229"/>
    <x v="49"/>
    <e v="#REF!"/>
    <e v="#REF!"/>
    <n v="12"/>
    <s v="Refus"/>
    <x v="11"/>
    <m/>
    <m/>
    <n v="0"/>
    <e v="#DIV/0!"/>
    <m/>
  </r>
  <r>
    <d v="2022-02-24T00:00:00"/>
    <n v="232"/>
    <x v="229"/>
    <x v="49"/>
    <m/>
    <n v="0"/>
    <n v="1"/>
    <s v="Valorisables"/>
    <x v="0"/>
    <m/>
    <m/>
    <n v="0"/>
    <e v="#DIV/0!"/>
    <m/>
  </r>
  <r>
    <d v="2022-02-24T00:00:00"/>
    <n v="232"/>
    <x v="229"/>
    <x v="49"/>
    <n v="0"/>
    <e v="#DIV/0!"/>
    <n v="2"/>
    <s v="Valorisables"/>
    <x v="1"/>
    <m/>
    <m/>
    <n v="0"/>
    <e v="#DIV/0!"/>
    <m/>
  </r>
  <r>
    <d v="2022-02-24T00:00:00"/>
    <n v="232"/>
    <x v="229"/>
    <x v="49"/>
    <e v="#REF!"/>
    <e v="#REF!"/>
    <n v="3"/>
    <s v="Valorisables"/>
    <x v="2"/>
    <m/>
    <m/>
    <n v="0"/>
    <e v="#DIV/0!"/>
    <m/>
  </r>
  <r>
    <d v="2022-02-24T00:00:00"/>
    <n v="232"/>
    <x v="229"/>
    <x v="49"/>
    <e v="#REF!"/>
    <e v="#REF!"/>
    <n v="4"/>
    <s v="Valorisables"/>
    <x v="3"/>
    <m/>
    <m/>
    <n v="0"/>
    <e v="#DIV/0!"/>
    <m/>
  </r>
  <r>
    <d v="2022-02-24T00:00:00"/>
    <n v="232"/>
    <x v="229"/>
    <x v="49"/>
    <e v="#REF!"/>
    <e v="#REF!"/>
    <n v="5"/>
    <s v="Valorisables"/>
    <x v="4"/>
    <m/>
    <m/>
    <n v="0"/>
    <e v="#DIV/0!"/>
    <m/>
  </r>
  <r>
    <d v="2022-02-24T00:00:00"/>
    <n v="232"/>
    <x v="229"/>
    <x v="49"/>
    <e v="#REF!"/>
    <e v="#REF!"/>
    <n v="6"/>
    <s v="Valorisables"/>
    <x v="5"/>
    <m/>
    <m/>
    <n v="0"/>
    <e v="#DIV/0!"/>
    <m/>
  </r>
  <r>
    <d v="2022-02-24T00:00:00"/>
    <n v="232"/>
    <x v="229"/>
    <x v="49"/>
    <e v="#REF!"/>
    <e v="#REF!"/>
    <n v="7"/>
    <s v="Valorisables"/>
    <x v="6"/>
    <m/>
    <m/>
    <n v="0"/>
    <e v="#DIV/0!"/>
    <m/>
  </r>
  <r>
    <d v="2022-02-24T00:00:00"/>
    <n v="232"/>
    <x v="229"/>
    <x v="49"/>
    <e v="#REF!"/>
    <e v="#REF!"/>
    <n v="8"/>
    <s v="Valorisables"/>
    <x v="7"/>
    <m/>
    <m/>
    <n v="0"/>
    <e v="#DIV/0!"/>
    <m/>
  </r>
  <r>
    <d v="2022-02-24T00:00:00"/>
    <n v="232"/>
    <x v="229"/>
    <x v="49"/>
    <e v="#REF!"/>
    <e v="#REF!"/>
    <n v="9"/>
    <s v="Valorisables"/>
    <x v="8"/>
    <m/>
    <m/>
    <n v="0"/>
    <e v="#DIV/0!"/>
    <m/>
  </r>
  <r>
    <d v="2022-02-24T00:00:00"/>
    <n v="232"/>
    <x v="229"/>
    <x v="49"/>
    <e v="#REF!"/>
    <e v="#REF!"/>
    <n v="10"/>
    <s v="Valorisables"/>
    <x v="9"/>
    <m/>
    <m/>
    <n v="0"/>
    <e v="#DIV/0!"/>
    <m/>
  </r>
  <r>
    <d v="2022-02-24T00:00:00"/>
    <n v="232"/>
    <x v="229"/>
    <x v="49"/>
    <e v="#REF!"/>
    <e v="#REF!"/>
    <n v="11"/>
    <s v="Valorisables"/>
    <x v="10"/>
    <m/>
    <m/>
    <n v="0"/>
    <e v="#DIV/0!"/>
    <m/>
  </r>
  <r>
    <d v="2022-02-24T00:00:00"/>
    <n v="232"/>
    <x v="229"/>
    <x v="49"/>
    <e v="#REF!"/>
    <e v="#REF!"/>
    <n v="12"/>
    <s v="Refus"/>
    <x v="11"/>
    <m/>
    <m/>
    <n v="0"/>
    <e v="#DIV/0!"/>
    <m/>
  </r>
  <r>
    <m/>
    <m/>
    <x v="229"/>
    <x v="49"/>
    <m/>
    <m/>
    <m/>
    <m/>
    <x v="1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Tableau croisé dynamique2"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M3:Q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4">
    <i>
      <x v="73"/>
    </i>
    <i>
      <x v="74"/>
    </i>
    <i>
      <x v="75"/>
    </i>
    <i t="grand">
      <x/>
    </i>
  </colItems>
  <dataFields count="1">
    <dataField name="Somme de % éch." fld="12" baseField="8" baseItem="0"/>
  </dataFields>
  <formats count="5">
    <format dxfId="138">
      <pivotArea collapsedLevelsAreSubtotals="1" fieldPosition="0">
        <references count="1">
          <reference field="8" count="12">
            <x v="0"/>
            <x v="3"/>
            <x v="4"/>
            <x v="7"/>
            <x v="8"/>
            <x v="9"/>
            <x v="13"/>
            <x v="17"/>
            <x v="19"/>
            <x v="21"/>
            <x v="23"/>
            <x v="31"/>
          </reference>
        </references>
      </pivotArea>
    </format>
    <format dxfId="137">
      <pivotArea collapsedLevelsAreSubtotals="1" fieldPosition="0">
        <references count="1">
          <reference field="8" count="12">
            <x v="0"/>
            <x v="3"/>
            <x v="4"/>
            <x v="7"/>
            <x v="8"/>
            <x v="9"/>
            <x v="13"/>
            <x v="17"/>
            <x v="19"/>
            <x v="21"/>
            <x v="23"/>
            <x v="31"/>
          </reference>
        </references>
      </pivotArea>
    </format>
    <format dxfId="136">
      <pivotArea collapsedLevelsAreSubtotals="1" fieldPosition="0">
        <references count="1">
          <reference field="8" count="12">
            <x v="0"/>
            <x v="3"/>
            <x v="4"/>
            <x v="7"/>
            <x v="8"/>
            <x v="10"/>
            <x v="14"/>
            <x v="18"/>
            <x v="19"/>
            <x v="22"/>
            <x v="24"/>
            <x v="31"/>
          </reference>
        </references>
      </pivotArea>
    </format>
    <format dxfId="135">
      <pivotArea collapsedLevelsAreSubtotals="1" fieldPosition="0">
        <references count="1">
          <reference field="8" count="12">
            <x v="0"/>
            <x v="3"/>
            <x v="4"/>
            <x v="7"/>
            <x v="8"/>
            <x v="10"/>
            <x v="14"/>
            <x v="18"/>
            <x v="19"/>
            <x v="22"/>
            <x v="24"/>
            <x v="31"/>
          </reference>
        </references>
      </pivotArea>
    </format>
    <format dxfId="134">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Tableau croisé dynamique4"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K3:AN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x="217"/>
        <item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3">
    <i>
      <x v="228"/>
    </i>
    <i>
      <x v="229"/>
    </i>
    <i t="grand">
      <x/>
    </i>
  </colItems>
  <dataFields count="1">
    <dataField name="Somme de % éch." fld="12" baseField="8" baseItem="0"/>
  </dataFields>
  <formats count="5">
    <format dxfId="143">
      <pivotArea collapsedLevelsAreSubtotals="1" fieldPosition="0">
        <references count="1">
          <reference field="8" count="12">
            <x v="0"/>
            <x v="3"/>
            <x v="4"/>
            <x v="7"/>
            <x v="8"/>
            <x v="9"/>
            <x v="13"/>
            <x v="17"/>
            <x v="19"/>
            <x v="21"/>
            <x v="23"/>
            <x v="31"/>
          </reference>
        </references>
      </pivotArea>
    </format>
    <format dxfId="142">
      <pivotArea collapsedLevelsAreSubtotals="1" fieldPosition="0">
        <references count="1">
          <reference field="8" count="12">
            <x v="0"/>
            <x v="3"/>
            <x v="4"/>
            <x v="7"/>
            <x v="8"/>
            <x v="9"/>
            <x v="13"/>
            <x v="17"/>
            <x v="19"/>
            <x v="21"/>
            <x v="23"/>
            <x v="31"/>
          </reference>
        </references>
      </pivotArea>
    </format>
    <format dxfId="141">
      <pivotArea collapsedLevelsAreSubtotals="1" fieldPosition="0">
        <references count="1">
          <reference field="8" count="12">
            <x v="0"/>
            <x v="3"/>
            <x v="4"/>
            <x v="7"/>
            <x v="8"/>
            <x v="10"/>
            <x v="14"/>
            <x v="18"/>
            <x v="19"/>
            <x v="22"/>
            <x v="24"/>
            <x v="31"/>
          </reference>
        </references>
      </pivotArea>
    </format>
    <format dxfId="140">
      <pivotArea collapsedLevelsAreSubtotals="1" fieldPosition="0">
        <references count="1">
          <reference field="8" count="12">
            <x v="0"/>
            <x v="3"/>
            <x v="4"/>
            <x v="7"/>
            <x v="8"/>
            <x v="10"/>
            <x v="14"/>
            <x v="18"/>
            <x v="19"/>
            <x v="22"/>
            <x v="24"/>
            <x v="31"/>
          </reference>
        </references>
      </pivotArea>
    </format>
    <format dxfId="139">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Tableau croisé dynamique3"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Y3:AC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x="102"/>
        <item x="103"/>
        <item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4">
    <i>
      <x v="113"/>
    </i>
    <i>
      <x v="114"/>
    </i>
    <i>
      <x v="115"/>
    </i>
    <i t="grand">
      <x/>
    </i>
  </colItems>
  <dataFields count="1">
    <dataField name="Somme de % éch." fld="12" baseField="8" baseItem="0"/>
  </dataFields>
  <formats count="5">
    <format dxfId="148">
      <pivotArea collapsedLevelsAreSubtotals="1" fieldPosition="0">
        <references count="1">
          <reference field="8" count="12">
            <x v="0"/>
            <x v="3"/>
            <x v="4"/>
            <x v="7"/>
            <x v="8"/>
            <x v="9"/>
            <x v="13"/>
            <x v="17"/>
            <x v="19"/>
            <x v="21"/>
            <x v="23"/>
            <x v="31"/>
          </reference>
        </references>
      </pivotArea>
    </format>
    <format dxfId="147">
      <pivotArea collapsedLevelsAreSubtotals="1" fieldPosition="0">
        <references count="1">
          <reference field="8" count="12">
            <x v="0"/>
            <x v="3"/>
            <x v="4"/>
            <x v="7"/>
            <x v="8"/>
            <x v="9"/>
            <x v="13"/>
            <x v="17"/>
            <x v="19"/>
            <x v="21"/>
            <x v="23"/>
            <x v="31"/>
          </reference>
        </references>
      </pivotArea>
    </format>
    <format dxfId="146">
      <pivotArea collapsedLevelsAreSubtotals="1" fieldPosition="0">
        <references count="1">
          <reference field="8" count="12">
            <x v="0"/>
            <x v="3"/>
            <x v="4"/>
            <x v="7"/>
            <x v="8"/>
            <x v="10"/>
            <x v="14"/>
            <x v="18"/>
            <x v="19"/>
            <x v="22"/>
            <x v="24"/>
            <x v="31"/>
          </reference>
        </references>
      </pivotArea>
    </format>
    <format dxfId="145">
      <pivotArea collapsedLevelsAreSubtotals="1" fieldPosition="0">
        <references count="1">
          <reference field="8" count="12">
            <x v="0"/>
            <x v="3"/>
            <x v="4"/>
            <x v="7"/>
            <x v="8"/>
            <x v="10"/>
            <x v="14"/>
            <x v="18"/>
            <x v="19"/>
            <x v="22"/>
            <x v="24"/>
            <x v="31"/>
          </reference>
        </references>
      </pivotArea>
    </format>
    <format dxfId="144">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eau croisé dynamique1"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E17" firstHeaderRow="1" firstDataRow="2" firstDataCol="1" rowPageCount="1" colPageCount="1"/>
  <pivotFields count="14">
    <pivotField showAll="0"/>
    <pivotField showAll="0"/>
    <pivotField axis="axisPage" multipleItemSelectionAllowed="1" showAll="0">
      <items count="241">
        <item m="1" x="231"/>
        <item m="1" x="239"/>
        <item m="1" x="233"/>
        <item m="1" x="238"/>
        <item x="0"/>
        <item x="1"/>
        <item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3"/>
  </colFields>
  <colItems count="4">
    <i>
      <x v="5"/>
    </i>
    <i>
      <x v="6"/>
    </i>
    <i>
      <x v="7"/>
    </i>
    <i t="grand">
      <x/>
    </i>
  </colItems>
  <pageFields count="1">
    <pageField fld="2" hier="-1"/>
  </pageFields>
  <dataFields count="1">
    <dataField name="Somme de % éch." fld="12" baseField="8" baseItem="0"/>
  </dataFields>
  <formats count="2">
    <format dxfId="150">
      <pivotArea collapsedLevelsAreSubtotals="1" fieldPosition="0">
        <references count="1">
          <reference field="8" count="12">
            <x v="0"/>
            <x v="3"/>
            <x v="4"/>
            <x v="7"/>
            <x v="8"/>
            <x v="9"/>
            <x v="13"/>
            <x v="17"/>
            <x v="19"/>
            <x v="21"/>
            <x v="23"/>
            <x v="31"/>
          </reference>
        </references>
      </pivotArea>
    </format>
    <format dxfId="149">
      <pivotArea collapsedLevelsAreSubtotals="1" fieldPosition="0">
        <references count="1">
          <reference field="8" count="12">
            <x v="0"/>
            <x v="3"/>
            <x v="4"/>
            <x v="7"/>
            <x v="8"/>
            <x v="9"/>
            <x v="13"/>
            <x v="17"/>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eau croisé dynamique1"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m="1" x="231"/>
        <item m="1" x="239"/>
        <item m="1" x="233"/>
        <item m="1" x="238"/>
        <item h="1" x="0"/>
        <item h="1" x="1"/>
        <item h="1" x="2"/>
        <item m="1" x="237"/>
        <item m="1" x="232"/>
        <item m="1" x="234"/>
        <item m="1" x="236"/>
        <item m="1" x="235"/>
        <item m="1" x="230"/>
        <item h="1" x="229"/>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4"/>
    </i>
    <i r="1">
      <x v="42"/>
    </i>
    <i r="1">
      <x v="43"/>
    </i>
    <i t="default">
      <x v="21"/>
    </i>
    <i>
      <x v="22"/>
      <x v="15"/>
    </i>
    <i r="1">
      <x v="39"/>
    </i>
    <i r="1">
      <x v="40"/>
    </i>
    <i t="default">
      <x v="22"/>
    </i>
    <i>
      <x v="23"/>
      <x v="16"/>
    </i>
    <i r="1">
      <x v="23"/>
    </i>
    <i r="1">
      <x v="24"/>
    </i>
    <i t="default">
      <x v="23"/>
    </i>
    <i>
      <x v="24"/>
      <x v="17"/>
    </i>
    <i r="1">
      <x v="21"/>
    </i>
    <i r="1">
      <x v="22"/>
    </i>
    <i t="default">
      <x v="24"/>
    </i>
    <i>
      <x v="25"/>
      <x v="18"/>
    </i>
    <i r="1">
      <x v="19"/>
    </i>
    <i r="1">
      <x v="20"/>
    </i>
    <i t="default">
      <x v="25"/>
    </i>
    <i>
      <x v="26"/>
      <x v="25"/>
    </i>
    <i r="1">
      <x v="26"/>
    </i>
    <i r="1">
      <x v="41"/>
    </i>
    <i t="default">
      <x v="26"/>
    </i>
    <i>
      <x v="27"/>
      <x v="27"/>
    </i>
    <i r="1">
      <x v="28"/>
    </i>
    <i r="1">
      <x v="29"/>
    </i>
    <i t="default">
      <x v="27"/>
    </i>
    <i>
      <x v="28"/>
      <x v="30"/>
    </i>
    <i r="1">
      <x v="31"/>
    </i>
    <i r="1">
      <x v="32"/>
    </i>
    <i t="default">
      <x v="28"/>
    </i>
    <i>
      <x v="29"/>
      <x v="33"/>
    </i>
    <i r="1">
      <x v="34"/>
    </i>
    <i r="1">
      <x v="35"/>
    </i>
    <i t="default">
      <x v="29"/>
    </i>
    <i>
      <x v="30"/>
      <x v="36"/>
    </i>
    <i r="1">
      <x v="37"/>
    </i>
    <i r="1">
      <x v="38"/>
    </i>
    <i t="default">
      <x v="30"/>
    </i>
    <i>
      <x v="31"/>
      <x v="44"/>
    </i>
    <i r="1">
      <x v="49"/>
    </i>
    <i r="1">
      <x v="50"/>
    </i>
    <i t="default">
      <x v="31"/>
    </i>
    <i>
      <x v="32"/>
      <x v="45"/>
    </i>
    <i r="1">
      <x v="46"/>
    </i>
    <i r="1">
      <x v="47"/>
    </i>
    <i t="default">
      <x v="32"/>
    </i>
    <i>
      <x v="33"/>
      <x v="48"/>
    </i>
    <i t="default">
      <x v="33"/>
    </i>
    <i t="grand">
      <x/>
    </i>
  </colItems>
  <dataFields count="1">
    <dataField name="Somme de % éch." fld="12" baseField="8" baseItem="0"/>
  </dataFields>
  <formats count="12">
    <format dxfId="133">
      <pivotArea collapsedLevelsAreSubtotals="1" fieldPosition="0">
        <references count="1">
          <reference field="8" count="12">
            <x v="0"/>
            <x v="3"/>
            <x v="4"/>
            <x v="7"/>
            <x v="8"/>
            <x v="9"/>
            <x v="13"/>
            <x v="17"/>
            <x v="19"/>
            <x v="21"/>
            <x v="23"/>
            <x v="31"/>
          </reference>
        </references>
      </pivotArea>
    </format>
    <format dxfId="132">
      <pivotArea collapsedLevelsAreSubtotals="1" fieldPosition="0">
        <references count="1">
          <reference field="8" count="12">
            <x v="0"/>
            <x v="3"/>
            <x v="4"/>
            <x v="7"/>
            <x v="8"/>
            <x v="9"/>
            <x v="13"/>
            <x v="17"/>
            <x v="19"/>
            <x v="21"/>
            <x v="23"/>
            <x v="31"/>
          </reference>
        </references>
      </pivotArea>
    </format>
    <format dxfId="131">
      <pivotArea outline="0" collapsedLevelsAreSubtotals="1" fieldPosition="0">
        <references count="1">
          <reference field="3" count="5" selected="0" defaultSubtotal="1">
            <x v="8"/>
            <x v="9"/>
            <x v="10"/>
            <x v="11"/>
            <x v="12"/>
          </reference>
        </references>
      </pivotArea>
    </format>
    <format dxfId="130">
      <pivotArea outline="0" collapsedLevelsAreSubtotals="1" fieldPosition="0">
        <references count="2">
          <reference field="2" count="3" selected="0">
            <x v="25"/>
            <x v="26"/>
            <x v="41"/>
          </reference>
          <reference field="3" count="1" selected="0">
            <x v="13"/>
          </reference>
        </references>
      </pivotArea>
    </format>
    <format dxfId="129">
      <pivotArea outline="0" collapsedLevelsAreSubtotals="1" fieldPosition="0">
        <references count="1">
          <reference field="3" count="5" selected="0" defaultSubtotal="1">
            <x v="8"/>
            <x v="9"/>
            <x v="10"/>
            <x v="11"/>
            <x v="12"/>
          </reference>
        </references>
      </pivotArea>
    </format>
    <format dxfId="128">
      <pivotArea outline="0" collapsedLevelsAreSubtotals="1" fieldPosition="0">
        <references count="2">
          <reference field="2" count="3" selected="0">
            <x v="25"/>
            <x v="26"/>
            <x v="41"/>
          </reference>
          <reference field="3" count="1" selected="0">
            <x v="13"/>
          </reference>
        </references>
      </pivotArea>
    </format>
    <format dxfId="127">
      <pivotArea outline="0" collapsedLevelsAreSubtotals="1" fieldPosition="0">
        <references count="1">
          <reference field="3" count="5" selected="0" defaultSubtotal="1">
            <x v="8"/>
            <x v="9"/>
            <x v="10"/>
            <x v="11"/>
            <x v="12"/>
          </reference>
        </references>
      </pivotArea>
    </format>
    <format dxfId="126">
      <pivotArea outline="0" collapsedLevelsAreSubtotals="1" fieldPosition="0">
        <references count="2">
          <reference field="2" count="3" selected="0">
            <x v="25"/>
            <x v="26"/>
            <x v="41"/>
          </reference>
          <reference field="3" count="1" selected="0">
            <x v="13"/>
          </reference>
        </references>
      </pivotArea>
    </format>
    <format dxfId="125">
      <pivotArea outline="0" collapsedLevelsAreSubtotals="1" fieldPosition="0">
        <references count="1">
          <reference field="3" count="13" selected="0" defaultSubtotal="1">
            <x v="8"/>
            <x v="9"/>
            <x v="10"/>
            <x v="11"/>
            <x v="12"/>
            <x v="13"/>
            <x v="14"/>
            <x v="15"/>
            <x v="16"/>
            <x v="17"/>
            <x v="18"/>
            <x v="19"/>
            <x v="20"/>
          </reference>
        </references>
      </pivotArea>
    </format>
    <format dxfId="124">
      <pivotArea outline="0" collapsedLevelsAreSubtotals="1" fieldPosition="0">
        <references count="1">
          <reference field="3" count="13" selected="0" defaultSubtotal="1">
            <x v="8"/>
            <x v="9"/>
            <x v="10"/>
            <x v="11"/>
            <x v="12"/>
            <x v="13"/>
            <x v="14"/>
            <x v="15"/>
            <x v="16"/>
            <x v="17"/>
            <x v="18"/>
            <x v="19"/>
            <x v="20"/>
          </reference>
        </references>
      </pivotArea>
    </format>
    <format dxfId="123">
      <pivotArea outline="0" collapsedLevelsAreSubtotals="1" fieldPosition="0">
        <references count="1">
          <reference field="3" count="13" selected="0" defaultSubtotal="1">
            <x v="21"/>
            <x v="22"/>
            <x v="23"/>
            <x v="24"/>
            <x v="25"/>
            <x v="26"/>
            <x v="27"/>
            <x v="28"/>
            <x v="29"/>
            <x v="30"/>
            <x v="31"/>
            <x v="32"/>
            <x v="33"/>
          </reference>
        </references>
      </pivotArea>
    </format>
    <format dxfId="122">
      <pivotArea outline="0" collapsedLevelsAreSubtotals="1" fieldPosition="0">
        <references count="1">
          <reference field="3" count="13" selected="0" defaultSubtotal="1">
            <x v="21"/>
            <x v="22"/>
            <x v="23"/>
            <x v="24"/>
            <x v="25"/>
            <x v="26"/>
            <x v="27"/>
            <x v="28"/>
            <x v="29"/>
            <x v="30"/>
            <x v="31"/>
            <x v="32"/>
            <x v="33"/>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Tableau croisé dynamique1"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06"/>
    </i>
    <i r="1">
      <x v="107"/>
    </i>
    <i r="1">
      <x v="108"/>
    </i>
    <i t="default">
      <x v="21"/>
    </i>
    <i>
      <x v="22"/>
      <x v="85"/>
    </i>
    <i r="1">
      <x v="86"/>
    </i>
    <i r="1">
      <x v="87"/>
    </i>
    <i t="default">
      <x v="22"/>
    </i>
    <i>
      <x v="23"/>
      <x v="79"/>
    </i>
    <i r="1">
      <x v="80"/>
    </i>
    <i r="1">
      <x v="88"/>
    </i>
    <i t="default">
      <x v="23"/>
    </i>
    <i>
      <x v="24"/>
      <x v="81"/>
    </i>
    <i r="1">
      <x v="92"/>
    </i>
    <i r="1">
      <x v="102"/>
    </i>
    <i t="default">
      <x v="24"/>
    </i>
    <i>
      <x v="25"/>
      <x v="76"/>
    </i>
    <i r="1">
      <x v="77"/>
    </i>
    <i r="1">
      <x v="78"/>
    </i>
    <i t="default">
      <x v="25"/>
    </i>
    <i>
      <x v="26"/>
      <x v="89"/>
    </i>
    <i r="1">
      <x v="90"/>
    </i>
    <i r="1">
      <x v="91"/>
    </i>
    <i t="default">
      <x v="26"/>
    </i>
    <i>
      <x v="27"/>
      <x v="93"/>
    </i>
    <i r="1">
      <x v="94"/>
    </i>
    <i r="1">
      <x v="95"/>
    </i>
    <i t="default">
      <x v="27"/>
    </i>
    <i>
      <x v="28"/>
      <x v="82"/>
    </i>
    <i r="1">
      <x v="83"/>
    </i>
    <i r="1">
      <x v="84"/>
    </i>
    <i t="default">
      <x v="28"/>
    </i>
    <i>
      <x v="29"/>
      <x v="103"/>
    </i>
    <i r="1">
      <x v="104"/>
    </i>
    <i r="1">
      <x v="105"/>
    </i>
    <i t="default">
      <x v="29"/>
    </i>
    <i>
      <x v="30"/>
      <x v="96"/>
    </i>
    <i r="1">
      <x v="97"/>
    </i>
    <i r="1">
      <x v="98"/>
    </i>
    <i t="default">
      <x v="30"/>
    </i>
    <i>
      <x v="31"/>
      <x v="99"/>
    </i>
    <i r="1">
      <x v="100"/>
    </i>
    <i r="1">
      <x v="101"/>
    </i>
    <i t="default">
      <x v="31"/>
    </i>
    <i>
      <x v="32"/>
      <x v="109"/>
    </i>
    <i r="1">
      <x v="110"/>
    </i>
    <i r="1">
      <x v="111"/>
    </i>
    <i t="default">
      <x v="32"/>
    </i>
    <i>
      <x v="33"/>
      <x v="112"/>
    </i>
    <i t="default">
      <x v="33"/>
    </i>
    <i t="grand">
      <x/>
    </i>
  </colItems>
  <dataFields count="1">
    <dataField name="Somme de % éch." fld="12" baseField="8" baseItem="0"/>
  </dataFields>
  <formats count="12">
    <format dxfId="121">
      <pivotArea collapsedLevelsAreSubtotals="1" fieldPosition="0">
        <references count="1">
          <reference field="8" count="12">
            <x v="0"/>
            <x v="3"/>
            <x v="4"/>
            <x v="7"/>
            <x v="8"/>
            <x v="9"/>
            <x v="13"/>
            <x v="17"/>
            <x v="19"/>
            <x v="21"/>
            <x v="23"/>
            <x v="31"/>
          </reference>
        </references>
      </pivotArea>
    </format>
    <format dxfId="120">
      <pivotArea collapsedLevelsAreSubtotals="1" fieldPosition="0">
        <references count="1">
          <reference field="8" count="12">
            <x v="0"/>
            <x v="3"/>
            <x v="4"/>
            <x v="7"/>
            <x v="8"/>
            <x v="9"/>
            <x v="13"/>
            <x v="17"/>
            <x v="19"/>
            <x v="21"/>
            <x v="23"/>
            <x v="31"/>
          </reference>
        </references>
      </pivotArea>
    </format>
    <format dxfId="119">
      <pivotArea outline="0" collapsedLevelsAreSubtotals="1" fieldPosition="0">
        <references count="1">
          <reference field="3" count="5" selected="0" defaultSubtotal="1">
            <x v="8"/>
            <x v="9"/>
            <x v="10"/>
            <x v="11"/>
            <x v="12"/>
          </reference>
        </references>
      </pivotArea>
    </format>
    <format dxfId="118">
      <pivotArea outline="0" collapsedLevelsAreSubtotals="1" fieldPosition="0">
        <references count="2">
          <reference field="2" count="3" selected="0">
            <x v="25"/>
            <x v="26"/>
            <x v="41"/>
          </reference>
          <reference field="3" count="1" selected="0">
            <x v="13"/>
          </reference>
        </references>
      </pivotArea>
    </format>
    <format dxfId="117">
      <pivotArea outline="0" collapsedLevelsAreSubtotals="1" fieldPosition="0">
        <references count="1">
          <reference field="3" count="5" selected="0" defaultSubtotal="1">
            <x v="8"/>
            <x v="9"/>
            <x v="10"/>
            <x v="11"/>
            <x v="12"/>
          </reference>
        </references>
      </pivotArea>
    </format>
    <format dxfId="116">
      <pivotArea outline="0" collapsedLevelsAreSubtotals="1" fieldPosition="0">
        <references count="2">
          <reference field="2" count="3" selected="0">
            <x v="25"/>
            <x v="26"/>
            <x v="41"/>
          </reference>
          <reference field="3" count="1" selected="0">
            <x v="13"/>
          </reference>
        </references>
      </pivotArea>
    </format>
    <format dxfId="115">
      <pivotArea outline="0" collapsedLevelsAreSubtotals="1" fieldPosition="0">
        <references count="1">
          <reference field="3" count="5" selected="0" defaultSubtotal="1">
            <x v="8"/>
            <x v="9"/>
            <x v="10"/>
            <x v="11"/>
            <x v="12"/>
          </reference>
        </references>
      </pivotArea>
    </format>
    <format dxfId="114">
      <pivotArea outline="0" collapsedLevelsAreSubtotals="1" fieldPosition="0">
        <references count="2">
          <reference field="2" count="3" selected="0">
            <x v="25"/>
            <x v="26"/>
            <x v="41"/>
          </reference>
          <reference field="3" count="1" selected="0">
            <x v="13"/>
          </reference>
        </references>
      </pivotArea>
    </format>
    <format dxfId="113">
      <pivotArea outline="0" collapsedLevelsAreSubtotals="1" fieldPosition="0">
        <references count="1">
          <reference field="3" count="13" selected="0" defaultSubtotal="1">
            <x v="8"/>
            <x v="9"/>
            <x v="10"/>
            <x v="11"/>
            <x v="12"/>
            <x v="13"/>
            <x v="14"/>
            <x v="15"/>
            <x v="16"/>
            <x v="17"/>
            <x v="18"/>
            <x v="19"/>
            <x v="20"/>
          </reference>
        </references>
      </pivotArea>
    </format>
    <format dxfId="112">
      <pivotArea outline="0" collapsedLevelsAreSubtotals="1" fieldPosition="0">
        <references count="1">
          <reference field="3" count="13" selected="0" defaultSubtotal="1">
            <x v="8"/>
            <x v="9"/>
            <x v="10"/>
            <x v="11"/>
            <x v="12"/>
            <x v="13"/>
            <x v="14"/>
            <x v="15"/>
            <x v="16"/>
            <x v="17"/>
            <x v="18"/>
            <x v="19"/>
            <x v="20"/>
          </reference>
        </references>
      </pivotArea>
    </format>
    <format dxfId="111">
      <pivotArea outline="0" collapsedLevelsAreSubtotals="1" fieldPosition="0">
        <references count="1">
          <reference field="3" count="13" selected="0" defaultSubtotal="1">
            <x v="21"/>
            <x v="22"/>
            <x v="23"/>
            <x v="24"/>
            <x v="25"/>
            <x v="26"/>
            <x v="27"/>
            <x v="28"/>
            <x v="29"/>
            <x v="30"/>
            <x v="31"/>
            <x v="32"/>
            <x v="33"/>
          </reference>
        </references>
      </pivotArea>
    </format>
    <format dxfId="110">
      <pivotArea outline="0" collapsedLevelsAreSubtotals="1" fieldPosition="0">
        <references count="1">
          <reference field="3" count="13" selected="0" defaultSubtotal="1">
            <x v="21"/>
            <x v="22"/>
            <x v="23"/>
            <x v="24"/>
            <x v="25"/>
            <x v="26"/>
            <x v="27"/>
            <x v="28"/>
            <x v="29"/>
            <x v="30"/>
            <x v="31"/>
            <x v="32"/>
            <x v="33"/>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ableau croisé dynamique1"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h="1" x="141"/>
        <item h="1" x="142"/>
        <item h="1" x="143"/>
        <item h="1" x="144"/>
        <item h="1" x="145"/>
        <item h="1" x="146"/>
        <item h="1" x="147"/>
        <item h="1" x="148"/>
        <item h="1" x="149"/>
        <item h="1" x="150"/>
        <item h="1" x="151"/>
        <item h="1" x="152"/>
        <item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38"/>
    </i>
    <i r="1">
      <x v="139"/>
    </i>
    <i r="1">
      <x v="142"/>
    </i>
    <i t="default">
      <x v="21"/>
    </i>
    <i>
      <x v="22"/>
      <x v="122"/>
    </i>
    <i r="1">
      <x v="123"/>
    </i>
    <i r="1">
      <x v="144"/>
    </i>
    <i t="default">
      <x v="22"/>
    </i>
    <i>
      <x v="23"/>
      <x v="119"/>
    </i>
    <i r="1">
      <x v="120"/>
    </i>
    <i r="1">
      <x v="121"/>
    </i>
    <i t="default">
      <x v="23"/>
    </i>
    <i>
      <x v="24"/>
      <x v="130"/>
    </i>
    <i r="1">
      <x v="140"/>
    </i>
    <i r="1">
      <x v="141"/>
    </i>
    <i t="default">
      <x v="24"/>
    </i>
    <i>
      <x v="25"/>
      <x v="116"/>
    </i>
    <i r="1">
      <x v="117"/>
    </i>
    <i r="1">
      <x v="118"/>
    </i>
    <i t="default">
      <x v="25"/>
    </i>
    <i>
      <x v="26"/>
      <x v="149"/>
    </i>
    <i r="1">
      <x v="150"/>
    </i>
    <i r="1">
      <x v="151"/>
    </i>
    <i t="default">
      <x v="26"/>
    </i>
    <i>
      <x v="27"/>
      <x v="126"/>
    </i>
    <i r="1">
      <x v="134"/>
    </i>
    <i r="1">
      <x v="135"/>
    </i>
    <i t="default">
      <x v="27"/>
    </i>
    <i>
      <x v="28"/>
      <x v="128"/>
    </i>
    <i r="1">
      <x v="145"/>
    </i>
    <i r="1">
      <x v="146"/>
    </i>
    <i t="default">
      <x v="28"/>
    </i>
    <i>
      <x v="29"/>
      <x v="129"/>
    </i>
    <i r="1">
      <x v="136"/>
    </i>
    <i r="1">
      <x v="137"/>
    </i>
    <i t="default">
      <x v="29"/>
    </i>
    <i>
      <x v="30"/>
      <x v="124"/>
    </i>
    <i r="1">
      <x v="125"/>
    </i>
    <i r="1">
      <x v="143"/>
    </i>
    <i t="default">
      <x v="30"/>
    </i>
    <i>
      <x v="31"/>
      <x v="131"/>
    </i>
    <i r="1">
      <x v="132"/>
    </i>
    <i r="1">
      <x v="133"/>
    </i>
    <i t="default">
      <x v="31"/>
    </i>
    <i>
      <x v="32"/>
      <x v="127"/>
    </i>
    <i r="1">
      <x v="147"/>
    </i>
    <i r="1">
      <x v="148"/>
    </i>
    <i t="default">
      <x v="32"/>
    </i>
    <i>
      <x v="33"/>
      <x v="164"/>
    </i>
    <i t="default">
      <x v="33"/>
    </i>
    <i t="grand">
      <x/>
    </i>
  </colItems>
  <dataFields count="1">
    <dataField name="Somme de % éch." fld="12" baseField="8" baseItem="0"/>
  </dataFields>
  <formats count="15">
    <format dxfId="109">
      <pivotArea collapsedLevelsAreSubtotals="1" fieldPosition="0">
        <references count="1">
          <reference field="8" count="12">
            <x v="0"/>
            <x v="3"/>
            <x v="4"/>
            <x v="7"/>
            <x v="8"/>
            <x v="9"/>
            <x v="13"/>
            <x v="17"/>
            <x v="19"/>
            <x v="21"/>
            <x v="23"/>
            <x v="31"/>
          </reference>
        </references>
      </pivotArea>
    </format>
    <format dxfId="108">
      <pivotArea collapsedLevelsAreSubtotals="1" fieldPosition="0">
        <references count="1">
          <reference field="8" count="12">
            <x v="0"/>
            <x v="3"/>
            <x v="4"/>
            <x v="7"/>
            <x v="8"/>
            <x v="9"/>
            <x v="13"/>
            <x v="17"/>
            <x v="19"/>
            <x v="21"/>
            <x v="23"/>
            <x v="31"/>
          </reference>
        </references>
      </pivotArea>
    </format>
    <format dxfId="107">
      <pivotArea outline="0" collapsedLevelsAreSubtotals="1" fieldPosition="0">
        <references count="1">
          <reference field="3" count="5" selected="0" defaultSubtotal="1">
            <x v="8"/>
            <x v="9"/>
            <x v="10"/>
            <x v="11"/>
            <x v="12"/>
          </reference>
        </references>
      </pivotArea>
    </format>
    <format dxfId="106">
      <pivotArea outline="0" collapsedLevelsAreSubtotals="1" fieldPosition="0">
        <references count="2">
          <reference field="2" count="3" selected="0">
            <x v="25"/>
            <x v="26"/>
            <x v="41"/>
          </reference>
          <reference field="3" count="1" selected="0">
            <x v="13"/>
          </reference>
        </references>
      </pivotArea>
    </format>
    <format dxfId="105">
      <pivotArea outline="0" collapsedLevelsAreSubtotals="1" fieldPosition="0">
        <references count="1">
          <reference field="3" count="5" selected="0" defaultSubtotal="1">
            <x v="8"/>
            <x v="9"/>
            <x v="10"/>
            <x v="11"/>
            <x v="12"/>
          </reference>
        </references>
      </pivotArea>
    </format>
    <format dxfId="104">
      <pivotArea outline="0" collapsedLevelsAreSubtotals="1" fieldPosition="0">
        <references count="2">
          <reference field="2" count="3" selected="0">
            <x v="25"/>
            <x v="26"/>
            <x v="41"/>
          </reference>
          <reference field="3" count="1" selected="0">
            <x v="13"/>
          </reference>
        </references>
      </pivotArea>
    </format>
    <format dxfId="103">
      <pivotArea outline="0" collapsedLevelsAreSubtotals="1" fieldPosition="0">
        <references count="1">
          <reference field="3" count="5" selected="0" defaultSubtotal="1">
            <x v="8"/>
            <x v="9"/>
            <x v="10"/>
            <x v="11"/>
            <x v="12"/>
          </reference>
        </references>
      </pivotArea>
    </format>
    <format dxfId="102">
      <pivotArea outline="0" collapsedLevelsAreSubtotals="1" fieldPosition="0">
        <references count="2">
          <reference field="2" count="3" selected="0">
            <x v="25"/>
            <x v="26"/>
            <x v="41"/>
          </reference>
          <reference field="3" count="1" selected="0">
            <x v="13"/>
          </reference>
        </references>
      </pivotArea>
    </format>
    <format dxfId="101">
      <pivotArea outline="0" collapsedLevelsAreSubtotals="1" fieldPosition="0">
        <references count="1">
          <reference field="3" count="13" selected="0" defaultSubtotal="1">
            <x v="8"/>
            <x v="9"/>
            <x v="10"/>
            <x v="11"/>
            <x v="12"/>
            <x v="13"/>
            <x v="14"/>
            <x v="15"/>
            <x v="16"/>
            <x v="17"/>
            <x v="18"/>
            <x v="19"/>
            <x v="20"/>
          </reference>
        </references>
      </pivotArea>
    </format>
    <format dxfId="100">
      <pivotArea outline="0" collapsedLevelsAreSubtotals="1" fieldPosition="0">
        <references count="1">
          <reference field="3" count="13" selected="0" defaultSubtotal="1">
            <x v="8"/>
            <x v="9"/>
            <x v="10"/>
            <x v="11"/>
            <x v="12"/>
            <x v="13"/>
            <x v="14"/>
            <x v="15"/>
            <x v="16"/>
            <x v="17"/>
            <x v="18"/>
            <x v="19"/>
            <x v="20"/>
          </reference>
        </references>
      </pivotArea>
    </format>
    <format dxfId="99">
      <pivotArea outline="0" collapsedLevelsAreSubtotals="1" fieldPosition="0">
        <references count="1">
          <reference field="3" count="13" selected="0" defaultSubtotal="1">
            <x v="21"/>
            <x v="22"/>
            <x v="23"/>
            <x v="24"/>
            <x v="25"/>
            <x v="26"/>
            <x v="27"/>
            <x v="28"/>
            <x v="29"/>
            <x v="30"/>
            <x v="31"/>
            <x v="32"/>
            <x v="33"/>
          </reference>
        </references>
      </pivotArea>
    </format>
    <format dxfId="98">
      <pivotArea outline="0" collapsedLevelsAreSubtotals="1" fieldPosition="0">
        <references count="1">
          <reference field="3" count="13" selected="0" defaultSubtotal="1">
            <x v="21"/>
            <x v="22"/>
            <x v="23"/>
            <x v="24"/>
            <x v="25"/>
            <x v="26"/>
            <x v="27"/>
            <x v="28"/>
            <x v="29"/>
            <x v="30"/>
            <x v="31"/>
            <x v="32"/>
            <x v="33"/>
          </reference>
        </references>
      </pivotArea>
    </format>
    <format dxfId="97">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96">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95">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eau croisé dynamique1" cacheId="0"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86"/>
    </i>
    <i r="1">
      <x v="199"/>
    </i>
    <i r="1">
      <x v="200"/>
    </i>
    <i t="default">
      <x v="21"/>
    </i>
    <i>
      <x v="22"/>
      <x v="176"/>
    </i>
    <i r="1">
      <x v="192"/>
    </i>
    <i r="1">
      <x v="204"/>
    </i>
    <i t="default">
      <x v="22"/>
    </i>
    <i>
      <x v="23"/>
      <x v="175"/>
    </i>
    <i r="1">
      <x v="189"/>
    </i>
    <i r="1">
      <x v="201"/>
    </i>
    <i t="default">
      <x v="23"/>
    </i>
    <i>
      <x v="24"/>
      <x v="184"/>
    </i>
    <i r="1">
      <x v="185"/>
    </i>
    <i r="1">
      <x v="198"/>
    </i>
    <i t="default">
      <x v="24"/>
    </i>
    <i>
      <x v="25"/>
      <x v="182"/>
    </i>
    <i r="1">
      <x v="183"/>
    </i>
    <i r="1">
      <x v="195"/>
    </i>
    <i t="default">
      <x v="25"/>
    </i>
    <i>
      <x v="26"/>
      <x v="187"/>
    </i>
    <i r="1">
      <x v="196"/>
    </i>
    <i r="1">
      <x v="197"/>
    </i>
    <i t="default">
      <x v="26"/>
    </i>
    <i>
      <x v="27"/>
      <x v="180"/>
    </i>
    <i r="1">
      <x v="190"/>
    </i>
    <i r="1">
      <x v="208"/>
    </i>
    <i t="default">
      <x v="27"/>
    </i>
    <i>
      <x v="28"/>
      <x v="178"/>
    </i>
    <i r="1">
      <x v="193"/>
    </i>
    <i r="1">
      <x v="203"/>
    </i>
    <i t="default">
      <x v="28"/>
    </i>
    <i>
      <x v="29"/>
      <x v="177"/>
    </i>
    <i r="1">
      <x v="194"/>
    </i>
    <i r="1">
      <x v="207"/>
    </i>
    <i t="default">
      <x v="29"/>
    </i>
    <i>
      <x v="30"/>
      <x v="179"/>
    </i>
    <i r="1">
      <x v="191"/>
    </i>
    <i r="1">
      <x v="202"/>
    </i>
    <i t="default">
      <x v="30"/>
    </i>
    <i>
      <x v="31"/>
      <x v="209"/>
    </i>
    <i r="1">
      <x v="210"/>
    </i>
    <i r="1">
      <x v="211"/>
    </i>
    <i t="default">
      <x v="31"/>
    </i>
    <i>
      <x v="32"/>
      <x v="181"/>
    </i>
    <i r="1">
      <x v="205"/>
    </i>
    <i r="1">
      <x v="206"/>
    </i>
    <i t="default">
      <x v="32"/>
    </i>
    <i>
      <x v="33"/>
      <x v="188"/>
    </i>
    <i t="default">
      <x v="33"/>
    </i>
    <i t="grand">
      <x/>
    </i>
  </colItems>
  <dataFields count="1">
    <dataField name="Somme de % éch." fld="12" baseField="8" baseItem="0"/>
  </dataFields>
  <formats count="18">
    <format dxfId="94">
      <pivotArea collapsedLevelsAreSubtotals="1" fieldPosition="0">
        <references count="1">
          <reference field="8" count="12">
            <x v="0"/>
            <x v="3"/>
            <x v="4"/>
            <x v="7"/>
            <x v="8"/>
            <x v="9"/>
            <x v="13"/>
            <x v="17"/>
            <x v="19"/>
            <x v="21"/>
            <x v="23"/>
            <x v="31"/>
          </reference>
        </references>
      </pivotArea>
    </format>
    <format dxfId="93">
      <pivotArea collapsedLevelsAreSubtotals="1" fieldPosition="0">
        <references count="1">
          <reference field="8" count="12">
            <x v="0"/>
            <x v="3"/>
            <x v="4"/>
            <x v="7"/>
            <x v="8"/>
            <x v="9"/>
            <x v="13"/>
            <x v="17"/>
            <x v="19"/>
            <x v="21"/>
            <x v="23"/>
            <x v="31"/>
          </reference>
        </references>
      </pivotArea>
    </format>
    <format dxfId="92">
      <pivotArea outline="0" collapsedLevelsAreSubtotals="1" fieldPosition="0">
        <references count="1">
          <reference field="3" count="5" selected="0" defaultSubtotal="1">
            <x v="8"/>
            <x v="9"/>
            <x v="10"/>
            <x v="11"/>
            <x v="12"/>
          </reference>
        </references>
      </pivotArea>
    </format>
    <format dxfId="91">
      <pivotArea outline="0" collapsedLevelsAreSubtotals="1" fieldPosition="0">
        <references count="2">
          <reference field="2" count="3" selected="0">
            <x v="25"/>
            <x v="26"/>
            <x v="41"/>
          </reference>
          <reference field="3" count="1" selected="0">
            <x v="13"/>
          </reference>
        </references>
      </pivotArea>
    </format>
    <format dxfId="90">
      <pivotArea outline="0" collapsedLevelsAreSubtotals="1" fieldPosition="0">
        <references count="1">
          <reference field="3" count="5" selected="0" defaultSubtotal="1">
            <x v="8"/>
            <x v="9"/>
            <x v="10"/>
            <x v="11"/>
            <x v="12"/>
          </reference>
        </references>
      </pivotArea>
    </format>
    <format dxfId="89">
      <pivotArea outline="0" collapsedLevelsAreSubtotals="1" fieldPosition="0">
        <references count="2">
          <reference field="2" count="3" selected="0">
            <x v="25"/>
            <x v="26"/>
            <x v="41"/>
          </reference>
          <reference field="3" count="1" selected="0">
            <x v="13"/>
          </reference>
        </references>
      </pivotArea>
    </format>
    <format dxfId="88">
      <pivotArea outline="0" collapsedLevelsAreSubtotals="1" fieldPosition="0">
        <references count="1">
          <reference field="3" count="5" selected="0" defaultSubtotal="1">
            <x v="8"/>
            <x v="9"/>
            <x v="10"/>
            <x v="11"/>
            <x v="12"/>
          </reference>
        </references>
      </pivotArea>
    </format>
    <format dxfId="87">
      <pivotArea outline="0" collapsedLevelsAreSubtotals="1" fieldPosition="0">
        <references count="2">
          <reference field="2" count="3" selected="0">
            <x v="25"/>
            <x v="26"/>
            <x v="41"/>
          </reference>
          <reference field="3" count="1" selected="0">
            <x v="13"/>
          </reference>
        </references>
      </pivotArea>
    </format>
    <format dxfId="86">
      <pivotArea outline="0" collapsedLevelsAreSubtotals="1" fieldPosition="0">
        <references count="1">
          <reference field="3" count="13" selected="0" defaultSubtotal="1">
            <x v="8"/>
            <x v="9"/>
            <x v="10"/>
            <x v="11"/>
            <x v="12"/>
            <x v="13"/>
            <x v="14"/>
            <x v="15"/>
            <x v="16"/>
            <x v="17"/>
            <x v="18"/>
            <x v="19"/>
            <x v="20"/>
          </reference>
        </references>
      </pivotArea>
    </format>
    <format dxfId="85">
      <pivotArea outline="0" collapsedLevelsAreSubtotals="1" fieldPosition="0">
        <references count="1">
          <reference field="3" count="13" selected="0" defaultSubtotal="1">
            <x v="8"/>
            <x v="9"/>
            <x v="10"/>
            <x v="11"/>
            <x v="12"/>
            <x v="13"/>
            <x v="14"/>
            <x v="15"/>
            <x v="16"/>
            <x v="17"/>
            <x v="18"/>
            <x v="19"/>
            <x v="20"/>
          </reference>
        </references>
      </pivotArea>
    </format>
    <format dxfId="84">
      <pivotArea outline="0" collapsedLevelsAreSubtotals="1" fieldPosition="0">
        <references count="1">
          <reference field="3" count="13" selected="0" defaultSubtotal="1">
            <x v="21"/>
            <x v="22"/>
            <x v="23"/>
            <x v="24"/>
            <x v="25"/>
            <x v="26"/>
            <x v="27"/>
            <x v="28"/>
            <x v="29"/>
            <x v="30"/>
            <x v="31"/>
            <x v="32"/>
            <x v="33"/>
          </reference>
        </references>
      </pivotArea>
    </format>
    <format dxfId="83">
      <pivotArea outline="0" collapsedLevelsAreSubtotals="1" fieldPosition="0">
        <references count="1">
          <reference field="3" count="13" selected="0" defaultSubtotal="1">
            <x v="21"/>
            <x v="22"/>
            <x v="23"/>
            <x v="24"/>
            <x v="25"/>
            <x v="26"/>
            <x v="27"/>
            <x v="28"/>
            <x v="29"/>
            <x v="30"/>
            <x v="31"/>
            <x v="32"/>
            <x v="33"/>
          </reference>
        </references>
      </pivotArea>
    </format>
    <format dxfId="82">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81">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80">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79">
      <pivotArea collapsedLevelsAreSubtotals="1" fieldPosition="0">
        <references count="1">
          <reference field="8" count="12">
            <x v="0"/>
            <x v="3"/>
            <x v="4"/>
            <x v="7"/>
            <x v="8"/>
            <x v="10"/>
            <x v="14"/>
            <x v="18"/>
            <x v="19"/>
            <x v="22"/>
            <x v="24"/>
            <x v="31"/>
          </reference>
        </references>
      </pivotArea>
    </format>
    <format dxfId="78">
      <pivotArea collapsedLevelsAreSubtotals="1" fieldPosition="0">
        <references count="1">
          <reference field="8" count="12">
            <x v="0"/>
            <x v="3"/>
            <x v="4"/>
            <x v="7"/>
            <x v="8"/>
            <x v="10"/>
            <x v="14"/>
            <x v="18"/>
            <x v="19"/>
            <x v="22"/>
            <x v="24"/>
            <x v="31"/>
          </reference>
        </references>
      </pivotArea>
    </format>
    <format dxfId="77">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Tableau croisé dynamique1" cacheId="0"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T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x="41"/>
        <item x="40"/>
        <item x="42"/>
        <item x="43"/>
        <item x="44"/>
        <item x="45"/>
        <item h="1" x="3"/>
        <item h="1" x="31"/>
        <item h="1" x="32"/>
        <item h="1" m="1" x="235"/>
        <item h="1" m="1" x="230"/>
        <item h="1" x="229"/>
        <item x="46"/>
        <item x="47"/>
        <item x="48"/>
        <item x="49"/>
        <item x="50"/>
        <item x="51"/>
        <item x="52"/>
        <item x="53"/>
        <item x="54"/>
        <item x="55"/>
        <item x="56"/>
        <item x="57"/>
        <item x="58"/>
        <item x="59"/>
        <item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45">
    <i>
      <x v="32"/>
      <x v="45"/>
    </i>
    <i t="default">
      <x v="32"/>
    </i>
    <i>
      <x v="33"/>
      <x v="46"/>
    </i>
    <i t="default">
      <x v="33"/>
    </i>
    <i>
      <x v="34"/>
      <x v="47"/>
    </i>
    <i t="default">
      <x v="34"/>
    </i>
    <i>
      <x v="35"/>
      <x v="48"/>
    </i>
    <i t="default">
      <x v="35"/>
    </i>
    <i>
      <x v="37"/>
      <x v="71"/>
    </i>
    <i t="default">
      <x v="37"/>
    </i>
    <i>
      <x v="38"/>
      <x v="72"/>
    </i>
    <i t="default">
      <x v="38"/>
    </i>
    <i>
      <x v="39"/>
      <x v="70"/>
    </i>
    <i t="default">
      <x v="39"/>
    </i>
    <i>
      <x v="40"/>
      <x v="69"/>
    </i>
    <i t="default">
      <x v="40"/>
    </i>
    <i>
      <x v="41"/>
      <x v="58"/>
    </i>
    <i t="default">
      <x v="41"/>
    </i>
    <i>
      <x v="42"/>
      <x v="59"/>
    </i>
    <i t="default">
      <x v="42"/>
    </i>
    <i>
      <x v="43"/>
      <x v="57"/>
    </i>
    <i t="default">
      <x v="43"/>
    </i>
    <i>
      <x v="44"/>
      <x v="64"/>
    </i>
    <i t="default">
      <x v="44"/>
    </i>
    <i>
      <x v="45"/>
      <x v="68"/>
    </i>
    <i t="default">
      <x v="45"/>
    </i>
    <i>
      <x v="46"/>
      <x v="67"/>
    </i>
    <i t="default">
      <x v="46"/>
    </i>
    <i>
      <x v="47"/>
      <x v="65"/>
    </i>
    <i t="default">
      <x v="47"/>
    </i>
    <i>
      <x v="48"/>
      <x v="66"/>
    </i>
    <i t="default">
      <x v="48"/>
    </i>
    <i>
      <x v="49"/>
      <x v="63"/>
    </i>
    <i t="default">
      <x v="49"/>
    </i>
    <i>
      <x v="50"/>
      <x v="49"/>
    </i>
    <i t="default">
      <x v="50"/>
    </i>
    <i>
      <x v="51"/>
      <x v="50"/>
    </i>
    <i t="default">
      <x v="51"/>
    </i>
    <i>
      <x v="52"/>
      <x v="60"/>
    </i>
    <i t="default">
      <x v="52"/>
    </i>
    <i>
      <x v="53"/>
      <x v="62"/>
    </i>
    <i t="default">
      <x v="53"/>
    </i>
    <i>
      <x v="54"/>
      <x v="61"/>
    </i>
    <i t="default">
      <x v="54"/>
    </i>
    <i t="grand">
      <x/>
    </i>
  </colItems>
  <dataFields count="1">
    <dataField name="Somme de % éch." fld="12" baseField="0" baseItem="0"/>
  </dataFields>
  <formats count="2">
    <format dxfId="76">
      <pivotArea collapsedLevelsAreSubtotals="1" fieldPosition="0">
        <references count="1">
          <reference field="8" count="12">
            <x v="0"/>
            <x v="3"/>
            <x v="4"/>
            <x v="7"/>
            <x v="8"/>
            <x v="9"/>
            <x v="13"/>
            <x v="18"/>
            <x v="19"/>
            <x v="21"/>
            <x v="23"/>
            <x v="31"/>
          </reference>
        </references>
      </pivotArea>
    </format>
    <format dxfId="75">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Tableau croisé dynamique1" cacheId="0"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T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h="1" x="41"/>
        <item h="1" x="40"/>
        <item h="1" x="42"/>
        <item h="1" x="43"/>
        <item h="1" x="44"/>
        <item h="1" x="45"/>
        <item h="1" x="3"/>
        <item h="1" x="31"/>
        <item h="1" x="32"/>
        <item h="1" m="1" x="235"/>
        <item h="1" m="1" x="230"/>
        <item h="1" x="229"/>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x="141"/>
        <item x="142"/>
        <item x="143"/>
        <item x="144"/>
        <item x="145"/>
        <item x="146"/>
        <item x="147"/>
        <item x="148"/>
        <item x="149"/>
        <item x="150"/>
        <item x="151"/>
        <item x="152"/>
        <item h="1" x="153"/>
        <item x="155"/>
        <item x="156"/>
        <item x="157"/>
        <item x="158"/>
        <item x="159"/>
        <item x="160"/>
        <item x="161"/>
        <item x="162"/>
        <item x="163"/>
        <item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45">
    <i>
      <x v="32"/>
      <x v="169"/>
    </i>
    <i t="default">
      <x v="32"/>
    </i>
    <i>
      <x v="33"/>
      <x v="170"/>
    </i>
    <i t="default">
      <x v="33"/>
    </i>
    <i>
      <x v="34"/>
      <x v="171"/>
    </i>
    <i t="default">
      <x v="34"/>
    </i>
    <i>
      <x v="35"/>
      <x v="166"/>
    </i>
    <i t="default">
      <x v="35"/>
    </i>
    <i>
      <x v="37"/>
      <x v="165"/>
    </i>
    <i t="default">
      <x v="37"/>
    </i>
    <i>
      <x v="38"/>
      <x v="167"/>
    </i>
    <i t="default">
      <x v="38"/>
    </i>
    <i>
      <x v="39"/>
      <x v="174"/>
    </i>
    <i t="default">
      <x v="39"/>
    </i>
    <i>
      <x v="40"/>
      <x v="168"/>
    </i>
    <i t="default">
      <x v="40"/>
    </i>
    <i>
      <x v="41"/>
      <x v="152"/>
    </i>
    <i t="default">
      <x v="41"/>
    </i>
    <i>
      <x v="42"/>
      <x v="153"/>
    </i>
    <i t="default">
      <x v="42"/>
    </i>
    <i>
      <x v="43"/>
      <x v="154"/>
    </i>
    <i t="default">
      <x v="43"/>
    </i>
    <i>
      <x v="44"/>
      <x v="155"/>
    </i>
    <i t="default">
      <x v="44"/>
    </i>
    <i>
      <x v="45"/>
      <x v="156"/>
    </i>
    <i t="default">
      <x v="45"/>
    </i>
    <i>
      <x v="46"/>
      <x v="157"/>
    </i>
    <i t="default">
      <x v="46"/>
    </i>
    <i>
      <x v="47"/>
      <x v="158"/>
    </i>
    <i t="default">
      <x v="47"/>
    </i>
    <i>
      <x v="48"/>
      <x v="159"/>
    </i>
    <i t="default">
      <x v="48"/>
    </i>
    <i>
      <x v="49"/>
      <x v="160"/>
    </i>
    <i t="default">
      <x v="49"/>
    </i>
    <i>
      <x v="50"/>
      <x v="172"/>
    </i>
    <i t="default">
      <x v="50"/>
    </i>
    <i>
      <x v="51"/>
      <x v="173"/>
    </i>
    <i t="default">
      <x v="51"/>
    </i>
    <i>
      <x v="52"/>
      <x v="161"/>
    </i>
    <i t="default">
      <x v="52"/>
    </i>
    <i>
      <x v="53"/>
      <x v="162"/>
    </i>
    <i t="default">
      <x v="53"/>
    </i>
    <i>
      <x v="54"/>
      <x v="163"/>
    </i>
    <i t="default">
      <x v="54"/>
    </i>
    <i t="grand">
      <x/>
    </i>
  </colItems>
  <dataFields count="1">
    <dataField name="Somme de % éch." fld="12" baseField="0" baseItem="0"/>
  </dataFields>
  <formats count="2">
    <format dxfId="74">
      <pivotArea collapsedLevelsAreSubtotals="1" fieldPosition="0">
        <references count="1">
          <reference field="8" count="12">
            <x v="0"/>
            <x v="3"/>
            <x v="4"/>
            <x v="7"/>
            <x v="8"/>
            <x v="9"/>
            <x v="13"/>
            <x v="18"/>
            <x v="19"/>
            <x v="21"/>
            <x v="23"/>
            <x v="31"/>
          </reference>
        </references>
      </pivotArea>
    </format>
    <format dxfId="73">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Tableau croisé dynamique1" cacheId="0"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H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h="1" x="41"/>
        <item h="1" x="40"/>
        <item h="1" x="42"/>
        <item h="1" x="43"/>
        <item h="1" x="44"/>
        <item h="1" x="45"/>
        <item h="1" x="3"/>
        <item h="1" x="31"/>
        <item h="1" x="32"/>
        <item h="1" m="1" x="235"/>
        <item h="1" m="1" x="230"/>
        <item h="1" x="229"/>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x="201"/>
        <item x="202"/>
        <item x="203"/>
        <item x="204"/>
        <item x="205"/>
        <item x="206"/>
        <item x="207"/>
        <item x="208"/>
        <item x="209"/>
        <item x="210"/>
        <item x="211"/>
        <item x="212"/>
        <item x="213"/>
        <item x="214"/>
        <item x="215"/>
        <item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33">
    <i>
      <x v="34"/>
      <x v="227"/>
    </i>
    <i t="default">
      <x v="34"/>
    </i>
    <i>
      <x v="35"/>
      <x v="226"/>
    </i>
    <i t="default">
      <x v="35"/>
    </i>
    <i>
      <x v="41"/>
      <x v="222"/>
    </i>
    <i t="default">
      <x v="41"/>
    </i>
    <i>
      <x v="42"/>
      <x v="224"/>
    </i>
    <i t="default">
      <x v="42"/>
    </i>
    <i>
      <x v="43"/>
      <x v="223"/>
    </i>
    <i t="default">
      <x v="43"/>
    </i>
    <i>
      <x v="44"/>
      <x v="215"/>
    </i>
    <i t="default">
      <x v="44"/>
    </i>
    <i>
      <x v="45"/>
      <x v="213"/>
    </i>
    <i t="default">
      <x v="45"/>
    </i>
    <i>
      <x v="46"/>
      <x v="216"/>
    </i>
    <i t="default">
      <x v="46"/>
    </i>
    <i>
      <x v="47"/>
      <x v="212"/>
    </i>
    <i t="default">
      <x v="47"/>
    </i>
    <i>
      <x v="48"/>
      <x v="217"/>
    </i>
    <i t="default">
      <x v="48"/>
    </i>
    <i>
      <x v="49"/>
      <x v="218"/>
    </i>
    <i t="default">
      <x v="49"/>
    </i>
    <i>
      <x v="50"/>
      <x v="225"/>
    </i>
    <i t="default">
      <x v="50"/>
    </i>
    <i>
      <x v="51"/>
      <x v="221"/>
    </i>
    <i t="default">
      <x v="51"/>
    </i>
    <i>
      <x v="52"/>
      <x v="219"/>
    </i>
    <i t="default">
      <x v="52"/>
    </i>
    <i>
      <x v="53"/>
      <x v="214"/>
    </i>
    <i t="default">
      <x v="53"/>
    </i>
    <i>
      <x v="54"/>
      <x v="220"/>
    </i>
    <i t="default">
      <x v="54"/>
    </i>
    <i t="grand">
      <x/>
    </i>
  </colItems>
  <dataFields count="1">
    <dataField name="Somme de % éch." fld="12" baseField="0" baseItem="0"/>
  </dataFields>
  <formats count="2">
    <format dxfId="72">
      <pivotArea collapsedLevelsAreSubtotals="1" fieldPosition="0">
        <references count="1">
          <reference field="8" count="12">
            <x v="0"/>
            <x v="3"/>
            <x v="4"/>
            <x v="7"/>
            <x v="8"/>
            <x v="9"/>
            <x v="13"/>
            <x v="18"/>
            <x v="19"/>
            <x v="21"/>
            <x v="23"/>
            <x v="31"/>
          </reference>
        </references>
      </pivotArea>
    </format>
    <format dxfId="71">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eau croisé dynamique1" cacheId="0"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V18" firstHeaderRow="1" firstDataRow="3" firstDataCol="1"/>
  <pivotFields count="14">
    <pivotField showAll="0"/>
    <pivotField showAll="0"/>
    <pivotField axis="axisCol" showAll="0">
      <items count="241">
        <item x="33"/>
        <item x="38"/>
        <item x="39"/>
        <item m="1" x="231"/>
        <item m="1" x="239"/>
        <item x="34"/>
        <item x="35"/>
        <item x="36"/>
        <item m="1" x="233"/>
        <item m="1" x="238"/>
        <item x="16"/>
        <item x="17"/>
        <item x="18"/>
        <item x="5"/>
        <item x="12"/>
        <item x="13"/>
        <item x="25"/>
        <item x="26"/>
        <item x="27"/>
        <item x="22"/>
        <item x="23"/>
        <item x="24"/>
        <item x="0"/>
        <item x="1"/>
        <item x="2"/>
        <item m="1" x="237"/>
        <item m="1" x="232"/>
        <item m="1" x="234"/>
        <item m="1" x="236"/>
        <item x="14"/>
        <item x="15"/>
        <item x="30"/>
        <item x="7"/>
        <item x="8"/>
        <item x="9"/>
        <item x="6"/>
        <item x="10"/>
        <item x="11"/>
        <item x="19"/>
        <item x="20"/>
        <item x="21"/>
        <item x="4"/>
        <item x="28"/>
        <item x="29"/>
        <item x="37"/>
        <item x="41"/>
        <item x="40"/>
        <item x="42"/>
        <item x="43"/>
        <item x="44"/>
        <item x="45"/>
        <item x="3"/>
        <item x="31"/>
        <item x="32"/>
        <item m="1" x="235"/>
        <item m="1" x="230"/>
        <item x="229"/>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5"/>
        <item x="156"/>
        <item x="157"/>
        <item x="158"/>
        <item x="159"/>
        <item x="160"/>
        <item x="161"/>
        <item x="162"/>
        <item x="163"/>
        <item x="154"/>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h="1" x="17"/>
        <item h="1" x="16"/>
        <item h="1" x="18"/>
        <item h="1" x="19"/>
        <item h="1" m="1" x="58"/>
        <item h="1" x="36"/>
        <item h="1" x="37"/>
        <item h="1" x="35"/>
        <item h="1" x="34"/>
        <item h="1" x="23"/>
        <item h="1" x="24"/>
        <item h="1" x="22"/>
        <item h="1" x="29"/>
        <item h="1" x="33"/>
        <item h="1" x="32"/>
        <item h="1" x="30"/>
        <item h="1" x="31"/>
        <item h="1" x="28"/>
        <item h="1" x="20"/>
        <item h="1" x="21"/>
        <item h="1" x="25"/>
        <item h="1" x="27"/>
        <item h="1" x="26"/>
        <item h="1" x="3"/>
        <item h="1" m="1" x="50"/>
        <item x="42"/>
        <item x="46"/>
        <item x="40"/>
        <item x="43"/>
        <item x="45"/>
        <item x="44"/>
        <item x="47"/>
        <item x="41"/>
        <item x="39"/>
        <item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21">
    <i>
      <x v="57"/>
      <x v="233"/>
    </i>
    <i t="default">
      <x v="57"/>
    </i>
    <i>
      <x v="58"/>
      <x v="237"/>
    </i>
    <i t="default">
      <x v="58"/>
    </i>
    <i>
      <x v="59"/>
      <x v="231"/>
    </i>
    <i t="default">
      <x v="59"/>
    </i>
    <i>
      <x v="60"/>
      <x v="234"/>
    </i>
    <i t="default">
      <x v="60"/>
    </i>
    <i>
      <x v="61"/>
      <x v="236"/>
    </i>
    <i t="default">
      <x v="61"/>
    </i>
    <i>
      <x v="62"/>
      <x v="235"/>
    </i>
    <i t="default">
      <x v="62"/>
    </i>
    <i>
      <x v="63"/>
      <x v="238"/>
    </i>
    <i t="default">
      <x v="63"/>
    </i>
    <i>
      <x v="64"/>
      <x v="232"/>
    </i>
    <i t="default">
      <x v="64"/>
    </i>
    <i>
      <x v="65"/>
      <x v="230"/>
    </i>
    <i t="default">
      <x v="65"/>
    </i>
    <i>
      <x v="66"/>
      <x v="239"/>
    </i>
    <i t="default">
      <x v="66"/>
    </i>
    <i t="grand">
      <x/>
    </i>
  </colItems>
  <dataFields count="1">
    <dataField name="Somme de % éch." fld="12" baseField="0" baseItem="0"/>
  </dataFields>
  <formats count="2">
    <format dxfId="70">
      <pivotArea collapsedLevelsAreSubtotals="1" fieldPosition="0">
        <references count="1">
          <reference field="8" count="12">
            <x v="0"/>
            <x v="3"/>
            <x v="4"/>
            <x v="7"/>
            <x v="8"/>
            <x v="9"/>
            <x v="13"/>
            <x v="18"/>
            <x v="19"/>
            <x v="21"/>
            <x v="23"/>
            <x v="31"/>
          </reference>
        </references>
      </pivotArea>
    </format>
    <format dxfId="69">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Q2785"/>
  <sheetViews>
    <sheetView tabSelected="1" zoomScale="90" zoomScaleNormal="90" workbookViewId="0">
      <pane ySplit="1" topLeftCell="A1005" activePane="bottomLeft" state="frozen"/>
      <selection pane="bottomLeft" activeCell="C65" sqref="C65"/>
    </sheetView>
  </sheetViews>
  <sheetFormatPr baseColWidth="10" defaultRowHeight="15" x14ac:dyDescent="0.25"/>
  <cols>
    <col min="1" max="1" width="11.5703125" style="4" bestFit="1" customWidth="1"/>
    <col min="2" max="2" width="8.42578125" style="4" customWidth="1"/>
    <col min="3" max="3" width="16.140625" style="4" customWidth="1"/>
    <col min="4" max="4" width="17" style="4" customWidth="1"/>
    <col min="5" max="5" width="10.5703125" style="4" bestFit="1" customWidth="1"/>
    <col min="6" max="6" width="13.140625" style="4" customWidth="1"/>
    <col min="7" max="7" width="7.140625" customWidth="1"/>
    <col min="8" max="8" width="15.7109375" customWidth="1"/>
    <col min="9" max="9" width="67.7109375" bestFit="1" customWidth="1"/>
    <col min="10" max="11" width="10.5703125" style="4" bestFit="1" customWidth="1"/>
    <col min="12" max="12" width="10.5703125" style="6" bestFit="1" customWidth="1"/>
    <col min="13" max="13" width="11.28515625" style="4" bestFit="1" customWidth="1"/>
    <col min="14" max="14" width="21.7109375" customWidth="1"/>
    <col min="17" max="17" width="11.42578125" style="4"/>
  </cols>
  <sheetData>
    <row r="1" spans="1:14" ht="30.75" thickBot="1" x14ac:dyDescent="0.3">
      <c r="A1" s="9" t="s">
        <v>11</v>
      </c>
      <c r="B1" s="10" t="s">
        <v>15</v>
      </c>
      <c r="C1" s="10" t="s">
        <v>16</v>
      </c>
      <c r="D1" s="10" t="s">
        <v>17</v>
      </c>
      <c r="E1" s="27" t="s">
        <v>18</v>
      </c>
      <c r="F1" s="27" t="s">
        <v>19</v>
      </c>
      <c r="G1" s="10" t="s">
        <v>8</v>
      </c>
      <c r="H1" s="10" t="s">
        <v>5</v>
      </c>
      <c r="I1" s="10" t="s">
        <v>6</v>
      </c>
      <c r="J1" s="11" t="s">
        <v>12</v>
      </c>
      <c r="K1" s="11" t="s">
        <v>13</v>
      </c>
      <c r="L1" s="11" t="s">
        <v>14</v>
      </c>
      <c r="M1" s="10" t="s">
        <v>20</v>
      </c>
      <c r="N1" s="7" t="s">
        <v>7</v>
      </c>
    </row>
    <row r="2" spans="1:14" x14ac:dyDescent="0.25">
      <c r="A2" s="19">
        <v>44515</v>
      </c>
      <c r="B2" s="15">
        <v>1</v>
      </c>
      <c r="C2" s="15" t="s">
        <v>40</v>
      </c>
      <c r="D2" s="15" t="s">
        <v>40</v>
      </c>
      <c r="E2" s="25">
        <f>104.8-38.2</f>
        <v>66.599999999999994</v>
      </c>
      <c r="F2" s="25">
        <f>+SUM(L2:L13)</f>
        <v>66.199999999999989</v>
      </c>
      <c r="G2" s="16">
        <v>1</v>
      </c>
      <c r="H2" s="16" t="s">
        <v>9</v>
      </c>
      <c r="I2" s="59" t="s">
        <v>56</v>
      </c>
      <c r="J2" s="21">
        <v>10.95</v>
      </c>
      <c r="K2" s="21">
        <v>8.5</v>
      </c>
      <c r="L2" s="12">
        <f>+J2-K2</f>
        <v>2.4499999999999993</v>
      </c>
      <c r="M2" s="23">
        <f t="shared" ref="M2:M33" si="0">+L2/SUMIF(C:C,C2,L:L)</f>
        <v>3.7009063444108758E-2</v>
      </c>
      <c r="N2" s="13"/>
    </row>
    <row r="3" spans="1:14" x14ac:dyDescent="0.25">
      <c r="A3" s="20">
        <v>44515</v>
      </c>
      <c r="B3" s="1">
        <v>1</v>
      </c>
      <c r="C3" s="1" t="s">
        <v>40</v>
      </c>
      <c r="D3" s="1" t="s">
        <v>40</v>
      </c>
      <c r="E3" s="26">
        <f>+E2</f>
        <v>66.599999999999994</v>
      </c>
      <c r="F3" s="28">
        <f>+(F2-E2)/E2</f>
        <v>-6.0060060060060918E-3</v>
      </c>
      <c r="G3" s="17">
        <v>2</v>
      </c>
      <c r="H3" s="17" t="s">
        <v>9</v>
      </c>
      <c r="I3" s="30" t="s">
        <v>57</v>
      </c>
      <c r="J3" s="22">
        <f>9.75+9.5</f>
        <v>19.25</v>
      </c>
      <c r="K3" s="22">
        <f>8.3+8.55</f>
        <v>16.850000000000001</v>
      </c>
      <c r="L3" s="8">
        <f t="shared" ref="L3:L13" si="1">+J3-K3</f>
        <v>2.3999999999999986</v>
      </c>
      <c r="M3" s="24">
        <f t="shared" si="0"/>
        <v>3.62537764350453E-2</v>
      </c>
      <c r="N3" s="14"/>
    </row>
    <row r="4" spans="1:14" x14ac:dyDescent="0.25">
      <c r="A4" s="20">
        <v>44515</v>
      </c>
      <c r="B4" s="1">
        <v>1</v>
      </c>
      <c r="C4" s="1" t="s">
        <v>40</v>
      </c>
      <c r="D4" s="1" t="s">
        <v>40</v>
      </c>
      <c r="E4" s="26" t="e">
        <f>+#REF!</f>
        <v>#REF!</v>
      </c>
      <c r="F4" s="26" t="e">
        <f>+#REF!</f>
        <v>#REF!</v>
      </c>
      <c r="G4" s="17">
        <v>3</v>
      </c>
      <c r="H4" s="17" t="s">
        <v>9</v>
      </c>
      <c r="I4" s="30" t="s">
        <v>58</v>
      </c>
      <c r="J4" s="22">
        <f>10.65</f>
        <v>10.65</v>
      </c>
      <c r="K4" s="22">
        <f>8.25</f>
        <v>8.25</v>
      </c>
      <c r="L4" s="8">
        <f t="shared" ref="L4:L11" si="2">+J4-K4</f>
        <v>2.4000000000000004</v>
      </c>
      <c r="M4" s="24">
        <f t="shared" si="0"/>
        <v>3.6253776435045328E-2</v>
      </c>
      <c r="N4" s="14"/>
    </row>
    <row r="5" spans="1:14" x14ac:dyDescent="0.25">
      <c r="A5" s="20">
        <v>44515</v>
      </c>
      <c r="B5" s="1">
        <v>1</v>
      </c>
      <c r="C5" s="1" t="s">
        <v>40</v>
      </c>
      <c r="D5" s="1" t="s">
        <v>40</v>
      </c>
      <c r="E5" s="26" t="e">
        <f t="shared" ref="E5:F10" si="3">+E4</f>
        <v>#REF!</v>
      </c>
      <c r="F5" s="26" t="e">
        <f t="shared" si="3"/>
        <v>#REF!</v>
      </c>
      <c r="G5" s="17">
        <v>4</v>
      </c>
      <c r="H5" s="17" t="s">
        <v>9</v>
      </c>
      <c r="I5" s="30" t="s">
        <v>22</v>
      </c>
      <c r="J5" s="22">
        <f>1.5+0.75</f>
        <v>2.25</v>
      </c>
      <c r="K5" s="22">
        <f>0.55+0.55</f>
        <v>1.1000000000000001</v>
      </c>
      <c r="L5" s="8">
        <f t="shared" si="2"/>
        <v>1.1499999999999999</v>
      </c>
      <c r="M5" s="24">
        <f t="shared" si="0"/>
        <v>1.7371601208459216E-2</v>
      </c>
      <c r="N5" s="14"/>
    </row>
    <row r="6" spans="1:14" x14ac:dyDescent="0.25">
      <c r="A6" s="20">
        <v>44515</v>
      </c>
      <c r="B6" s="1">
        <v>1</v>
      </c>
      <c r="C6" s="1" t="s">
        <v>40</v>
      </c>
      <c r="D6" s="1" t="s">
        <v>40</v>
      </c>
      <c r="E6" s="26" t="e">
        <f t="shared" si="3"/>
        <v>#REF!</v>
      </c>
      <c r="F6" s="26" t="e">
        <f t="shared" si="3"/>
        <v>#REF!</v>
      </c>
      <c r="G6" s="17">
        <v>5</v>
      </c>
      <c r="H6" s="17" t="s">
        <v>9</v>
      </c>
      <c r="I6" s="30" t="s">
        <v>34</v>
      </c>
      <c r="J6" s="22">
        <f>0.7+0.65</f>
        <v>1.35</v>
      </c>
      <c r="K6" s="22">
        <f>0.55+0.55</f>
        <v>1.1000000000000001</v>
      </c>
      <c r="L6" s="8">
        <f t="shared" si="2"/>
        <v>0.25</v>
      </c>
      <c r="M6" s="24">
        <f t="shared" si="0"/>
        <v>3.7764350453172212E-3</v>
      </c>
      <c r="N6" s="14"/>
    </row>
    <row r="7" spans="1:14" x14ac:dyDescent="0.25">
      <c r="A7" s="20">
        <v>44515</v>
      </c>
      <c r="B7" s="1">
        <v>1</v>
      </c>
      <c r="C7" s="1" t="s">
        <v>40</v>
      </c>
      <c r="D7" s="1" t="s">
        <v>40</v>
      </c>
      <c r="E7" s="26" t="e">
        <f t="shared" si="3"/>
        <v>#REF!</v>
      </c>
      <c r="F7" s="26" t="e">
        <f t="shared" si="3"/>
        <v>#REF!</v>
      </c>
      <c r="G7" s="17">
        <v>6</v>
      </c>
      <c r="H7" s="17" t="s">
        <v>9</v>
      </c>
      <c r="I7" s="30" t="s">
        <v>35</v>
      </c>
      <c r="J7" s="22">
        <v>0.6</v>
      </c>
      <c r="K7" s="22">
        <v>0.55000000000000004</v>
      </c>
      <c r="L7" s="8">
        <f t="shared" si="2"/>
        <v>4.9999999999999933E-2</v>
      </c>
      <c r="M7" s="24">
        <f t="shared" si="0"/>
        <v>7.5528700906344324E-4</v>
      </c>
      <c r="N7" s="14"/>
    </row>
    <row r="8" spans="1:14" x14ac:dyDescent="0.25">
      <c r="A8" s="20">
        <v>44515</v>
      </c>
      <c r="B8" s="1">
        <v>1</v>
      </c>
      <c r="C8" s="1" t="s">
        <v>40</v>
      </c>
      <c r="D8" s="1" t="s">
        <v>40</v>
      </c>
      <c r="E8" s="26" t="e">
        <f t="shared" si="3"/>
        <v>#REF!</v>
      </c>
      <c r="F8" s="26" t="e">
        <f t="shared" si="3"/>
        <v>#REF!</v>
      </c>
      <c r="G8" s="17">
        <v>7</v>
      </c>
      <c r="H8" s="17" t="s">
        <v>9</v>
      </c>
      <c r="I8" s="30" t="s">
        <v>36</v>
      </c>
      <c r="J8" s="22">
        <v>6.75</v>
      </c>
      <c r="K8" s="22">
        <v>6.05</v>
      </c>
      <c r="L8" s="8">
        <f t="shared" si="2"/>
        <v>0.70000000000000018</v>
      </c>
      <c r="M8" s="24">
        <f t="shared" si="0"/>
        <v>1.0574018126888221E-2</v>
      </c>
      <c r="N8" s="14"/>
    </row>
    <row r="9" spans="1:14" x14ac:dyDescent="0.25">
      <c r="A9" s="20">
        <v>44515</v>
      </c>
      <c r="B9" s="1">
        <v>1</v>
      </c>
      <c r="C9" s="1" t="s">
        <v>40</v>
      </c>
      <c r="D9" s="1" t="s">
        <v>40</v>
      </c>
      <c r="E9" s="26" t="e">
        <f>+E8</f>
        <v>#REF!</v>
      </c>
      <c r="F9" s="26" t="e">
        <f>+F8</f>
        <v>#REF!</v>
      </c>
      <c r="G9" s="17">
        <v>8</v>
      </c>
      <c r="H9" s="17" t="s">
        <v>9</v>
      </c>
      <c r="I9" s="30" t="s">
        <v>59</v>
      </c>
      <c r="J9" s="22">
        <f>22.25+14.3</f>
        <v>36.549999999999997</v>
      </c>
      <c r="K9" s="22">
        <f>8.55+8.55</f>
        <v>17.100000000000001</v>
      </c>
      <c r="L9" s="8">
        <f t="shared" si="2"/>
        <v>19.449999999999996</v>
      </c>
      <c r="M9" s="24">
        <f t="shared" si="0"/>
        <v>0.29380664652567973</v>
      </c>
      <c r="N9" s="14"/>
    </row>
    <row r="10" spans="1:14" x14ac:dyDescent="0.25">
      <c r="A10" s="20">
        <v>44515</v>
      </c>
      <c r="B10" s="1">
        <v>1</v>
      </c>
      <c r="C10" s="1" t="s">
        <v>40</v>
      </c>
      <c r="D10" s="1" t="s">
        <v>40</v>
      </c>
      <c r="E10" s="26" t="e">
        <f t="shared" si="3"/>
        <v>#REF!</v>
      </c>
      <c r="F10" s="26" t="e">
        <f t="shared" si="3"/>
        <v>#REF!</v>
      </c>
      <c r="G10" s="17">
        <v>9</v>
      </c>
      <c r="H10" s="17" t="s">
        <v>9</v>
      </c>
      <c r="I10" s="30" t="s">
        <v>38</v>
      </c>
      <c r="J10" s="22">
        <f>2.3+1.45</f>
        <v>3.75</v>
      </c>
      <c r="K10" s="22">
        <f>0.5+0.55</f>
        <v>1.05</v>
      </c>
      <c r="L10" s="8">
        <f t="shared" si="2"/>
        <v>2.7</v>
      </c>
      <c r="M10" s="24">
        <f t="shared" si="0"/>
        <v>4.0785498489425989E-2</v>
      </c>
      <c r="N10" s="14"/>
    </row>
    <row r="11" spans="1:14" x14ac:dyDescent="0.25">
      <c r="A11" s="20">
        <v>44515</v>
      </c>
      <c r="B11" s="1">
        <v>1</v>
      </c>
      <c r="C11" s="1" t="s">
        <v>40</v>
      </c>
      <c r="D11" s="1" t="s">
        <v>40</v>
      </c>
      <c r="E11" s="26" t="e">
        <f t="shared" ref="E11:F11" si="4">+E10</f>
        <v>#REF!</v>
      </c>
      <c r="F11" s="26" t="e">
        <f t="shared" si="4"/>
        <v>#REF!</v>
      </c>
      <c r="G11" s="17">
        <v>10</v>
      </c>
      <c r="H11" s="17" t="s">
        <v>9</v>
      </c>
      <c r="I11" s="30" t="s">
        <v>23</v>
      </c>
      <c r="J11" s="22">
        <f>18.4+15.75</f>
        <v>34.15</v>
      </c>
      <c r="K11" s="22">
        <f>8.3+8.3</f>
        <v>16.600000000000001</v>
      </c>
      <c r="L11" s="8">
        <f t="shared" si="2"/>
        <v>17.549999999999997</v>
      </c>
      <c r="M11" s="24">
        <f t="shared" si="0"/>
        <v>0.26510574018126887</v>
      </c>
      <c r="N11" s="14"/>
    </row>
    <row r="12" spans="1:14" x14ac:dyDescent="0.25">
      <c r="A12" s="20">
        <v>44515</v>
      </c>
      <c r="B12" s="1">
        <v>1</v>
      </c>
      <c r="C12" s="1" t="s">
        <v>40</v>
      </c>
      <c r="D12" s="1" t="s">
        <v>40</v>
      </c>
      <c r="E12" s="26" t="e">
        <f t="shared" ref="E12:F12" si="5">+E11</f>
        <v>#REF!</v>
      </c>
      <c r="F12" s="26" t="e">
        <f t="shared" si="5"/>
        <v>#REF!</v>
      </c>
      <c r="G12" s="17">
        <v>11</v>
      </c>
      <c r="H12" s="17" t="s">
        <v>9</v>
      </c>
      <c r="I12" s="30" t="s">
        <v>60</v>
      </c>
      <c r="J12" s="22">
        <f>9.3+9.6</f>
        <v>18.899999999999999</v>
      </c>
      <c r="K12" s="22">
        <f>8.5+8.55</f>
        <v>17.05</v>
      </c>
      <c r="L12" s="8">
        <f t="shared" si="1"/>
        <v>1.8499999999999979</v>
      </c>
      <c r="M12" s="24">
        <f t="shared" si="0"/>
        <v>2.7945619335347404E-2</v>
      </c>
      <c r="N12" s="14"/>
    </row>
    <row r="13" spans="1:14" ht="15.75" thickBot="1" x14ac:dyDescent="0.3">
      <c r="A13" s="20">
        <v>44515</v>
      </c>
      <c r="B13" s="1">
        <v>1</v>
      </c>
      <c r="C13" s="1" t="s">
        <v>40</v>
      </c>
      <c r="D13" s="1" t="s">
        <v>40</v>
      </c>
      <c r="E13" s="26" t="e">
        <f t="shared" ref="E13:F13" si="6">+E12</f>
        <v>#REF!</v>
      </c>
      <c r="F13" s="26" t="e">
        <f t="shared" si="6"/>
        <v>#REF!</v>
      </c>
      <c r="G13" s="18">
        <f>+G12+1</f>
        <v>12</v>
      </c>
      <c r="H13" s="18" t="s">
        <v>10</v>
      </c>
      <c r="I13" s="46" t="s">
        <v>10</v>
      </c>
      <c r="J13" s="22">
        <f>18.65+13.4</f>
        <v>32.049999999999997</v>
      </c>
      <c r="K13" s="22">
        <f>8.3+8.5</f>
        <v>16.8</v>
      </c>
      <c r="L13" s="8">
        <f t="shared" si="1"/>
        <v>15.249999999999996</v>
      </c>
      <c r="M13" s="24">
        <f t="shared" si="0"/>
        <v>0.23036253776435045</v>
      </c>
      <c r="N13" s="14"/>
    </row>
    <row r="14" spans="1:14" x14ac:dyDescent="0.25">
      <c r="A14" s="19">
        <v>44515</v>
      </c>
      <c r="B14" s="15">
        <v>2</v>
      </c>
      <c r="C14" s="15" t="s">
        <v>41</v>
      </c>
      <c r="D14" s="15" t="s">
        <v>41</v>
      </c>
      <c r="E14" s="25">
        <f>86.6-38.2</f>
        <v>48.399999999999991</v>
      </c>
      <c r="F14" s="25">
        <f>+SUM(L14:L25)</f>
        <v>48.3</v>
      </c>
      <c r="G14" s="16">
        <v>1</v>
      </c>
      <c r="H14" s="16" t="s">
        <v>9</v>
      </c>
      <c r="I14" s="59" t="s">
        <v>56</v>
      </c>
      <c r="J14" s="21">
        <v>10.7</v>
      </c>
      <c r="K14" s="21">
        <v>8.5</v>
      </c>
      <c r="L14" s="12">
        <f>+J14-K14</f>
        <v>2.1999999999999993</v>
      </c>
      <c r="M14" s="23">
        <f t="shared" si="0"/>
        <v>4.5548654244306409E-2</v>
      </c>
      <c r="N14" s="13"/>
    </row>
    <row r="15" spans="1:14" x14ac:dyDescent="0.25">
      <c r="A15" s="20">
        <v>44515</v>
      </c>
      <c r="B15" s="1">
        <v>2</v>
      </c>
      <c r="C15" s="1" t="s">
        <v>41</v>
      </c>
      <c r="D15" s="1" t="s">
        <v>41</v>
      </c>
      <c r="E15" s="26">
        <f>+E14</f>
        <v>48.399999999999991</v>
      </c>
      <c r="F15" s="28">
        <f>+(F14-E14)/E14</f>
        <v>-2.0661157024792218E-3</v>
      </c>
      <c r="G15" s="17">
        <v>2</v>
      </c>
      <c r="H15" s="17" t="s">
        <v>9</v>
      </c>
      <c r="I15" s="30" t="s">
        <v>57</v>
      </c>
      <c r="J15" s="22">
        <f>10+9.6</f>
        <v>19.600000000000001</v>
      </c>
      <c r="K15" s="22">
        <f>8.3+8.55</f>
        <v>16.850000000000001</v>
      </c>
      <c r="L15" s="8">
        <f t="shared" ref="L15:L25" si="7">+J15-K15</f>
        <v>2.75</v>
      </c>
      <c r="M15" s="24">
        <f t="shared" si="0"/>
        <v>5.6935817805383024E-2</v>
      </c>
      <c r="N15" s="14"/>
    </row>
    <row r="16" spans="1:14" x14ac:dyDescent="0.25">
      <c r="A16" s="20">
        <v>44515</v>
      </c>
      <c r="B16" s="1">
        <v>2</v>
      </c>
      <c r="C16" s="1" t="s">
        <v>41</v>
      </c>
      <c r="D16" s="1" t="s">
        <v>41</v>
      </c>
      <c r="E16" s="26" t="e">
        <f>+#REF!</f>
        <v>#REF!</v>
      </c>
      <c r="F16" s="26" t="e">
        <f>+#REF!</f>
        <v>#REF!</v>
      </c>
      <c r="G16" s="17">
        <v>3</v>
      </c>
      <c r="H16" s="17" t="s">
        <v>9</v>
      </c>
      <c r="I16" s="30" t="s">
        <v>58</v>
      </c>
      <c r="J16" s="22">
        <v>9.6</v>
      </c>
      <c r="K16" s="22">
        <f>8.25</f>
        <v>8.25</v>
      </c>
      <c r="L16" s="8">
        <f t="shared" si="7"/>
        <v>1.3499999999999996</v>
      </c>
      <c r="M16" s="24">
        <f t="shared" si="0"/>
        <v>2.7950310559006205E-2</v>
      </c>
      <c r="N16" s="14"/>
    </row>
    <row r="17" spans="1:17" x14ac:dyDescent="0.25">
      <c r="A17" s="20">
        <v>44515</v>
      </c>
      <c r="B17" s="1">
        <v>2</v>
      </c>
      <c r="C17" s="1" t="s">
        <v>41</v>
      </c>
      <c r="D17" s="1" t="s">
        <v>41</v>
      </c>
      <c r="E17" s="26" t="e">
        <f t="shared" ref="E17:F17" si="8">+E16</f>
        <v>#REF!</v>
      </c>
      <c r="F17" s="26" t="e">
        <f t="shared" si="8"/>
        <v>#REF!</v>
      </c>
      <c r="G17" s="17">
        <v>4</v>
      </c>
      <c r="H17" s="17" t="s">
        <v>9</v>
      </c>
      <c r="I17" s="30" t="s">
        <v>22</v>
      </c>
      <c r="J17" s="22">
        <f>0.95+0.9</f>
        <v>1.85</v>
      </c>
      <c r="K17" s="22">
        <f>0.55+0.55</f>
        <v>1.1000000000000001</v>
      </c>
      <c r="L17" s="8">
        <f t="shared" si="7"/>
        <v>0.75</v>
      </c>
      <c r="M17" s="24">
        <f t="shared" si="0"/>
        <v>1.5527950310559008E-2</v>
      </c>
      <c r="N17" s="14"/>
    </row>
    <row r="18" spans="1:17" x14ac:dyDescent="0.25">
      <c r="A18" s="20">
        <v>44515</v>
      </c>
      <c r="B18" s="1">
        <v>2</v>
      </c>
      <c r="C18" s="1" t="s">
        <v>41</v>
      </c>
      <c r="D18" s="1" t="s">
        <v>41</v>
      </c>
      <c r="E18" s="26" t="e">
        <f t="shared" ref="E18:F18" si="9">+E17</f>
        <v>#REF!</v>
      </c>
      <c r="F18" s="26" t="e">
        <f t="shared" si="9"/>
        <v>#REF!</v>
      </c>
      <c r="G18" s="17">
        <v>5</v>
      </c>
      <c r="H18" s="17" t="s">
        <v>9</v>
      </c>
      <c r="I18" s="30" t="s">
        <v>34</v>
      </c>
      <c r="J18" s="22">
        <f>0.65+0.7</f>
        <v>1.35</v>
      </c>
      <c r="K18" s="22">
        <f>0.55+0.55</f>
        <v>1.1000000000000001</v>
      </c>
      <c r="L18" s="8">
        <f t="shared" si="7"/>
        <v>0.25</v>
      </c>
      <c r="M18" s="24">
        <f t="shared" si="0"/>
        <v>5.175983436853002E-3</v>
      </c>
      <c r="N18" s="14"/>
    </row>
    <row r="19" spans="1:17" x14ac:dyDescent="0.25">
      <c r="A19" s="20">
        <v>44515</v>
      </c>
      <c r="B19" s="1">
        <v>2</v>
      </c>
      <c r="C19" s="1" t="s">
        <v>41</v>
      </c>
      <c r="D19" s="1" t="s">
        <v>41</v>
      </c>
      <c r="E19" s="26" t="e">
        <f t="shared" ref="E19:F19" si="10">+E18</f>
        <v>#REF!</v>
      </c>
      <c r="F19" s="26" t="e">
        <f t="shared" si="10"/>
        <v>#REF!</v>
      </c>
      <c r="G19" s="17">
        <v>6</v>
      </c>
      <c r="H19" s="17" t="s">
        <v>9</v>
      </c>
      <c r="I19" s="30" t="s">
        <v>35</v>
      </c>
      <c r="J19" s="22">
        <v>0.6</v>
      </c>
      <c r="K19" s="22">
        <v>0.55000000000000004</v>
      </c>
      <c r="L19" s="8">
        <f t="shared" si="7"/>
        <v>4.9999999999999933E-2</v>
      </c>
      <c r="M19" s="24">
        <f t="shared" si="0"/>
        <v>1.0351966873705992E-3</v>
      </c>
      <c r="N19" s="14"/>
    </row>
    <row r="20" spans="1:17" x14ac:dyDescent="0.25">
      <c r="A20" s="20">
        <v>44515</v>
      </c>
      <c r="B20" s="1">
        <v>2</v>
      </c>
      <c r="C20" s="1" t="s">
        <v>41</v>
      </c>
      <c r="D20" s="1" t="s">
        <v>41</v>
      </c>
      <c r="E20" s="26" t="e">
        <f t="shared" ref="E20:F20" si="11">+E19</f>
        <v>#REF!</v>
      </c>
      <c r="F20" s="26" t="e">
        <f t="shared" si="11"/>
        <v>#REF!</v>
      </c>
      <c r="G20" s="17">
        <v>7</v>
      </c>
      <c r="H20" s="17" t="s">
        <v>9</v>
      </c>
      <c r="I20" s="30" t="s">
        <v>36</v>
      </c>
      <c r="J20" s="22">
        <v>6.45</v>
      </c>
      <c r="K20" s="22">
        <v>6.05</v>
      </c>
      <c r="L20" s="8">
        <f t="shared" si="7"/>
        <v>0.40000000000000036</v>
      </c>
      <c r="M20" s="24">
        <f t="shared" si="0"/>
        <v>8.2815734989648108E-3</v>
      </c>
      <c r="N20" s="14"/>
    </row>
    <row r="21" spans="1:17" x14ac:dyDescent="0.25">
      <c r="A21" s="20">
        <v>44515</v>
      </c>
      <c r="B21" s="1">
        <v>2</v>
      </c>
      <c r="C21" s="1" t="s">
        <v>41</v>
      </c>
      <c r="D21" s="1" t="s">
        <v>41</v>
      </c>
      <c r="E21" s="26" t="e">
        <f>+E20</f>
        <v>#REF!</v>
      </c>
      <c r="F21" s="26" t="e">
        <f>+F20</f>
        <v>#REF!</v>
      </c>
      <c r="G21" s="17">
        <v>8</v>
      </c>
      <c r="H21" s="17" t="s">
        <v>9</v>
      </c>
      <c r="I21" s="30" t="s">
        <v>59</v>
      </c>
      <c r="J21" s="22">
        <f>19.9+13.7</f>
        <v>33.599999999999994</v>
      </c>
      <c r="K21" s="22">
        <f>8.55+8.55</f>
        <v>17.100000000000001</v>
      </c>
      <c r="L21" s="8">
        <f t="shared" si="7"/>
        <v>16.499999999999993</v>
      </c>
      <c r="M21" s="24">
        <f t="shared" si="0"/>
        <v>0.341614906832298</v>
      </c>
      <c r="N21" s="14"/>
    </row>
    <row r="22" spans="1:17" x14ac:dyDescent="0.25">
      <c r="A22" s="20">
        <v>44515</v>
      </c>
      <c r="B22" s="1">
        <v>2</v>
      </c>
      <c r="C22" s="1" t="s">
        <v>41</v>
      </c>
      <c r="D22" s="1" t="s">
        <v>41</v>
      </c>
      <c r="E22" s="26" t="e">
        <f t="shared" ref="E22:F22" si="12">+E21</f>
        <v>#REF!</v>
      </c>
      <c r="F22" s="26" t="e">
        <f t="shared" si="12"/>
        <v>#REF!</v>
      </c>
      <c r="G22" s="17">
        <v>9</v>
      </c>
      <c r="H22" s="17" t="s">
        <v>9</v>
      </c>
      <c r="I22" s="30" t="s">
        <v>38</v>
      </c>
      <c r="J22" s="22">
        <f>1.1+1.4</f>
        <v>2.5</v>
      </c>
      <c r="K22" s="22">
        <f>0.5+0.55</f>
        <v>1.05</v>
      </c>
      <c r="L22" s="8">
        <f t="shared" si="7"/>
        <v>1.45</v>
      </c>
      <c r="M22" s="24">
        <f t="shared" si="0"/>
        <v>3.0020703933747412E-2</v>
      </c>
      <c r="N22" s="14"/>
    </row>
    <row r="23" spans="1:17" x14ac:dyDescent="0.25">
      <c r="A23" s="20">
        <v>44515</v>
      </c>
      <c r="B23" s="1">
        <v>2</v>
      </c>
      <c r="C23" s="1" t="s">
        <v>41</v>
      </c>
      <c r="D23" s="1" t="s">
        <v>41</v>
      </c>
      <c r="E23" s="26" t="e">
        <f t="shared" ref="E23:F23" si="13">+E22</f>
        <v>#REF!</v>
      </c>
      <c r="F23" s="26" t="e">
        <f t="shared" si="13"/>
        <v>#REF!</v>
      </c>
      <c r="G23" s="17">
        <v>10</v>
      </c>
      <c r="H23" s="17" t="s">
        <v>9</v>
      </c>
      <c r="I23" s="30" t="s">
        <v>23</v>
      </c>
      <c r="J23" s="22">
        <f>14.9+13.25</f>
        <v>28.15</v>
      </c>
      <c r="K23" s="22">
        <f>8.3+8.3</f>
        <v>16.600000000000001</v>
      </c>
      <c r="L23" s="8">
        <f t="shared" si="7"/>
        <v>11.549999999999997</v>
      </c>
      <c r="M23" s="24">
        <f t="shared" si="0"/>
        <v>0.23913043478260865</v>
      </c>
      <c r="N23" s="14"/>
    </row>
    <row r="24" spans="1:17" x14ac:dyDescent="0.25">
      <c r="A24" s="20">
        <v>44515</v>
      </c>
      <c r="B24" s="1">
        <v>2</v>
      </c>
      <c r="C24" s="1" t="s">
        <v>41</v>
      </c>
      <c r="D24" s="1" t="s">
        <v>41</v>
      </c>
      <c r="E24" s="26" t="e">
        <f t="shared" ref="E24:F24" si="14">+E23</f>
        <v>#REF!</v>
      </c>
      <c r="F24" s="26" t="e">
        <f t="shared" si="14"/>
        <v>#REF!</v>
      </c>
      <c r="G24" s="17">
        <v>11</v>
      </c>
      <c r="H24" s="17" t="s">
        <v>9</v>
      </c>
      <c r="I24" s="30" t="s">
        <v>60</v>
      </c>
      <c r="J24" s="22">
        <f>9.9+9.3</f>
        <v>19.200000000000003</v>
      </c>
      <c r="K24" s="22">
        <f>8.5+8.55</f>
        <v>17.05</v>
      </c>
      <c r="L24" s="8">
        <f t="shared" si="7"/>
        <v>2.1500000000000021</v>
      </c>
      <c r="M24" s="24">
        <f t="shared" si="0"/>
        <v>4.4513457556935865E-2</v>
      </c>
      <c r="N24" s="14"/>
    </row>
    <row r="25" spans="1:17" s="2" customFormat="1" ht="60.75" thickBot="1" x14ac:dyDescent="0.3">
      <c r="A25" s="60">
        <v>44515</v>
      </c>
      <c r="B25" s="57">
        <v>2</v>
      </c>
      <c r="C25" s="57" t="s">
        <v>41</v>
      </c>
      <c r="D25" s="57" t="s">
        <v>41</v>
      </c>
      <c r="E25" s="61" t="e">
        <f t="shared" ref="E25:F25" si="15">+E24</f>
        <v>#REF!</v>
      </c>
      <c r="F25" s="61" t="e">
        <f t="shared" si="15"/>
        <v>#REF!</v>
      </c>
      <c r="G25" s="62">
        <f>+G24+1</f>
        <v>12</v>
      </c>
      <c r="H25" s="62" t="s">
        <v>10</v>
      </c>
      <c r="I25" s="46" t="s">
        <v>10</v>
      </c>
      <c r="J25" s="63">
        <f>14.8+10.9</f>
        <v>25.700000000000003</v>
      </c>
      <c r="K25" s="63">
        <f>8.3+8.5</f>
        <v>16.8</v>
      </c>
      <c r="L25" s="64">
        <f t="shared" si="7"/>
        <v>8.9000000000000021</v>
      </c>
      <c r="M25" s="65">
        <f t="shared" si="0"/>
        <v>0.18426501035196693</v>
      </c>
      <c r="N25" s="66" t="s">
        <v>48</v>
      </c>
      <c r="Q25" s="5"/>
    </row>
    <row r="26" spans="1:17" x14ac:dyDescent="0.25">
      <c r="A26" s="19">
        <v>44515</v>
      </c>
      <c r="B26" s="15">
        <v>3</v>
      </c>
      <c r="C26" s="15" t="s">
        <v>42</v>
      </c>
      <c r="D26" s="15" t="s">
        <v>42</v>
      </c>
      <c r="E26" s="25">
        <f>80-38.4</f>
        <v>41.6</v>
      </c>
      <c r="F26" s="25">
        <f>+SUM(L26:L37)</f>
        <v>42.05</v>
      </c>
      <c r="G26" s="16">
        <v>1</v>
      </c>
      <c r="H26" s="16" t="s">
        <v>9</v>
      </c>
      <c r="I26" s="59" t="s">
        <v>56</v>
      </c>
      <c r="J26" s="21">
        <v>10.6</v>
      </c>
      <c r="K26" s="21">
        <v>8.5</v>
      </c>
      <c r="L26" s="12">
        <f>+J26-K26</f>
        <v>2.0999999999999996</v>
      </c>
      <c r="M26" s="23">
        <f t="shared" si="0"/>
        <v>4.9940546967895356E-2</v>
      </c>
      <c r="N26" s="13"/>
    </row>
    <row r="27" spans="1:17" x14ac:dyDescent="0.25">
      <c r="A27" s="20">
        <v>44515</v>
      </c>
      <c r="B27" s="1">
        <v>3</v>
      </c>
      <c r="C27" s="1" t="s">
        <v>42</v>
      </c>
      <c r="D27" s="1" t="s">
        <v>42</v>
      </c>
      <c r="E27" s="26">
        <f>+E26</f>
        <v>41.6</v>
      </c>
      <c r="F27" s="28">
        <f>+(F26-E26)/E26</f>
        <v>1.081730769230759E-2</v>
      </c>
      <c r="G27" s="17">
        <v>2</v>
      </c>
      <c r="H27" s="17" t="s">
        <v>9</v>
      </c>
      <c r="I27" s="30" t="s">
        <v>57</v>
      </c>
      <c r="J27" s="22">
        <f>10+9.1</f>
        <v>19.100000000000001</v>
      </c>
      <c r="K27" s="22">
        <f>8.3+8.55</f>
        <v>16.850000000000001</v>
      </c>
      <c r="L27" s="8">
        <f t="shared" ref="L27:L37" si="16">+J27-K27</f>
        <v>2.25</v>
      </c>
      <c r="M27" s="24">
        <f t="shared" si="0"/>
        <v>5.3507728894173608E-2</v>
      </c>
      <c r="N27" s="14"/>
    </row>
    <row r="28" spans="1:17" x14ac:dyDescent="0.25">
      <c r="A28" s="20">
        <v>44515</v>
      </c>
      <c r="B28" s="1">
        <v>3</v>
      </c>
      <c r="C28" s="1" t="s">
        <v>42</v>
      </c>
      <c r="D28" s="1" t="s">
        <v>42</v>
      </c>
      <c r="E28" s="26" t="e">
        <f>+#REF!</f>
        <v>#REF!</v>
      </c>
      <c r="F28" s="26" t="e">
        <f>+#REF!</f>
        <v>#REF!</v>
      </c>
      <c r="G28" s="17">
        <v>3</v>
      </c>
      <c r="H28" s="17" t="s">
        <v>9</v>
      </c>
      <c r="I28" s="30" t="s">
        <v>58</v>
      </c>
      <c r="J28" s="22">
        <v>10.1</v>
      </c>
      <c r="K28" s="22">
        <f>8.25</f>
        <v>8.25</v>
      </c>
      <c r="L28" s="8">
        <f t="shared" si="16"/>
        <v>1.8499999999999996</v>
      </c>
      <c r="M28" s="24">
        <f t="shared" si="0"/>
        <v>4.3995243757431621E-2</v>
      </c>
      <c r="N28" s="14"/>
    </row>
    <row r="29" spans="1:17" x14ac:dyDescent="0.25">
      <c r="A29" s="20">
        <v>44515</v>
      </c>
      <c r="B29" s="1">
        <v>3</v>
      </c>
      <c r="C29" s="1" t="s">
        <v>42</v>
      </c>
      <c r="D29" s="1" t="s">
        <v>42</v>
      </c>
      <c r="E29" s="26" t="e">
        <f t="shared" ref="E29:F29" si="17">+E28</f>
        <v>#REF!</v>
      </c>
      <c r="F29" s="26" t="e">
        <f t="shared" si="17"/>
        <v>#REF!</v>
      </c>
      <c r="G29" s="17">
        <v>4</v>
      </c>
      <c r="H29" s="17" t="s">
        <v>9</v>
      </c>
      <c r="I29" s="30" t="s">
        <v>22</v>
      </c>
      <c r="J29" s="22">
        <f>0.85+1.15</f>
        <v>2</v>
      </c>
      <c r="K29" s="22">
        <f>0.55+0.55</f>
        <v>1.1000000000000001</v>
      </c>
      <c r="L29" s="8">
        <f t="shared" si="16"/>
        <v>0.89999999999999991</v>
      </c>
      <c r="M29" s="24">
        <f t="shared" si="0"/>
        <v>2.1403091557669441E-2</v>
      </c>
      <c r="N29" s="14"/>
    </row>
    <row r="30" spans="1:17" x14ac:dyDescent="0.25">
      <c r="A30" s="20">
        <v>44515</v>
      </c>
      <c r="B30" s="1">
        <v>3</v>
      </c>
      <c r="C30" s="1" t="s">
        <v>42</v>
      </c>
      <c r="D30" s="1" t="s">
        <v>42</v>
      </c>
      <c r="E30" s="26" t="e">
        <f t="shared" ref="E30:F30" si="18">+E29</f>
        <v>#REF!</v>
      </c>
      <c r="F30" s="26" t="e">
        <f t="shared" si="18"/>
        <v>#REF!</v>
      </c>
      <c r="G30" s="17">
        <v>5</v>
      </c>
      <c r="H30" s="17" t="s">
        <v>9</v>
      </c>
      <c r="I30" s="30" t="s">
        <v>34</v>
      </c>
      <c r="J30" s="22">
        <f>0.7+0.7</f>
        <v>1.4</v>
      </c>
      <c r="K30" s="22">
        <f>0.55+0.55</f>
        <v>1.1000000000000001</v>
      </c>
      <c r="L30" s="8">
        <f t="shared" si="16"/>
        <v>0.29999999999999982</v>
      </c>
      <c r="M30" s="24">
        <f t="shared" si="0"/>
        <v>7.1343638525564763E-3</v>
      </c>
      <c r="N30" s="14"/>
    </row>
    <row r="31" spans="1:17" x14ac:dyDescent="0.25">
      <c r="A31" s="20">
        <v>44515</v>
      </c>
      <c r="B31" s="1">
        <v>3</v>
      </c>
      <c r="C31" s="1" t="s">
        <v>42</v>
      </c>
      <c r="D31" s="1" t="s">
        <v>42</v>
      </c>
      <c r="E31" s="26" t="e">
        <f t="shared" ref="E31:F31" si="19">+E30</f>
        <v>#REF!</v>
      </c>
      <c r="F31" s="26" t="e">
        <f t="shared" si="19"/>
        <v>#REF!</v>
      </c>
      <c r="G31" s="17">
        <v>6</v>
      </c>
      <c r="H31" s="17" t="s">
        <v>9</v>
      </c>
      <c r="I31" s="30" t="s">
        <v>35</v>
      </c>
      <c r="J31" s="22">
        <v>0.6</v>
      </c>
      <c r="K31" s="22">
        <v>0.55000000000000004</v>
      </c>
      <c r="L31" s="8">
        <f t="shared" si="16"/>
        <v>4.9999999999999933E-2</v>
      </c>
      <c r="M31" s="24">
        <f t="shared" si="0"/>
        <v>1.1890606420927453E-3</v>
      </c>
      <c r="N31" s="14"/>
    </row>
    <row r="32" spans="1:17" x14ac:dyDescent="0.25">
      <c r="A32" s="20">
        <v>44515</v>
      </c>
      <c r="B32" s="1">
        <v>3</v>
      </c>
      <c r="C32" s="1" t="s">
        <v>42</v>
      </c>
      <c r="D32" s="1" t="s">
        <v>42</v>
      </c>
      <c r="E32" s="26" t="e">
        <f t="shared" ref="E32:F32" si="20">+E31</f>
        <v>#REF!</v>
      </c>
      <c r="F32" s="26" t="e">
        <f t="shared" si="20"/>
        <v>#REF!</v>
      </c>
      <c r="G32" s="17">
        <v>7</v>
      </c>
      <c r="H32" s="17" t="s">
        <v>9</v>
      </c>
      <c r="I32" s="30" t="s">
        <v>36</v>
      </c>
      <c r="J32" s="22">
        <v>6.5</v>
      </c>
      <c r="K32" s="22">
        <v>6.05</v>
      </c>
      <c r="L32" s="8">
        <f t="shared" si="16"/>
        <v>0.45000000000000018</v>
      </c>
      <c r="M32" s="24">
        <f t="shared" si="0"/>
        <v>1.0701545778834726E-2</v>
      </c>
      <c r="N32" s="14"/>
    </row>
    <row r="33" spans="1:14" x14ac:dyDescent="0.25">
      <c r="A33" s="20">
        <v>44515</v>
      </c>
      <c r="B33" s="1">
        <v>3</v>
      </c>
      <c r="C33" s="1" t="s">
        <v>42</v>
      </c>
      <c r="D33" s="1" t="s">
        <v>42</v>
      </c>
      <c r="E33" s="26" t="e">
        <f>+E32</f>
        <v>#REF!</v>
      </c>
      <c r="F33" s="26" t="e">
        <f>+F32</f>
        <v>#REF!</v>
      </c>
      <c r="G33" s="17">
        <v>8</v>
      </c>
      <c r="H33" s="17" t="s">
        <v>9</v>
      </c>
      <c r="I33" s="30" t="s">
        <v>59</v>
      </c>
      <c r="J33" s="22">
        <f>15.9+12.9</f>
        <v>28.8</v>
      </c>
      <c r="K33" s="22">
        <f>8.55+8.55</f>
        <v>17.100000000000001</v>
      </c>
      <c r="L33" s="8">
        <f t="shared" si="16"/>
        <v>11.7</v>
      </c>
      <c r="M33" s="24">
        <f t="shared" si="0"/>
        <v>0.27824019024970276</v>
      </c>
      <c r="N33" s="14"/>
    </row>
    <row r="34" spans="1:14" x14ac:dyDescent="0.25">
      <c r="A34" s="20">
        <v>44515</v>
      </c>
      <c r="B34" s="1">
        <v>3</v>
      </c>
      <c r="C34" s="1" t="s">
        <v>42</v>
      </c>
      <c r="D34" s="1" t="s">
        <v>42</v>
      </c>
      <c r="E34" s="26" t="e">
        <f t="shared" ref="E34:F34" si="21">+E33</f>
        <v>#REF!</v>
      </c>
      <c r="F34" s="26" t="e">
        <f t="shared" si="21"/>
        <v>#REF!</v>
      </c>
      <c r="G34" s="17">
        <v>9</v>
      </c>
      <c r="H34" s="17" t="s">
        <v>9</v>
      </c>
      <c r="I34" s="30" t="s">
        <v>38</v>
      </c>
      <c r="J34" s="22">
        <f>1.55+1</f>
        <v>2.5499999999999998</v>
      </c>
      <c r="K34" s="22">
        <f>0.5+0.55</f>
        <v>1.05</v>
      </c>
      <c r="L34" s="8">
        <f t="shared" si="16"/>
        <v>1.4999999999999998</v>
      </c>
      <c r="M34" s="24">
        <f t="shared" ref="M34:M65" si="22">+L34/SUMIF(C:C,C34,L:L)</f>
        <v>3.56718192627824E-2</v>
      </c>
      <c r="N34" s="14"/>
    </row>
    <row r="35" spans="1:14" x14ac:dyDescent="0.25">
      <c r="A35" s="20">
        <v>44515</v>
      </c>
      <c r="B35" s="1">
        <v>3</v>
      </c>
      <c r="C35" s="1" t="s">
        <v>42</v>
      </c>
      <c r="D35" s="1" t="s">
        <v>42</v>
      </c>
      <c r="E35" s="26" t="e">
        <f t="shared" ref="E35:F35" si="23">+E34</f>
        <v>#REF!</v>
      </c>
      <c r="F35" s="26" t="e">
        <f t="shared" si="23"/>
        <v>#REF!</v>
      </c>
      <c r="G35" s="17">
        <v>10</v>
      </c>
      <c r="H35" s="17" t="s">
        <v>9</v>
      </c>
      <c r="I35" s="30" t="s">
        <v>23</v>
      </c>
      <c r="J35" s="22">
        <f>14.65+12.75</f>
        <v>27.4</v>
      </c>
      <c r="K35" s="22">
        <f>8.3+8.3</f>
        <v>16.600000000000001</v>
      </c>
      <c r="L35" s="8">
        <f t="shared" si="16"/>
        <v>10.799999999999997</v>
      </c>
      <c r="M35" s="24">
        <f t="shared" si="22"/>
        <v>0.25683709869203325</v>
      </c>
      <c r="N35" s="14"/>
    </row>
    <row r="36" spans="1:14" x14ac:dyDescent="0.25">
      <c r="A36" s="20">
        <v>44515</v>
      </c>
      <c r="B36" s="1">
        <v>3</v>
      </c>
      <c r="C36" s="1" t="s">
        <v>42</v>
      </c>
      <c r="D36" s="1" t="s">
        <v>42</v>
      </c>
      <c r="E36" s="26" t="e">
        <f t="shared" ref="E36:F36" si="24">+E35</f>
        <v>#REF!</v>
      </c>
      <c r="F36" s="26" t="e">
        <f t="shared" si="24"/>
        <v>#REF!</v>
      </c>
      <c r="G36" s="17">
        <v>11</v>
      </c>
      <c r="H36" s="17" t="s">
        <v>9</v>
      </c>
      <c r="I36" s="30" t="s">
        <v>60</v>
      </c>
      <c r="J36" s="22">
        <f>9.4+9.55</f>
        <v>18.950000000000003</v>
      </c>
      <c r="K36" s="22">
        <f>8.5+8.55</f>
        <v>17.05</v>
      </c>
      <c r="L36" s="8">
        <f t="shared" si="16"/>
        <v>1.9000000000000021</v>
      </c>
      <c r="M36" s="24">
        <f t="shared" si="22"/>
        <v>4.5184304399524429E-2</v>
      </c>
      <c r="N36" s="14"/>
    </row>
    <row r="37" spans="1:14" ht="15.75" thickBot="1" x14ac:dyDescent="0.3">
      <c r="A37" s="20">
        <v>44515</v>
      </c>
      <c r="B37" s="1">
        <v>3</v>
      </c>
      <c r="C37" s="1" t="s">
        <v>42</v>
      </c>
      <c r="D37" s="1" t="s">
        <v>42</v>
      </c>
      <c r="E37" s="26" t="e">
        <f t="shared" ref="E37:F37" si="25">+E36</f>
        <v>#REF!</v>
      </c>
      <c r="F37" s="26" t="e">
        <f t="shared" si="25"/>
        <v>#REF!</v>
      </c>
      <c r="G37" s="18">
        <f>+G36+1</f>
        <v>12</v>
      </c>
      <c r="H37" s="18" t="s">
        <v>10</v>
      </c>
      <c r="I37" s="46" t="s">
        <v>10</v>
      </c>
      <c r="J37" s="22">
        <f>12.65+12.4</f>
        <v>25.05</v>
      </c>
      <c r="K37" s="63">
        <f>8.3+8.5</f>
        <v>16.8</v>
      </c>
      <c r="L37" s="8">
        <f t="shared" si="16"/>
        <v>8.25</v>
      </c>
      <c r="M37" s="24">
        <f t="shared" si="22"/>
        <v>0.19619500594530323</v>
      </c>
      <c r="N37" s="14" t="s">
        <v>49</v>
      </c>
    </row>
    <row r="38" spans="1:14" x14ac:dyDescent="0.25">
      <c r="A38" s="19">
        <v>44515</v>
      </c>
      <c r="B38" s="15">
        <v>4</v>
      </c>
      <c r="C38" s="15" t="s">
        <v>50</v>
      </c>
      <c r="D38" s="15" t="s">
        <v>178</v>
      </c>
      <c r="E38" s="25">
        <f>25-1.2</f>
        <v>23.8</v>
      </c>
      <c r="F38" s="25">
        <f>+SUM(L38:L49)</f>
        <v>23.599999999999998</v>
      </c>
      <c r="G38" s="16">
        <v>1</v>
      </c>
      <c r="H38" s="16" t="s">
        <v>9</v>
      </c>
      <c r="I38" s="59" t="s">
        <v>56</v>
      </c>
      <c r="J38" s="21">
        <v>8.9</v>
      </c>
      <c r="K38" s="21">
        <v>8.5</v>
      </c>
      <c r="L38" s="12">
        <f>+J38-K38</f>
        <v>0.40000000000000036</v>
      </c>
      <c r="M38" s="23">
        <f t="shared" si="22"/>
        <v>1.6949152542372899E-2</v>
      </c>
      <c r="N38" s="13"/>
    </row>
    <row r="39" spans="1:14" x14ac:dyDescent="0.25">
      <c r="A39" s="20">
        <v>44515</v>
      </c>
      <c r="B39" s="1">
        <v>4</v>
      </c>
      <c r="C39" s="1" t="s">
        <v>50</v>
      </c>
      <c r="D39" s="1" t="s">
        <v>178</v>
      </c>
      <c r="E39" s="26">
        <f>+E38</f>
        <v>23.8</v>
      </c>
      <c r="F39" s="28">
        <f>+(F38-E38)/E38</f>
        <v>-8.4033613445379345E-3</v>
      </c>
      <c r="G39" s="17">
        <v>2</v>
      </c>
      <c r="H39" s="17" t="s">
        <v>9</v>
      </c>
      <c r="I39" s="30" t="s">
        <v>57</v>
      </c>
      <c r="J39" s="22">
        <f>9.65+8.85</f>
        <v>18.5</v>
      </c>
      <c r="K39" s="22">
        <f>8.55+8.3</f>
        <v>16.850000000000001</v>
      </c>
      <c r="L39" s="8">
        <f t="shared" ref="L39:L49" si="26">+J39-K39</f>
        <v>1.6499999999999986</v>
      </c>
      <c r="M39" s="24">
        <f t="shared" si="22"/>
        <v>6.9915254237288088E-2</v>
      </c>
      <c r="N39" s="14"/>
    </row>
    <row r="40" spans="1:14" x14ac:dyDescent="0.25">
      <c r="A40" s="20">
        <v>44515</v>
      </c>
      <c r="B40" s="1">
        <v>4</v>
      </c>
      <c r="C40" s="1" t="s">
        <v>50</v>
      </c>
      <c r="D40" s="1" t="s">
        <v>178</v>
      </c>
      <c r="E40" s="26" t="e">
        <f>+#REF!</f>
        <v>#REF!</v>
      </c>
      <c r="F40" s="26" t="e">
        <f>+#REF!</f>
        <v>#REF!</v>
      </c>
      <c r="G40" s="17">
        <v>3</v>
      </c>
      <c r="H40" s="17" t="s">
        <v>9</v>
      </c>
      <c r="I40" s="30" t="s">
        <v>58</v>
      </c>
      <c r="J40" s="22">
        <v>9.75</v>
      </c>
      <c r="K40" s="22">
        <v>8.25</v>
      </c>
      <c r="L40" s="8">
        <f t="shared" si="26"/>
        <v>1.5</v>
      </c>
      <c r="M40" s="24">
        <f t="shared" si="22"/>
        <v>6.3559322033898316E-2</v>
      </c>
      <c r="N40" s="14"/>
    </row>
    <row r="41" spans="1:14" x14ac:dyDescent="0.25">
      <c r="A41" s="20">
        <v>44515</v>
      </c>
      <c r="B41" s="1">
        <v>4</v>
      </c>
      <c r="C41" s="1" t="s">
        <v>50</v>
      </c>
      <c r="D41" s="1" t="s">
        <v>178</v>
      </c>
      <c r="E41" s="26" t="e">
        <f t="shared" ref="E41:F41" si="27">+E40</f>
        <v>#REF!</v>
      </c>
      <c r="F41" s="26" t="e">
        <f t="shared" si="27"/>
        <v>#REF!</v>
      </c>
      <c r="G41" s="17">
        <v>4</v>
      </c>
      <c r="H41" s="17" t="s">
        <v>9</v>
      </c>
      <c r="I41" s="30" t="s">
        <v>22</v>
      </c>
      <c r="J41" s="22">
        <f>1+0.7</f>
        <v>1.7</v>
      </c>
      <c r="K41" s="22">
        <f>0.55+0.55</f>
        <v>1.1000000000000001</v>
      </c>
      <c r="L41" s="8">
        <f t="shared" si="26"/>
        <v>0.59999999999999987</v>
      </c>
      <c r="M41" s="24">
        <f t="shared" si="22"/>
        <v>2.542372881355932E-2</v>
      </c>
      <c r="N41" s="14"/>
    </row>
    <row r="42" spans="1:14" x14ac:dyDescent="0.25">
      <c r="A42" s="20">
        <v>44515</v>
      </c>
      <c r="B42" s="1">
        <v>4</v>
      </c>
      <c r="C42" s="1" t="s">
        <v>50</v>
      </c>
      <c r="D42" s="1" t="s">
        <v>178</v>
      </c>
      <c r="E42" s="26" t="e">
        <f t="shared" ref="E42:F42" si="28">+E41</f>
        <v>#REF!</v>
      </c>
      <c r="F42" s="26" t="e">
        <f t="shared" si="28"/>
        <v>#REF!</v>
      </c>
      <c r="G42" s="17">
        <v>5</v>
      </c>
      <c r="H42" s="17" t="s">
        <v>9</v>
      </c>
      <c r="I42" s="30" t="s">
        <v>34</v>
      </c>
      <c r="J42" s="22">
        <f>0.65+0.7</f>
        <v>1.35</v>
      </c>
      <c r="K42" s="22">
        <f>0.55+0.55</f>
        <v>1.1000000000000001</v>
      </c>
      <c r="L42" s="8">
        <f t="shared" si="26"/>
        <v>0.25</v>
      </c>
      <c r="M42" s="24">
        <f t="shared" si="22"/>
        <v>1.0593220338983052E-2</v>
      </c>
      <c r="N42" s="14"/>
    </row>
    <row r="43" spans="1:14" x14ac:dyDescent="0.25">
      <c r="A43" s="20">
        <v>44515</v>
      </c>
      <c r="B43" s="1">
        <v>4</v>
      </c>
      <c r="C43" s="1" t="s">
        <v>50</v>
      </c>
      <c r="D43" s="1" t="s">
        <v>178</v>
      </c>
      <c r="E43" s="26" t="e">
        <f t="shared" ref="E43:F43" si="29">+E42</f>
        <v>#REF!</v>
      </c>
      <c r="F43" s="26" t="e">
        <f t="shared" si="29"/>
        <v>#REF!</v>
      </c>
      <c r="G43" s="17">
        <v>6</v>
      </c>
      <c r="H43" s="17" t="s">
        <v>9</v>
      </c>
      <c r="I43" s="30" t="s">
        <v>35</v>
      </c>
      <c r="J43" s="22">
        <v>0.6</v>
      </c>
      <c r="K43" s="22">
        <v>0.55000000000000004</v>
      </c>
      <c r="L43" s="8">
        <f t="shared" si="26"/>
        <v>4.9999999999999933E-2</v>
      </c>
      <c r="M43" s="24">
        <f t="shared" si="22"/>
        <v>2.1186440677966076E-3</v>
      </c>
      <c r="N43" s="14"/>
    </row>
    <row r="44" spans="1:14" x14ac:dyDescent="0.25">
      <c r="A44" s="20">
        <v>44515</v>
      </c>
      <c r="B44" s="1">
        <v>4</v>
      </c>
      <c r="C44" s="1" t="s">
        <v>50</v>
      </c>
      <c r="D44" s="1" t="s">
        <v>178</v>
      </c>
      <c r="E44" s="26" t="e">
        <f t="shared" ref="E44:F44" si="30">+E43</f>
        <v>#REF!</v>
      </c>
      <c r="F44" s="26" t="e">
        <f t="shared" si="30"/>
        <v>#REF!</v>
      </c>
      <c r="G44" s="17">
        <v>7</v>
      </c>
      <c r="H44" s="17" t="s">
        <v>9</v>
      </c>
      <c r="I44" s="30" t="s">
        <v>36</v>
      </c>
      <c r="J44" s="22">
        <v>6.15</v>
      </c>
      <c r="K44" s="22">
        <v>6.05</v>
      </c>
      <c r="L44" s="8">
        <f t="shared" si="26"/>
        <v>0.10000000000000053</v>
      </c>
      <c r="M44" s="24">
        <f t="shared" si="22"/>
        <v>4.2372881355932429E-3</v>
      </c>
      <c r="N44" s="14"/>
    </row>
    <row r="45" spans="1:14" x14ac:dyDescent="0.25">
      <c r="A45" s="20">
        <v>44515</v>
      </c>
      <c r="B45" s="1">
        <v>4</v>
      </c>
      <c r="C45" s="1" t="s">
        <v>50</v>
      </c>
      <c r="D45" s="1" t="s">
        <v>178</v>
      </c>
      <c r="E45" s="26" t="e">
        <f>+E44</f>
        <v>#REF!</v>
      </c>
      <c r="F45" s="26" t="e">
        <f>+F44</f>
        <v>#REF!</v>
      </c>
      <c r="G45" s="17">
        <v>8</v>
      </c>
      <c r="H45" s="17" t="s">
        <v>9</v>
      </c>
      <c r="I45" s="30" t="s">
        <v>59</v>
      </c>
      <c r="J45" s="22">
        <f>10.25+1.4</f>
        <v>11.65</v>
      </c>
      <c r="K45" s="22">
        <f>8.55+0.55</f>
        <v>9.1000000000000014</v>
      </c>
      <c r="L45" s="8">
        <f t="shared" si="26"/>
        <v>2.5499999999999989</v>
      </c>
      <c r="M45" s="24">
        <f t="shared" si="22"/>
        <v>0.10805084745762708</v>
      </c>
      <c r="N45" s="14"/>
    </row>
    <row r="46" spans="1:14" x14ac:dyDescent="0.25">
      <c r="A46" s="20">
        <v>44515</v>
      </c>
      <c r="B46" s="1">
        <v>4</v>
      </c>
      <c r="C46" s="1" t="s">
        <v>50</v>
      </c>
      <c r="D46" s="1" t="s">
        <v>178</v>
      </c>
      <c r="E46" s="26" t="e">
        <f t="shared" ref="E46:F46" si="31">+E45</f>
        <v>#REF!</v>
      </c>
      <c r="F46" s="26" t="e">
        <f t="shared" si="31"/>
        <v>#REF!</v>
      </c>
      <c r="G46" s="17">
        <v>9</v>
      </c>
      <c r="H46" s="17" t="s">
        <v>9</v>
      </c>
      <c r="I46" s="30" t="s">
        <v>38</v>
      </c>
      <c r="J46" s="22">
        <f>0.6</f>
        <v>0.6</v>
      </c>
      <c r="K46" s="22">
        <v>0.55000000000000004</v>
      </c>
      <c r="L46" s="8">
        <f t="shared" si="26"/>
        <v>4.9999999999999933E-2</v>
      </c>
      <c r="M46" s="24">
        <f t="shared" si="22"/>
        <v>2.1186440677966076E-3</v>
      </c>
      <c r="N46" s="14"/>
    </row>
    <row r="47" spans="1:14" x14ac:dyDescent="0.25">
      <c r="A47" s="20">
        <v>44515</v>
      </c>
      <c r="B47" s="1">
        <v>4</v>
      </c>
      <c r="C47" s="1" t="s">
        <v>50</v>
      </c>
      <c r="D47" s="1" t="s">
        <v>178</v>
      </c>
      <c r="E47" s="26" t="e">
        <f t="shared" ref="E47:F47" si="32">+E46</f>
        <v>#REF!</v>
      </c>
      <c r="F47" s="26" t="e">
        <f t="shared" si="32"/>
        <v>#REF!</v>
      </c>
      <c r="G47" s="17">
        <v>10</v>
      </c>
      <c r="H47" s="17" t="s">
        <v>9</v>
      </c>
      <c r="I47" s="30" t="s">
        <v>23</v>
      </c>
      <c r="J47" s="22">
        <f>10.95+9.05</f>
        <v>20</v>
      </c>
      <c r="K47" s="22">
        <f>8.3+8.3</f>
        <v>16.600000000000001</v>
      </c>
      <c r="L47" s="8">
        <f t="shared" si="26"/>
        <v>3.3999999999999986</v>
      </c>
      <c r="M47" s="24">
        <f t="shared" si="22"/>
        <v>0.14406779661016944</v>
      </c>
      <c r="N47" s="14"/>
    </row>
    <row r="48" spans="1:14" x14ac:dyDescent="0.25">
      <c r="A48" s="20">
        <v>44515</v>
      </c>
      <c r="B48" s="1">
        <v>4</v>
      </c>
      <c r="C48" s="1" t="s">
        <v>50</v>
      </c>
      <c r="D48" s="1" t="s">
        <v>178</v>
      </c>
      <c r="E48" s="26" t="e">
        <f t="shared" ref="E48:F48" si="33">+E47</f>
        <v>#REF!</v>
      </c>
      <c r="F48" s="26" t="e">
        <f t="shared" si="33"/>
        <v>#REF!</v>
      </c>
      <c r="G48" s="17">
        <v>11</v>
      </c>
      <c r="H48" s="17" t="s">
        <v>9</v>
      </c>
      <c r="I48" s="30" t="s">
        <v>60</v>
      </c>
      <c r="J48" s="22">
        <f>9.05+8.9</f>
        <v>17.950000000000003</v>
      </c>
      <c r="K48" s="22">
        <f>8.5+8.55</f>
        <v>17.05</v>
      </c>
      <c r="L48" s="8">
        <f t="shared" si="26"/>
        <v>0.90000000000000213</v>
      </c>
      <c r="M48" s="24">
        <f t="shared" si="22"/>
        <v>3.8135593220339076E-2</v>
      </c>
      <c r="N48" s="14"/>
    </row>
    <row r="49" spans="1:14" ht="15.75" thickBot="1" x14ac:dyDescent="0.3">
      <c r="A49" s="20">
        <v>44515</v>
      </c>
      <c r="B49" s="1">
        <v>4</v>
      </c>
      <c r="C49" s="1" t="s">
        <v>50</v>
      </c>
      <c r="D49" s="1" t="s">
        <v>178</v>
      </c>
      <c r="E49" s="26" t="e">
        <f t="shared" ref="E49:F49" si="34">+E48</f>
        <v>#REF!</v>
      </c>
      <c r="F49" s="26" t="e">
        <f t="shared" si="34"/>
        <v>#REF!</v>
      </c>
      <c r="G49" s="18">
        <f>+G48+1</f>
        <v>12</v>
      </c>
      <c r="H49" s="18" t="s">
        <v>10</v>
      </c>
      <c r="I49" s="46" t="s">
        <v>10</v>
      </c>
      <c r="J49" s="22">
        <f>14.5+13.9+9.1</f>
        <v>37.5</v>
      </c>
      <c r="K49" s="22">
        <f>8.5+8.3+8.55</f>
        <v>25.35</v>
      </c>
      <c r="L49" s="8">
        <f t="shared" si="26"/>
        <v>12.149999999999999</v>
      </c>
      <c r="M49" s="24">
        <f t="shared" si="22"/>
        <v>0.51483050847457623</v>
      </c>
      <c r="N49" s="14"/>
    </row>
    <row r="50" spans="1:14" x14ac:dyDescent="0.25">
      <c r="A50" s="19">
        <v>44515</v>
      </c>
      <c r="B50" s="15">
        <v>5</v>
      </c>
      <c r="C50" s="15" t="s">
        <v>51</v>
      </c>
      <c r="D50" s="15" t="s">
        <v>184</v>
      </c>
      <c r="E50" s="25">
        <f>(60.8+58.8)-(38.2*2)</f>
        <v>43.199999999999989</v>
      </c>
      <c r="F50" s="25">
        <f>+SUM(L50:L61)</f>
        <v>44.100000000000009</v>
      </c>
      <c r="G50" s="16">
        <v>1</v>
      </c>
      <c r="H50" s="16" t="s">
        <v>9</v>
      </c>
      <c r="I50" s="59" t="s">
        <v>56</v>
      </c>
      <c r="J50" s="21">
        <f>12.25+13.15+11.6+12.3+11.8+13+11.95+13.15+11.2+11.95</f>
        <v>122.35000000000001</v>
      </c>
      <c r="K50" s="21">
        <f>8.55+8.55+8.55+8.3+8.55+8.55+8.55+8.5+8.55+8.55</f>
        <v>85.199999999999989</v>
      </c>
      <c r="L50" s="12">
        <f>+J50-K50</f>
        <v>37.15000000000002</v>
      </c>
      <c r="M50" s="23">
        <f>+L50/SUMIF(C:C,C50,L:L)</f>
        <v>0.84240362811791414</v>
      </c>
      <c r="N50" s="13"/>
    </row>
    <row r="51" spans="1:14" x14ac:dyDescent="0.25">
      <c r="A51" s="20">
        <v>44515</v>
      </c>
      <c r="B51" s="1">
        <v>5</v>
      </c>
      <c r="C51" s="1" t="s">
        <v>51</v>
      </c>
      <c r="D51" s="1" t="s">
        <v>184</v>
      </c>
      <c r="E51" s="26">
        <f>+E50</f>
        <v>43.199999999999989</v>
      </c>
      <c r="F51" s="28">
        <f>+(F50-E50)/E50</f>
        <v>2.0833333333333801E-2</v>
      </c>
      <c r="G51" s="17">
        <v>2</v>
      </c>
      <c r="H51" s="17" t="s">
        <v>9</v>
      </c>
      <c r="I51" s="30" t="s">
        <v>57</v>
      </c>
      <c r="J51" s="22">
        <f>1.3+10.65+10+1.15</f>
        <v>23.1</v>
      </c>
      <c r="K51" s="22">
        <f>0.55+8.3+8.3+0.55</f>
        <v>17.700000000000003</v>
      </c>
      <c r="L51" s="8">
        <f t="shared" ref="L51:L61" si="35">+J51-K51</f>
        <v>5.3999999999999986</v>
      </c>
      <c r="M51" s="24">
        <f>+L51/SUMIF(C:C,C51,L:L)</f>
        <v>0.12244897959183668</v>
      </c>
      <c r="N51" s="14" t="s">
        <v>65</v>
      </c>
    </row>
    <row r="52" spans="1:14" x14ac:dyDescent="0.25">
      <c r="A52" s="20">
        <v>44515</v>
      </c>
      <c r="B52" s="1">
        <v>5</v>
      </c>
      <c r="C52" s="1" t="s">
        <v>51</v>
      </c>
      <c r="D52" s="1" t="s">
        <v>184</v>
      </c>
      <c r="E52" s="26" t="e">
        <f>+#REF!</f>
        <v>#REF!</v>
      </c>
      <c r="F52" s="26" t="e">
        <f>+#REF!</f>
        <v>#REF!</v>
      </c>
      <c r="G52" s="17">
        <v>3</v>
      </c>
      <c r="H52" s="17" t="s">
        <v>9</v>
      </c>
      <c r="I52" s="30" t="s">
        <v>58</v>
      </c>
      <c r="J52" s="22">
        <v>8.4499999999999993</v>
      </c>
      <c r="K52" s="22">
        <v>8.25</v>
      </c>
      <c r="L52" s="8">
        <f t="shared" si="35"/>
        <v>0.19999999999999929</v>
      </c>
      <c r="M52" s="24">
        <f t="shared" si="22"/>
        <v>4.5351473922902322E-3</v>
      </c>
      <c r="N52" s="14"/>
    </row>
    <row r="53" spans="1:14" x14ac:dyDescent="0.25">
      <c r="A53" s="20">
        <v>44515</v>
      </c>
      <c r="B53" s="1">
        <v>5</v>
      </c>
      <c r="C53" s="1" t="s">
        <v>51</v>
      </c>
      <c r="D53" s="1" t="s">
        <v>184</v>
      </c>
      <c r="E53" s="26" t="e">
        <f t="shared" ref="E53:F53" si="36">+E52</f>
        <v>#REF!</v>
      </c>
      <c r="F53" s="26" t="e">
        <f t="shared" si="36"/>
        <v>#REF!</v>
      </c>
      <c r="G53" s="17">
        <v>4</v>
      </c>
      <c r="H53" s="17" t="s">
        <v>9</v>
      </c>
      <c r="I53" s="30" t="s">
        <v>22</v>
      </c>
      <c r="J53" s="22">
        <v>0</v>
      </c>
      <c r="K53" s="22">
        <v>0</v>
      </c>
      <c r="L53" s="8">
        <f t="shared" si="35"/>
        <v>0</v>
      </c>
      <c r="M53" s="24">
        <f t="shared" si="22"/>
        <v>0</v>
      </c>
      <c r="N53" s="14"/>
    </row>
    <row r="54" spans="1:14" x14ac:dyDescent="0.25">
      <c r="A54" s="20">
        <v>44515</v>
      </c>
      <c r="B54" s="1">
        <v>5</v>
      </c>
      <c r="C54" s="1" t="s">
        <v>51</v>
      </c>
      <c r="D54" s="1" t="s">
        <v>184</v>
      </c>
      <c r="E54" s="26" t="e">
        <f t="shared" ref="E54:F54" si="37">+E53</f>
        <v>#REF!</v>
      </c>
      <c r="F54" s="26" t="e">
        <f t="shared" si="37"/>
        <v>#REF!</v>
      </c>
      <c r="G54" s="17">
        <v>5</v>
      </c>
      <c r="H54" s="17" t="s">
        <v>9</v>
      </c>
      <c r="I54" s="30" t="s">
        <v>34</v>
      </c>
      <c r="J54" s="22">
        <v>0.6</v>
      </c>
      <c r="K54" s="22">
        <v>0.55000000000000004</v>
      </c>
      <c r="L54" s="8">
        <f t="shared" si="35"/>
        <v>4.9999999999999933E-2</v>
      </c>
      <c r="M54" s="24">
        <f t="shared" si="22"/>
        <v>1.1337868480725607E-3</v>
      </c>
      <c r="N54" s="14"/>
    </row>
    <row r="55" spans="1:14" x14ac:dyDescent="0.25">
      <c r="A55" s="20">
        <v>44515</v>
      </c>
      <c r="B55" s="1">
        <v>5</v>
      </c>
      <c r="C55" s="1" t="s">
        <v>51</v>
      </c>
      <c r="D55" s="1" t="s">
        <v>184</v>
      </c>
      <c r="E55" s="26" t="e">
        <f t="shared" ref="E55:F55" si="38">+E54</f>
        <v>#REF!</v>
      </c>
      <c r="F55" s="26" t="e">
        <f t="shared" si="38"/>
        <v>#REF!</v>
      </c>
      <c r="G55" s="17">
        <v>6</v>
      </c>
      <c r="H55" s="17" t="s">
        <v>9</v>
      </c>
      <c r="I55" s="30" t="s">
        <v>35</v>
      </c>
      <c r="J55" s="22">
        <v>0</v>
      </c>
      <c r="K55" s="22">
        <v>0</v>
      </c>
      <c r="L55" s="8">
        <f t="shared" si="35"/>
        <v>0</v>
      </c>
      <c r="M55" s="24">
        <f t="shared" si="22"/>
        <v>0</v>
      </c>
      <c r="N55" s="14"/>
    </row>
    <row r="56" spans="1:14" x14ac:dyDescent="0.25">
      <c r="A56" s="20">
        <v>44515</v>
      </c>
      <c r="B56" s="1">
        <v>5</v>
      </c>
      <c r="C56" s="1" t="s">
        <v>51</v>
      </c>
      <c r="D56" s="1" t="s">
        <v>184</v>
      </c>
      <c r="E56" s="26" t="e">
        <f t="shared" ref="E56:F56" si="39">+E55</f>
        <v>#REF!</v>
      </c>
      <c r="F56" s="26" t="e">
        <f t="shared" si="39"/>
        <v>#REF!</v>
      </c>
      <c r="G56" s="17">
        <v>7</v>
      </c>
      <c r="H56" s="17" t="s">
        <v>9</v>
      </c>
      <c r="I56" s="30" t="s">
        <v>36</v>
      </c>
      <c r="J56" s="22">
        <v>0</v>
      </c>
      <c r="K56" s="22">
        <v>0</v>
      </c>
      <c r="L56" s="8">
        <f t="shared" si="35"/>
        <v>0</v>
      </c>
      <c r="M56" s="24">
        <f t="shared" si="22"/>
        <v>0</v>
      </c>
      <c r="N56" s="14"/>
    </row>
    <row r="57" spans="1:14" x14ac:dyDescent="0.25">
      <c r="A57" s="20">
        <v>44515</v>
      </c>
      <c r="B57" s="1">
        <v>5</v>
      </c>
      <c r="C57" s="1" t="s">
        <v>51</v>
      </c>
      <c r="D57" s="1" t="s">
        <v>184</v>
      </c>
      <c r="E57" s="26" t="e">
        <f>+E56</f>
        <v>#REF!</v>
      </c>
      <c r="F57" s="26" t="e">
        <f>+F56</f>
        <v>#REF!</v>
      </c>
      <c r="G57" s="17">
        <v>8</v>
      </c>
      <c r="H57" s="17" t="s">
        <v>9</v>
      </c>
      <c r="I57" s="30" t="s">
        <v>59</v>
      </c>
      <c r="J57" s="22">
        <v>0</v>
      </c>
      <c r="K57" s="22">
        <v>0</v>
      </c>
      <c r="L57" s="8">
        <f t="shared" si="35"/>
        <v>0</v>
      </c>
      <c r="M57" s="24">
        <f t="shared" si="22"/>
        <v>0</v>
      </c>
      <c r="N57" s="14"/>
    </row>
    <row r="58" spans="1:14" x14ac:dyDescent="0.25">
      <c r="A58" s="20">
        <v>44515</v>
      </c>
      <c r="B58" s="1">
        <v>5</v>
      </c>
      <c r="C58" s="1" t="s">
        <v>51</v>
      </c>
      <c r="D58" s="1" t="s">
        <v>184</v>
      </c>
      <c r="E58" s="26" t="e">
        <f t="shared" ref="E58:F58" si="40">+E57</f>
        <v>#REF!</v>
      </c>
      <c r="F58" s="26" t="e">
        <f t="shared" si="40"/>
        <v>#REF!</v>
      </c>
      <c r="G58" s="17">
        <v>9</v>
      </c>
      <c r="H58" s="17" t="s">
        <v>9</v>
      </c>
      <c r="I58" s="30" t="s">
        <v>38</v>
      </c>
      <c r="J58" s="22">
        <v>0</v>
      </c>
      <c r="K58" s="22">
        <v>0</v>
      </c>
      <c r="L58" s="8">
        <f t="shared" si="35"/>
        <v>0</v>
      </c>
      <c r="M58" s="24">
        <f t="shared" si="22"/>
        <v>0</v>
      </c>
      <c r="N58" s="14"/>
    </row>
    <row r="59" spans="1:14" x14ac:dyDescent="0.25">
      <c r="A59" s="20">
        <v>44515</v>
      </c>
      <c r="B59" s="1">
        <v>5</v>
      </c>
      <c r="C59" s="1" t="s">
        <v>51</v>
      </c>
      <c r="D59" s="1" t="s">
        <v>184</v>
      </c>
      <c r="E59" s="26" t="e">
        <f t="shared" ref="E59:F59" si="41">+E58</f>
        <v>#REF!</v>
      </c>
      <c r="F59" s="26" t="e">
        <f t="shared" si="41"/>
        <v>#REF!</v>
      </c>
      <c r="G59" s="17">
        <v>10</v>
      </c>
      <c r="H59" s="17" t="s">
        <v>9</v>
      </c>
      <c r="I59" s="30" t="s">
        <v>23</v>
      </c>
      <c r="J59" s="22">
        <v>0.6</v>
      </c>
      <c r="K59" s="22">
        <v>0.55000000000000004</v>
      </c>
      <c r="L59" s="8">
        <f t="shared" si="35"/>
        <v>4.9999999999999933E-2</v>
      </c>
      <c r="M59" s="24">
        <f t="shared" si="22"/>
        <v>1.1337868480725607E-3</v>
      </c>
      <c r="N59" s="14"/>
    </row>
    <row r="60" spans="1:14" x14ac:dyDescent="0.25">
      <c r="A60" s="20">
        <v>44515</v>
      </c>
      <c r="B60" s="1">
        <v>5</v>
      </c>
      <c r="C60" s="1" t="s">
        <v>51</v>
      </c>
      <c r="D60" s="1" t="s">
        <v>184</v>
      </c>
      <c r="E60" s="26" t="e">
        <f t="shared" ref="E60:F60" si="42">+E59</f>
        <v>#REF!</v>
      </c>
      <c r="F60" s="26" t="e">
        <f t="shared" si="42"/>
        <v>#REF!</v>
      </c>
      <c r="G60" s="17">
        <v>11</v>
      </c>
      <c r="H60" s="17" t="s">
        <v>9</v>
      </c>
      <c r="I60" s="30" t="s">
        <v>60</v>
      </c>
      <c r="J60" s="22">
        <v>0.6</v>
      </c>
      <c r="K60" s="22">
        <v>0.55000000000000004</v>
      </c>
      <c r="L60" s="8">
        <f t="shared" si="35"/>
        <v>4.9999999999999933E-2</v>
      </c>
      <c r="M60" s="24">
        <f t="shared" si="22"/>
        <v>1.1337868480725607E-3</v>
      </c>
      <c r="N60" s="14"/>
    </row>
    <row r="61" spans="1:14" ht="15.75" thickBot="1" x14ac:dyDescent="0.3">
      <c r="A61" s="20">
        <v>44515</v>
      </c>
      <c r="B61" s="1">
        <v>5</v>
      </c>
      <c r="C61" s="1" t="s">
        <v>51</v>
      </c>
      <c r="D61" s="1" t="s">
        <v>184</v>
      </c>
      <c r="E61" s="26" t="e">
        <f t="shared" ref="E61:F61" si="43">+E60</f>
        <v>#REF!</v>
      </c>
      <c r="F61" s="26" t="e">
        <f t="shared" si="43"/>
        <v>#REF!</v>
      </c>
      <c r="G61" s="18">
        <f>+G60+1</f>
        <v>12</v>
      </c>
      <c r="H61" s="18" t="s">
        <v>10</v>
      </c>
      <c r="I61" s="46" t="s">
        <v>10</v>
      </c>
      <c r="J61" s="22">
        <v>9.6999999999999993</v>
      </c>
      <c r="K61" s="22">
        <v>8.5</v>
      </c>
      <c r="L61" s="8">
        <f t="shared" si="35"/>
        <v>1.1999999999999993</v>
      </c>
      <c r="M61" s="24">
        <f t="shared" si="22"/>
        <v>2.7210884353741475E-2</v>
      </c>
      <c r="N61" s="14"/>
    </row>
    <row r="62" spans="1:14" x14ac:dyDescent="0.25">
      <c r="A62" s="19">
        <v>44515</v>
      </c>
      <c r="B62" s="15">
        <v>6</v>
      </c>
      <c r="C62" s="15" t="s">
        <v>52</v>
      </c>
      <c r="D62" s="15" t="s">
        <v>23</v>
      </c>
      <c r="E62" s="25">
        <f>84.2-38.2</f>
        <v>46</v>
      </c>
      <c r="F62" s="25">
        <f>+SUM(L62:L73)</f>
        <v>45.400000000000006</v>
      </c>
      <c r="G62" s="16">
        <v>1</v>
      </c>
      <c r="H62" s="16" t="s">
        <v>9</v>
      </c>
      <c r="I62" s="59" t="s">
        <v>56</v>
      </c>
      <c r="J62" s="21">
        <v>0</v>
      </c>
      <c r="K62" s="21">
        <v>0</v>
      </c>
      <c r="L62" s="12">
        <f>+J62-K62</f>
        <v>0</v>
      </c>
      <c r="M62" s="23">
        <f t="shared" si="22"/>
        <v>0</v>
      </c>
      <c r="N62" s="13"/>
    </row>
    <row r="63" spans="1:14" x14ac:dyDescent="0.25">
      <c r="A63" s="20">
        <v>44515</v>
      </c>
      <c r="B63" s="1">
        <v>6</v>
      </c>
      <c r="C63" s="1" t="s">
        <v>52</v>
      </c>
      <c r="D63" s="1" t="s">
        <v>23</v>
      </c>
      <c r="E63" s="26">
        <f>+E62</f>
        <v>46</v>
      </c>
      <c r="F63" s="28">
        <f>+(F62-E62)/E62</f>
        <v>-1.3043478260869441E-2</v>
      </c>
      <c r="G63" s="17">
        <v>2</v>
      </c>
      <c r="H63" s="17" t="s">
        <v>9</v>
      </c>
      <c r="I63" s="30" t="s">
        <v>57</v>
      </c>
      <c r="J63" s="22">
        <v>0.6</v>
      </c>
      <c r="K63" s="22">
        <v>0.55000000000000004</v>
      </c>
      <c r="L63" s="8">
        <f t="shared" ref="L63:L73" si="44">+J63-K63</f>
        <v>4.9999999999999933E-2</v>
      </c>
      <c r="M63" s="24">
        <f t="shared" si="22"/>
        <v>1.1013215859030821E-3</v>
      </c>
      <c r="N63" s="14"/>
    </row>
    <row r="64" spans="1:14" x14ac:dyDescent="0.25">
      <c r="A64" s="20">
        <v>44515</v>
      </c>
      <c r="B64" s="1">
        <v>6</v>
      </c>
      <c r="C64" s="1" t="s">
        <v>52</v>
      </c>
      <c r="D64" s="1" t="s">
        <v>23</v>
      </c>
      <c r="E64" s="26" t="e">
        <f>+#REF!</f>
        <v>#REF!</v>
      </c>
      <c r="F64" s="26" t="e">
        <f>+#REF!</f>
        <v>#REF!</v>
      </c>
      <c r="G64" s="17">
        <v>3</v>
      </c>
      <c r="H64" s="17" t="s">
        <v>9</v>
      </c>
      <c r="I64" s="30" t="s">
        <v>58</v>
      </c>
      <c r="J64" s="22">
        <v>0</v>
      </c>
      <c r="K64" s="22">
        <v>0</v>
      </c>
      <c r="L64" s="8">
        <f t="shared" si="44"/>
        <v>0</v>
      </c>
      <c r="M64" s="24">
        <f t="shared" si="22"/>
        <v>0</v>
      </c>
      <c r="N64" s="14"/>
    </row>
    <row r="65" spans="1:14" x14ac:dyDescent="0.25">
      <c r="A65" s="20">
        <v>44515</v>
      </c>
      <c r="B65" s="1">
        <v>6</v>
      </c>
      <c r="C65" s="1" t="s">
        <v>52</v>
      </c>
      <c r="D65" s="1" t="s">
        <v>23</v>
      </c>
      <c r="E65" s="26" t="e">
        <f t="shared" ref="E65:F65" si="45">+E64</f>
        <v>#REF!</v>
      </c>
      <c r="F65" s="26" t="e">
        <f t="shared" si="45"/>
        <v>#REF!</v>
      </c>
      <c r="G65" s="17">
        <v>4</v>
      </c>
      <c r="H65" s="17" t="s">
        <v>9</v>
      </c>
      <c r="I65" s="30" t="s">
        <v>22</v>
      </c>
      <c r="J65" s="22">
        <v>0</v>
      </c>
      <c r="K65" s="22">
        <v>0</v>
      </c>
      <c r="L65" s="8">
        <f t="shared" si="44"/>
        <v>0</v>
      </c>
      <c r="M65" s="24">
        <f t="shared" si="22"/>
        <v>0</v>
      </c>
      <c r="N65" s="14"/>
    </row>
    <row r="66" spans="1:14" x14ac:dyDescent="0.25">
      <c r="A66" s="20">
        <v>44515</v>
      </c>
      <c r="B66" s="1">
        <v>6</v>
      </c>
      <c r="C66" s="1" t="s">
        <v>52</v>
      </c>
      <c r="D66" s="1" t="s">
        <v>23</v>
      </c>
      <c r="E66" s="26" t="e">
        <f t="shared" ref="E66:F66" si="46">+E65</f>
        <v>#REF!</v>
      </c>
      <c r="F66" s="26" t="e">
        <f t="shared" si="46"/>
        <v>#REF!</v>
      </c>
      <c r="G66" s="17">
        <v>5</v>
      </c>
      <c r="H66" s="17" t="s">
        <v>9</v>
      </c>
      <c r="I66" s="30" t="s">
        <v>34</v>
      </c>
      <c r="J66" s="22">
        <v>0.6</v>
      </c>
      <c r="K66" s="22">
        <v>0.55000000000000004</v>
      </c>
      <c r="L66" s="8">
        <f t="shared" si="44"/>
        <v>4.9999999999999933E-2</v>
      </c>
      <c r="M66" s="24">
        <f t="shared" ref="M66:M77" si="47">+L66/SUMIF(C:C,C66,L:L)</f>
        <v>1.1013215859030821E-3</v>
      </c>
      <c r="N66" s="14"/>
    </row>
    <row r="67" spans="1:14" x14ac:dyDescent="0.25">
      <c r="A67" s="20">
        <v>44515</v>
      </c>
      <c r="B67" s="1">
        <v>6</v>
      </c>
      <c r="C67" s="1" t="s">
        <v>52</v>
      </c>
      <c r="D67" s="1" t="s">
        <v>23</v>
      </c>
      <c r="E67" s="26" t="e">
        <f t="shared" ref="E67:F67" si="48">+E66</f>
        <v>#REF!</v>
      </c>
      <c r="F67" s="26" t="e">
        <f t="shared" si="48"/>
        <v>#REF!</v>
      </c>
      <c r="G67" s="17">
        <v>6</v>
      </c>
      <c r="H67" s="17" t="s">
        <v>9</v>
      </c>
      <c r="I67" s="30" t="s">
        <v>35</v>
      </c>
      <c r="J67" s="22">
        <v>0</v>
      </c>
      <c r="K67" s="22">
        <v>0</v>
      </c>
      <c r="L67" s="8">
        <f t="shared" si="44"/>
        <v>0</v>
      </c>
      <c r="M67" s="24">
        <f t="shared" si="47"/>
        <v>0</v>
      </c>
      <c r="N67" s="14"/>
    </row>
    <row r="68" spans="1:14" x14ac:dyDescent="0.25">
      <c r="A68" s="20">
        <v>44515</v>
      </c>
      <c r="B68" s="1">
        <v>6</v>
      </c>
      <c r="C68" s="1" t="s">
        <v>52</v>
      </c>
      <c r="D68" s="1" t="s">
        <v>23</v>
      </c>
      <c r="E68" s="26" t="e">
        <f t="shared" ref="E68:F68" si="49">+E67</f>
        <v>#REF!</v>
      </c>
      <c r="F68" s="26" t="e">
        <f t="shared" si="49"/>
        <v>#REF!</v>
      </c>
      <c r="G68" s="17">
        <v>7</v>
      </c>
      <c r="H68" s="17" t="s">
        <v>9</v>
      </c>
      <c r="I68" s="30" t="s">
        <v>36</v>
      </c>
      <c r="J68" s="22">
        <v>0.75</v>
      </c>
      <c r="K68" s="22">
        <v>0.55000000000000004</v>
      </c>
      <c r="L68" s="8">
        <f t="shared" si="44"/>
        <v>0.19999999999999996</v>
      </c>
      <c r="M68" s="24">
        <f t="shared" si="47"/>
        <v>4.4052863436123335E-3</v>
      </c>
      <c r="N68" s="14"/>
    </row>
    <row r="69" spans="1:14" x14ac:dyDescent="0.25">
      <c r="A69" s="20">
        <v>44515</v>
      </c>
      <c r="B69" s="1">
        <v>6</v>
      </c>
      <c r="C69" s="1" t="s">
        <v>52</v>
      </c>
      <c r="D69" s="1" t="s">
        <v>23</v>
      </c>
      <c r="E69" s="26" t="e">
        <f>+E68</f>
        <v>#REF!</v>
      </c>
      <c r="F69" s="26" t="e">
        <f>+F68</f>
        <v>#REF!</v>
      </c>
      <c r="G69" s="17">
        <v>8</v>
      </c>
      <c r="H69" s="17" t="s">
        <v>9</v>
      </c>
      <c r="I69" s="30" t="s">
        <v>59</v>
      </c>
      <c r="J69" s="22">
        <f>11.7+11.1</f>
        <v>22.799999999999997</v>
      </c>
      <c r="K69" s="22">
        <f>8.55+8.55</f>
        <v>17.100000000000001</v>
      </c>
      <c r="L69" s="8">
        <f t="shared" si="44"/>
        <v>5.6999999999999957</v>
      </c>
      <c r="M69" s="24">
        <f t="shared" si="47"/>
        <v>0.12555066079295144</v>
      </c>
      <c r="N69" s="14"/>
    </row>
    <row r="70" spans="1:14" x14ac:dyDescent="0.25">
      <c r="A70" s="20">
        <v>44515</v>
      </c>
      <c r="B70" s="1">
        <v>6</v>
      </c>
      <c r="C70" s="1" t="s">
        <v>52</v>
      </c>
      <c r="D70" s="1" t="s">
        <v>23</v>
      </c>
      <c r="E70" s="26" t="e">
        <f t="shared" ref="E70:F70" si="50">+E69</f>
        <v>#REF!</v>
      </c>
      <c r="F70" s="26" t="e">
        <f t="shared" si="50"/>
        <v>#REF!</v>
      </c>
      <c r="G70" s="17">
        <v>9</v>
      </c>
      <c r="H70" s="17" t="s">
        <v>9</v>
      </c>
      <c r="I70" s="30" t="s">
        <v>38</v>
      </c>
      <c r="J70" s="22">
        <v>0</v>
      </c>
      <c r="K70" s="22">
        <v>0</v>
      </c>
      <c r="L70" s="8">
        <f t="shared" si="44"/>
        <v>0</v>
      </c>
      <c r="M70" s="24">
        <f t="shared" si="47"/>
        <v>0</v>
      </c>
      <c r="N70" s="14"/>
    </row>
    <row r="71" spans="1:14" x14ac:dyDescent="0.25">
      <c r="A71" s="20">
        <v>44515</v>
      </c>
      <c r="B71" s="1">
        <v>6</v>
      </c>
      <c r="C71" s="1" t="s">
        <v>52</v>
      </c>
      <c r="D71" s="1" t="s">
        <v>23</v>
      </c>
      <c r="E71" s="26" t="e">
        <f t="shared" ref="E71:F71" si="51">+E70</f>
        <v>#REF!</v>
      </c>
      <c r="F71" s="26" t="e">
        <f t="shared" si="51"/>
        <v>#REF!</v>
      </c>
      <c r="G71" s="17">
        <v>10</v>
      </c>
      <c r="H71" s="17" t="s">
        <v>9</v>
      </c>
      <c r="I71" s="30" t="s">
        <v>23</v>
      </c>
      <c r="J71" s="22">
        <f>13.35+16.25+12.7+15.95+11.9+13+13.75</f>
        <v>96.9</v>
      </c>
      <c r="K71" s="22">
        <f>8.3+8.3+8.3+8.55+8.3+8.3+8.5</f>
        <v>58.55</v>
      </c>
      <c r="L71" s="8">
        <f t="shared" si="44"/>
        <v>38.350000000000009</v>
      </c>
      <c r="M71" s="24">
        <f t="shared" si="47"/>
        <v>0.84471365638766527</v>
      </c>
      <c r="N71" s="14"/>
    </row>
    <row r="72" spans="1:14" x14ac:dyDescent="0.25">
      <c r="A72" s="20">
        <v>44515</v>
      </c>
      <c r="B72" s="1">
        <v>6</v>
      </c>
      <c r="C72" s="1" t="s">
        <v>52</v>
      </c>
      <c r="D72" s="1" t="s">
        <v>23</v>
      </c>
      <c r="E72" s="26" t="e">
        <f t="shared" ref="E72:F72" si="52">+E71</f>
        <v>#REF!</v>
      </c>
      <c r="F72" s="26" t="e">
        <f t="shared" si="52"/>
        <v>#REF!</v>
      </c>
      <c r="G72" s="17">
        <v>11</v>
      </c>
      <c r="H72" s="17" t="s">
        <v>9</v>
      </c>
      <c r="I72" s="30" t="s">
        <v>60</v>
      </c>
      <c r="J72" s="22">
        <v>0</v>
      </c>
      <c r="K72" s="22">
        <v>0</v>
      </c>
      <c r="L72" s="8">
        <f t="shared" si="44"/>
        <v>0</v>
      </c>
      <c r="M72" s="24">
        <f t="shared" si="47"/>
        <v>0</v>
      </c>
      <c r="N72" s="14"/>
    </row>
    <row r="73" spans="1:14" ht="15.75" thickBot="1" x14ac:dyDescent="0.3">
      <c r="A73" s="20">
        <v>44515</v>
      </c>
      <c r="B73" s="1">
        <v>6</v>
      </c>
      <c r="C73" s="1" t="s">
        <v>52</v>
      </c>
      <c r="D73" s="1" t="s">
        <v>23</v>
      </c>
      <c r="E73" s="26" t="e">
        <f t="shared" ref="E73:F73" si="53">+E72</f>
        <v>#REF!</v>
      </c>
      <c r="F73" s="26" t="e">
        <f t="shared" si="53"/>
        <v>#REF!</v>
      </c>
      <c r="G73" s="18">
        <f>+G72+1</f>
        <v>12</v>
      </c>
      <c r="H73" s="18" t="s">
        <v>10</v>
      </c>
      <c r="I73" s="46" t="s">
        <v>10</v>
      </c>
      <c r="J73" s="22">
        <f>8.5+9.1</f>
        <v>17.600000000000001</v>
      </c>
      <c r="K73" s="22">
        <f>8.25+8.3</f>
        <v>16.55</v>
      </c>
      <c r="L73" s="8">
        <f t="shared" si="44"/>
        <v>1.0500000000000007</v>
      </c>
      <c r="M73" s="24">
        <f t="shared" si="47"/>
        <v>2.3127753303964771E-2</v>
      </c>
      <c r="N73" s="14"/>
    </row>
    <row r="74" spans="1:14" x14ac:dyDescent="0.25">
      <c r="A74" s="19">
        <v>44515</v>
      </c>
      <c r="B74" s="15">
        <v>7</v>
      </c>
      <c r="C74" s="15" t="s">
        <v>54</v>
      </c>
      <c r="D74" s="15" t="s">
        <v>179</v>
      </c>
      <c r="E74" s="25">
        <f>77.3-38.2</f>
        <v>39.099999999999994</v>
      </c>
      <c r="F74" s="25">
        <f>+SUM(L74:L85)</f>
        <v>38.25</v>
      </c>
      <c r="G74" s="16">
        <v>1</v>
      </c>
      <c r="H74" s="16" t="s">
        <v>9</v>
      </c>
      <c r="I74" s="59" t="s">
        <v>56</v>
      </c>
      <c r="J74" s="21">
        <v>0</v>
      </c>
      <c r="K74" s="21">
        <v>0</v>
      </c>
      <c r="L74" s="12">
        <f>+J74-K74</f>
        <v>0</v>
      </c>
      <c r="M74" s="23">
        <f>+L74/SUMIF(C:C,C74,L:L)</f>
        <v>0</v>
      </c>
      <c r="N74" s="13"/>
    </row>
    <row r="75" spans="1:14" x14ac:dyDescent="0.25">
      <c r="A75" s="20">
        <v>44515</v>
      </c>
      <c r="B75" s="1">
        <v>7</v>
      </c>
      <c r="C75" s="1" t="s">
        <v>54</v>
      </c>
      <c r="D75" s="1" t="s">
        <v>179</v>
      </c>
      <c r="E75" s="26">
        <f>+E74</f>
        <v>39.099999999999994</v>
      </c>
      <c r="F75" s="28">
        <f>+(F74-E74)/E74</f>
        <v>-2.1739130434782466E-2</v>
      </c>
      <c r="G75" s="17">
        <v>2</v>
      </c>
      <c r="H75" s="17" t="s">
        <v>9</v>
      </c>
      <c r="I75" s="30" t="s">
        <v>57</v>
      </c>
      <c r="J75" s="22">
        <f>8.9+1.1</f>
        <v>10</v>
      </c>
      <c r="K75" s="22">
        <f>8.55+0.55</f>
        <v>9.1000000000000014</v>
      </c>
      <c r="L75" s="8">
        <f t="shared" ref="L75:L85" si="54">+J75-K75</f>
        <v>0.89999999999999858</v>
      </c>
      <c r="M75" s="24">
        <f t="shared" si="47"/>
        <v>2.3529411764705844E-2</v>
      </c>
      <c r="N75" s="14"/>
    </row>
    <row r="76" spans="1:14" x14ac:dyDescent="0.25">
      <c r="A76" s="20">
        <v>44515</v>
      </c>
      <c r="B76" s="1">
        <v>7</v>
      </c>
      <c r="C76" s="1" t="s">
        <v>54</v>
      </c>
      <c r="D76" s="1" t="s">
        <v>179</v>
      </c>
      <c r="E76" s="26" t="e">
        <f>+#REF!</f>
        <v>#REF!</v>
      </c>
      <c r="F76" s="26" t="e">
        <f>+#REF!</f>
        <v>#REF!</v>
      </c>
      <c r="G76" s="17">
        <v>3</v>
      </c>
      <c r="H76" s="17" t="s">
        <v>9</v>
      </c>
      <c r="I76" s="30" t="s">
        <v>58</v>
      </c>
      <c r="J76" s="22">
        <v>0</v>
      </c>
      <c r="K76" s="22">
        <v>0</v>
      </c>
      <c r="L76" s="8">
        <f t="shared" si="54"/>
        <v>0</v>
      </c>
      <c r="M76" s="24">
        <f>+L76/SUMIF(C:C,C76,L:L)</f>
        <v>0</v>
      </c>
      <c r="N76" s="14"/>
    </row>
    <row r="77" spans="1:14" x14ac:dyDescent="0.25">
      <c r="A77" s="20">
        <v>44515</v>
      </c>
      <c r="B77" s="1">
        <v>7</v>
      </c>
      <c r="C77" s="1" t="s">
        <v>54</v>
      </c>
      <c r="D77" s="1" t="s">
        <v>179</v>
      </c>
      <c r="E77" s="26" t="e">
        <f t="shared" ref="E77:F77" si="55">+E76</f>
        <v>#REF!</v>
      </c>
      <c r="F77" s="26" t="e">
        <f t="shared" si="55"/>
        <v>#REF!</v>
      </c>
      <c r="G77" s="17">
        <v>4</v>
      </c>
      <c r="H77" s="17" t="s">
        <v>9</v>
      </c>
      <c r="I77" s="30" t="s">
        <v>22</v>
      </c>
      <c r="J77" s="22">
        <v>0.65</v>
      </c>
      <c r="K77" s="22">
        <v>0.5</v>
      </c>
      <c r="L77" s="8">
        <f t="shared" si="54"/>
        <v>0.15000000000000002</v>
      </c>
      <c r="M77" s="24">
        <f t="shared" si="47"/>
        <v>3.9215686274509812E-3</v>
      </c>
      <c r="N77" s="14"/>
    </row>
    <row r="78" spans="1:14" x14ac:dyDescent="0.25">
      <c r="A78" s="20">
        <v>44515</v>
      </c>
      <c r="B78" s="1">
        <v>7</v>
      </c>
      <c r="C78" s="1" t="s">
        <v>54</v>
      </c>
      <c r="D78" s="1" t="s">
        <v>179</v>
      </c>
      <c r="E78" s="26" t="e">
        <f t="shared" ref="E78:F78" si="56">+E77</f>
        <v>#REF!</v>
      </c>
      <c r="F78" s="26" t="e">
        <f t="shared" si="56"/>
        <v>#REF!</v>
      </c>
      <c r="G78" s="17">
        <v>5</v>
      </c>
      <c r="H78" s="17" t="s">
        <v>9</v>
      </c>
      <c r="I78" s="30" t="s">
        <v>34</v>
      </c>
      <c r="J78" s="22">
        <v>0.75</v>
      </c>
      <c r="K78" s="22">
        <v>0.55000000000000004</v>
      </c>
      <c r="L78" s="8">
        <f t="shared" si="54"/>
        <v>0.19999999999999996</v>
      </c>
      <c r="M78" s="24">
        <f t="shared" ref="M78:M84" si="57">+L78/SUMIF(C:C,C78,L:L)</f>
        <v>5.2287581699346393E-3</v>
      </c>
      <c r="N78" s="14"/>
    </row>
    <row r="79" spans="1:14" x14ac:dyDescent="0.25">
      <c r="A79" s="20">
        <v>44515</v>
      </c>
      <c r="B79" s="1">
        <v>7</v>
      </c>
      <c r="C79" s="1" t="s">
        <v>54</v>
      </c>
      <c r="D79" s="1" t="s">
        <v>179</v>
      </c>
      <c r="E79" s="26" t="e">
        <f t="shared" ref="E79:F79" si="58">+E78</f>
        <v>#REF!</v>
      </c>
      <c r="F79" s="26" t="e">
        <f t="shared" si="58"/>
        <v>#REF!</v>
      </c>
      <c r="G79" s="17">
        <v>6</v>
      </c>
      <c r="H79" s="17" t="s">
        <v>9</v>
      </c>
      <c r="I79" s="30" t="s">
        <v>35</v>
      </c>
      <c r="J79" s="22">
        <v>0.6</v>
      </c>
      <c r="K79" s="22">
        <v>0.55000000000000004</v>
      </c>
      <c r="L79" s="8">
        <f t="shared" si="54"/>
        <v>4.9999999999999933E-2</v>
      </c>
      <c r="M79" s="24">
        <f t="shared" si="57"/>
        <v>1.3071895424836583E-3</v>
      </c>
      <c r="N79" s="14"/>
    </row>
    <row r="80" spans="1:14" x14ac:dyDescent="0.25">
      <c r="A80" s="20">
        <v>44515</v>
      </c>
      <c r="B80" s="1">
        <v>7</v>
      </c>
      <c r="C80" s="1" t="s">
        <v>54</v>
      </c>
      <c r="D80" s="1" t="s">
        <v>179</v>
      </c>
      <c r="E80" s="26" t="e">
        <f t="shared" ref="E80:F80" si="59">+E79</f>
        <v>#REF!</v>
      </c>
      <c r="F80" s="26" t="e">
        <f t="shared" si="59"/>
        <v>#REF!</v>
      </c>
      <c r="G80" s="17">
        <v>7</v>
      </c>
      <c r="H80" s="17" t="s">
        <v>9</v>
      </c>
      <c r="I80" s="30" t="s">
        <v>36</v>
      </c>
      <c r="J80" s="22">
        <f>16.05+13.65+13.5</f>
        <v>43.2</v>
      </c>
      <c r="K80" s="22">
        <f>6.05+6.05+6.05</f>
        <v>18.149999999999999</v>
      </c>
      <c r="L80" s="8">
        <f t="shared" si="54"/>
        <v>25.050000000000004</v>
      </c>
      <c r="M80" s="24">
        <f t="shared" si="57"/>
        <v>0.65490196078431384</v>
      </c>
      <c r="N80" s="14"/>
    </row>
    <row r="81" spans="1:17" x14ac:dyDescent="0.25">
      <c r="A81" s="20">
        <v>44515</v>
      </c>
      <c r="B81" s="1">
        <v>7</v>
      </c>
      <c r="C81" s="1" t="s">
        <v>54</v>
      </c>
      <c r="D81" s="1" t="s">
        <v>179</v>
      </c>
      <c r="E81" s="26" t="e">
        <f>+E80</f>
        <v>#REF!</v>
      </c>
      <c r="F81" s="26" t="e">
        <f>+F80</f>
        <v>#REF!</v>
      </c>
      <c r="G81" s="17">
        <v>8</v>
      </c>
      <c r="H81" s="17" t="s">
        <v>9</v>
      </c>
      <c r="I81" s="30" t="s">
        <v>59</v>
      </c>
      <c r="J81" s="22">
        <f>9.75</f>
        <v>9.75</v>
      </c>
      <c r="K81" s="22">
        <f>8.55</f>
        <v>8.5500000000000007</v>
      </c>
      <c r="L81" s="8">
        <f t="shared" si="54"/>
        <v>1.1999999999999993</v>
      </c>
      <c r="M81" s="24">
        <f t="shared" si="57"/>
        <v>3.1372549019607822E-2</v>
      </c>
      <c r="N81" s="14"/>
    </row>
    <row r="82" spans="1:17" x14ac:dyDescent="0.25">
      <c r="A82" s="20">
        <v>44515</v>
      </c>
      <c r="B82" s="1">
        <v>7</v>
      </c>
      <c r="C82" s="1" t="s">
        <v>54</v>
      </c>
      <c r="D82" s="1" t="s">
        <v>179</v>
      </c>
      <c r="E82" s="26" t="e">
        <f t="shared" ref="E82:F82" si="60">+E81</f>
        <v>#REF!</v>
      </c>
      <c r="F82" s="26" t="e">
        <f t="shared" si="60"/>
        <v>#REF!</v>
      </c>
      <c r="G82" s="17">
        <v>9</v>
      </c>
      <c r="H82" s="17" t="s">
        <v>9</v>
      </c>
      <c r="I82" s="30" t="s">
        <v>38</v>
      </c>
      <c r="J82" s="22">
        <v>1.2</v>
      </c>
      <c r="K82" s="22">
        <v>0.55000000000000004</v>
      </c>
      <c r="L82" s="8">
        <f t="shared" si="54"/>
        <v>0.64999999999999991</v>
      </c>
      <c r="M82" s="24">
        <f t="shared" si="57"/>
        <v>1.699346405228758E-2</v>
      </c>
      <c r="N82" s="14"/>
    </row>
    <row r="83" spans="1:17" x14ac:dyDescent="0.25">
      <c r="A83" s="20">
        <v>44515</v>
      </c>
      <c r="B83" s="1">
        <v>7</v>
      </c>
      <c r="C83" s="1" t="s">
        <v>54</v>
      </c>
      <c r="D83" s="1" t="s">
        <v>179</v>
      </c>
      <c r="E83" s="26" t="e">
        <f t="shared" ref="E83:F83" si="61">+E82</f>
        <v>#REF!</v>
      </c>
      <c r="F83" s="26" t="e">
        <f t="shared" si="61"/>
        <v>#REF!</v>
      </c>
      <c r="G83" s="17">
        <v>10</v>
      </c>
      <c r="H83" s="17" t="s">
        <v>9</v>
      </c>
      <c r="I83" s="30" t="s">
        <v>23</v>
      </c>
      <c r="J83" s="22">
        <f>9.8</f>
        <v>9.8000000000000007</v>
      </c>
      <c r="K83" s="22">
        <f>8.5</f>
        <v>8.5</v>
      </c>
      <c r="L83" s="8">
        <f t="shared" si="54"/>
        <v>1.3000000000000007</v>
      </c>
      <c r="M83" s="24">
        <f t="shared" si="57"/>
        <v>3.3986928104575181E-2</v>
      </c>
      <c r="N83" s="14"/>
    </row>
    <row r="84" spans="1:17" x14ac:dyDescent="0.25">
      <c r="A84" s="20">
        <v>44515</v>
      </c>
      <c r="B84" s="1">
        <v>7</v>
      </c>
      <c r="C84" s="1" t="s">
        <v>54</v>
      </c>
      <c r="D84" s="1" t="s">
        <v>179</v>
      </c>
      <c r="E84" s="26" t="e">
        <f t="shared" ref="E84:F84" si="62">+E83</f>
        <v>#REF!</v>
      </c>
      <c r="F84" s="26" t="e">
        <f t="shared" si="62"/>
        <v>#REF!</v>
      </c>
      <c r="G84" s="17">
        <v>11</v>
      </c>
      <c r="H84" s="17" t="s">
        <v>9</v>
      </c>
      <c r="I84" s="30" t="s">
        <v>60</v>
      </c>
      <c r="J84" s="22">
        <v>0</v>
      </c>
      <c r="K84" s="22">
        <v>0</v>
      </c>
      <c r="L84" s="8">
        <f t="shared" si="54"/>
        <v>0</v>
      </c>
      <c r="M84" s="24">
        <f t="shared" si="57"/>
        <v>0</v>
      </c>
      <c r="N84" s="14"/>
    </row>
    <row r="85" spans="1:17" s="2" customFormat="1" ht="45.75" thickBot="1" x14ac:dyDescent="0.3">
      <c r="A85" s="60">
        <v>44515</v>
      </c>
      <c r="B85" s="57">
        <v>7</v>
      </c>
      <c r="C85" s="57" t="s">
        <v>54</v>
      </c>
      <c r="D85" s="57" t="s">
        <v>179</v>
      </c>
      <c r="E85" s="61" t="e">
        <f t="shared" ref="E85:F85" si="63">+E84</f>
        <v>#REF!</v>
      </c>
      <c r="F85" s="61" t="e">
        <f t="shared" si="63"/>
        <v>#REF!</v>
      </c>
      <c r="G85" s="62">
        <f>+G84+1</f>
        <v>12</v>
      </c>
      <c r="H85" s="62" t="s">
        <v>10</v>
      </c>
      <c r="I85" s="46" t="s">
        <v>10</v>
      </c>
      <c r="J85" s="63">
        <f>14+11.55</f>
        <v>25.55</v>
      </c>
      <c r="K85" s="63">
        <f>8.5+8.3</f>
        <v>16.8</v>
      </c>
      <c r="L85" s="64">
        <f t="shared" si="54"/>
        <v>8.75</v>
      </c>
      <c r="M85" s="65">
        <f>+L85/SUMIF(C:C,C85,L:L)</f>
        <v>0.22875816993464052</v>
      </c>
      <c r="N85" s="66" t="s">
        <v>53</v>
      </c>
      <c r="Q85" s="5"/>
    </row>
    <row r="86" spans="1:17" x14ac:dyDescent="0.25">
      <c r="A86" s="19">
        <v>44517</v>
      </c>
      <c r="B86" s="15">
        <f>B74+1</f>
        <v>8</v>
      </c>
      <c r="C86" s="15" t="s">
        <v>68</v>
      </c>
      <c r="D86" s="15" t="s">
        <v>180</v>
      </c>
      <c r="E86" s="25">
        <f>32.6-1.2</f>
        <v>31.400000000000002</v>
      </c>
      <c r="F86" s="25">
        <f>+SUM(L86:L97)</f>
        <v>31.3</v>
      </c>
      <c r="G86" s="16">
        <v>1</v>
      </c>
      <c r="H86" s="16" t="s">
        <v>9</v>
      </c>
      <c r="I86" s="59" t="s">
        <v>56</v>
      </c>
      <c r="J86" s="21">
        <v>0</v>
      </c>
      <c r="K86" s="21">
        <v>0</v>
      </c>
      <c r="L86" s="12">
        <f>+J86-K86</f>
        <v>0</v>
      </c>
      <c r="M86" s="23">
        <f>+L86/SUMIF(C:C,C86,L:L)</f>
        <v>0</v>
      </c>
      <c r="N86" s="13"/>
      <c r="O86" t="s">
        <v>70</v>
      </c>
    </row>
    <row r="87" spans="1:17" x14ac:dyDescent="0.25">
      <c r="A87" s="20">
        <v>44517</v>
      </c>
      <c r="B87" s="1">
        <f>B86</f>
        <v>8</v>
      </c>
      <c r="C87" s="1" t="s">
        <v>68</v>
      </c>
      <c r="D87" s="1" t="s">
        <v>180</v>
      </c>
      <c r="E87" s="26">
        <f>+E86</f>
        <v>31.400000000000002</v>
      </c>
      <c r="F87" s="28">
        <f>+(F86-E86)/E86</f>
        <v>-3.1847133757962232E-3</v>
      </c>
      <c r="G87" s="17">
        <v>2</v>
      </c>
      <c r="H87" s="17" t="s">
        <v>9</v>
      </c>
      <c r="I87" s="30" t="s">
        <v>57</v>
      </c>
      <c r="J87" s="22">
        <v>0</v>
      </c>
      <c r="K87" s="22">
        <v>0</v>
      </c>
      <c r="L87" s="8">
        <f t="shared" ref="L87:L97" si="64">+J87-K87</f>
        <v>0</v>
      </c>
      <c r="M87" s="24">
        <f>+L87/SUMIF(C:C,C87,L:L)</f>
        <v>0</v>
      </c>
      <c r="N87" s="14"/>
    </row>
    <row r="88" spans="1:17" x14ac:dyDescent="0.25">
      <c r="A88" s="20">
        <v>44517</v>
      </c>
      <c r="B88" s="1">
        <f>B86</f>
        <v>8</v>
      </c>
      <c r="C88" s="1" t="s">
        <v>68</v>
      </c>
      <c r="D88" s="1" t="s">
        <v>180</v>
      </c>
      <c r="E88" s="26" t="e">
        <f>+#REF!</f>
        <v>#REF!</v>
      </c>
      <c r="F88" s="26" t="e">
        <f>+#REF!</f>
        <v>#REF!</v>
      </c>
      <c r="G88" s="17">
        <v>3</v>
      </c>
      <c r="H88" s="17" t="s">
        <v>9</v>
      </c>
      <c r="I88" s="30" t="s">
        <v>58</v>
      </c>
      <c r="J88" s="22">
        <v>0</v>
      </c>
      <c r="K88" s="22">
        <v>0</v>
      </c>
      <c r="L88" s="8">
        <f t="shared" si="64"/>
        <v>0</v>
      </c>
      <c r="M88" s="24">
        <f>+L88/SUMIF(C:C,C88,L:L)</f>
        <v>0</v>
      </c>
      <c r="N88" s="14"/>
    </row>
    <row r="89" spans="1:17" x14ac:dyDescent="0.25">
      <c r="A89" s="20">
        <v>44517</v>
      </c>
      <c r="B89" s="1">
        <f>B86</f>
        <v>8</v>
      </c>
      <c r="C89" s="1" t="s">
        <v>68</v>
      </c>
      <c r="D89" s="1" t="s">
        <v>180</v>
      </c>
      <c r="E89" s="26" t="e">
        <f t="shared" ref="E89:F89" si="65">+E88</f>
        <v>#REF!</v>
      </c>
      <c r="F89" s="26" t="e">
        <f t="shared" si="65"/>
        <v>#REF!</v>
      </c>
      <c r="G89" s="17">
        <v>4</v>
      </c>
      <c r="H89" s="17" t="s">
        <v>9</v>
      </c>
      <c r="I89" s="30" t="s">
        <v>22</v>
      </c>
      <c r="J89" s="22">
        <v>0</v>
      </c>
      <c r="K89" s="22">
        <v>0</v>
      </c>
      <c r="L89" s="8">
        <f t="shared" si="64"/>
        <v>0</v>
      </c>
      <c r="M89" s="24">
        <f t="shared" ref="M89:M96" si="66">+L89/SUMIF(C:C,C89,L:L)</f>
        <v>0</v>
      </c>
      <c r="N89" s="14"/>
    </row>
    <row r="90" spans="1:17" x14ac:dyDescent="0.25">
      <c r="A90" s="20">
        <v>44517</v>
      </c>
      <c r="B90" s="1">
        <f>B86</f>
        <v>8</v>
      </c>
      <c r="C90" s="1" t="s">
        <v>68</v>
      </c>
      <c r="D90" s="1" t="s">
        <v>180</v>
      </c>
      <c r="E90" s="26" t="e">
        <f t="shared" ref="E90:F90" si="67">+E89</f>
        <v>#REF!</v>
      </c>
      <c r="F90" s="26" t="e">
        <f t="shared" si="67"/>
        <v>#REF!</v>
      </c>
      <c r="G90" s="17">
        <v>5</v>
      </c>
      <c r="H90" s="17" t="s">
        <v>9</v>
      </c>
      <c r="I90" s="30" t="s">
        <v>34</v>
      </c>
      <c r="J90" s="22">
        <v>0</v>
      </c>
      <c r="K90" s="22">
        <v>0</v>
      </c>
      <c r="L90" s="8">
        <f t="shared" si="64"/>
        <v>0</v>
      </c>
      <c r="M90" s="24">
        <f t="shared" si="66"/>
        <v>0</v>
      </c>
      <c r="N90" s="14"/>
    </row>
    <row r="91" spans="1:17" x14ac:dyDescent="0.25">
      <c r="A91" s="20">
        <v>44517</v>
      </c>
      <c r="B91" s="1">
        <f>B86</f>
        <v>8</v>
      </c>
      <c r="C91" s="1" t="s">
        <v>68</v>
      </c>
      <c r="D91" s="1" t="s">
        <v>180</v>
      </c>
      <c r="E91" s="26" t="e">
        <f t="shared" ref="E91:F91" si="68">+E90</f>
        <v>#REF!</v>
      </c>
      <c r="F91" s="26" t="e">
        <f t="shared" si="68"/>
        <v>#REF!</v>
      </c>
      <c r="G91" s="17">
        <v>6</v>
      </c>
      <c r="H91" s="17" t="s">
        <v>9</v>
      </c>
      <c r="I91" s="30" t="s">
        <v>35</v>
      </c>
      <c r="J91" s="22">
        <v>0</v>
      </c>
      <c r="K91" s="22">
        <v>0</v>
      </c>
      <c r="L91" s="8">
        <f t="shared" si="64"/>
        <v>0</v>
      </c>
      <c r="M91" s="24">
        <f t="shared" si="66"/>
        <v>0</v>
      </c>
      <c r="N91" s="14"/>
    </row>
    <row r="92" spans="1:17" x14ac:dyDescent="0.25">
      <c r="A92" s="20">
        <v>44517</v>
      </c>
      <c r="B92" s="1">
        <f>B86</f>
        <v>8</v>
      </c>
      <c r="C92" s="1" t="s">
        <v>68</v>
      </c>
      <c r="D92" s="1" t="s">
        <v>180</v>
      </c>
      <c r="E92" s="26" t="e">
        <f t="shared" ref="E92:F92" si="69">+E91</f>
        <v>#REF!</v>
      </c>
      <c r="F92" s="26" t="e">
        <f t="shared" si="69"/>
        <v>#REF!</v>
      </c>
      <c r="G92" s="17">
        <v>7</v>
      </c>
      <c r="H92" s="17" t="s">
        <v>9</v>
      </c>
      <c r="I92" s="30" t="s">
        <v>36</v>
      </c>
      <c r="J92" s="22">
        <v>0.9</v>
      </c>
      <c r="K92" s="22">
        <v>0.55000000000000004</v>
      </c>
      <c r="L92" s="8">
        <f t="shared" si="64"/>
        <v>0.35</v>
      </c>
      <c r="M92" s="24">
        <f t="shared" si="66"/>
        <v>1.1182108626198083E-2</v>
      </c>
      <c r="N92" s="14"/>
    </row>
    <row r="93" spans="1:17" x14ac:dyDescent="0.25">
      <c r="A93" s="20">
        <v>44517</v>
      </c>
      <c r="B93" s="1">
        <f>B86</f>
        <v>8</v>
      </c>
      <c r="C93" s="1" t="s">
        <v>68</v>
      </c>
      <c r="D93" s="1" t="s">
        <v>180</v>
      </c>
      <c r="E93" s="26" t="e">
        <f>+E92</f>
        <v>#REF!</v>
      </c>
      <c r="F93" s="26" t="e">
        <f>+F92</f>
        <v>#REF!</v>
      </c>
      <c r="G93" s="17">
        <v>8</v>
      </c>
      <c r="H93" s="17" t="s">
        <v>9</v>
      </c>
      <c r="I93" s="30" t="s">
        <v>59</v>
      </c>
      <c r="J93" s="22">
        <f>16.65+17.85+15.1+13.05</f>
        <v>62.650000000000006</v>
      </c>
      <c r="K93" s="22">
        <f>8.55+8.55+8.55+8.55</f>
        <v>34.200000000000003</v>
      </c>
      <c r="L93" s="8">
        <f t="shared" si="64"/>
        <v>28.450000000000003</v>
      </c>
      <c r="M93" s="24">
        <f t="shared" si="66"/>
        <v>0.90894568690095856</v>
      </c>
      <c r="N93" s="14"/>
    </row>
    <row r="94" spans="1:17" x14ac:dyDescent="0.25">
      <c r="A94" s="20">
        <v>44517</v>
      </c>
      <c r="B94" s="1">
        <f>B86</f>
        <v>8</v>
      </c>
      <c r="C94" s="1" t="s">
        <v>68</v>
      </c>
      <c r="D94" s="1" t="s">
        <v>180</v>
      </c>
      <c r="E94" s="26" t="e">
        <f t="shared" ref="E94:F94" si="70">+E93</f>
        <v>#REF!</v>
      </c>
      <c r="F94" s="26" t="e">
        <f t="shared" si="70"/>
        <v>#REF!</v>
      </c>
      <c r="G94" s="17">
        <v>9</v>
      </c>
      <c r="H94" s="17" t="s">
        <v>9</v>
      </c>
      <c r="I94" s="30" t="s">
        <v>38</v>
      </c>
      <c r="J94" s="22">
        <v>0</v>
      </c>
      <c r="K94" s="22">
        <v>0</v>
      </c>
      <c r="L94" s="8">
        <f t="shared" si="64"/>
        <v>0</v>
      </c>
      <c r="M94" s="24">
        <f t="shared" si="66"/>
        <v>0</v>
      </c>
      <c r="N94" s="14"/>
    </row>
    <row r="95" spans="1:17" x14ac:dyDescent="0.25">
      <c r="A95" s="20">
        <v>44517</v>
      </c>
      <c r="B95" s="1">
        <f>B86</f>
        <v>8</v>
      </c>
      <c r="C95" s="1" t="s">
        <v>68</v>
      </c>
      <c r="D95" s="1" t="s">
        <v>180</v>
      </c>
      <c r="E95" s="26" t="e">
        <f t="shared" ref="E95:F95" si="71">+E94</f>
        <v>#REF!</v>
      </c>
      <c r="F95" s="26" t="e">
        <f t="shared" si="71"/>
        <v>#REF!</v>
      </c>
      <c r="G95" s="17">
        <v>10</v>
      </c>
      <c r="H95" s="17" t="s">
        <v>9</v>
      </c>
      <c r="I95" s="30" t="s">
        <v>23</v>
      </c>
      <c r="J95" s="22">
        <f>9.25+9.15</f>
        <v>18.399999999999999</v>
      </c>
      <c r="K95" s="22">
        <f>8.5+8.3</f>
        <v>16.8</v>
      </c>
      <c r="L95" s="8">
        <f t="shared" si="64"/>
        <v>1.5999999999999979</v>
      </c>
      <c r="M95" s="24">
        <f t="shared" si="66"/>
        <v>5.1118210862619737E-2</v>
      </c>
      <c r="N95" s="14"/>
    </row>
    <row r="96" spans="1:17" x14ac:dyDescent="0.25">
      <c r="A96" s="20">
        <v>44517</v>
      </c>
      <c r="B96" s="1">
        <f>B86</f>
        <v>8</v>
      </c>
      <c r="C96" s="1" t="s">
        <v>68</v>
      </c>
      <c r="D96" s="1" t="s">
        <v>180</v>
      </c>
      <c r="E96" s="26" t="e">
        <f t="shared" ref="E96:F96" si="72">+E95</f>
        <v>#REF!</v>
      </c>
      <c r="F96" s="26" t="e">
        <f t="shared" si="72"/>
        <v>#REF!</v>
      </c>
      <c r="G96" s="17">
        <v>11</v>
      </c>
      <c r="H96" s="17" t="s">
        <v>9</v>
      </c>
      <c r="I96" s="30" t="s">
        <v>60</v>
      </c>
      <c r="J96" s="22">
        <f>0.6</f>
        <v>0.6</v>
      </c>
      <c r="K96" s="22">
        <v>0.55000000000000004</v>
      </c>
      <c r="L96" s="8">
        <f t="shared" si="64"/>
        <v>4.9999999999999933E-2</v>
      </c>
      <c r="M96" s="24">
        <f t="shared" si="66"/>
        <v>1.5974440894568668E-3</v>
      </c>
      <c r="N96" s="14"/>
    </row>
    <row r="97" spans="1:17" s="2" customFormat="1" ht="45.75" thickBot="1" x14ac:dyDescent="0.3">
      <c r="A97" s="60">
        <v>44517</v>
      </c>
      <c r="B97" s="57">
        <f>B86</f>
        <v>8</v>
      </c>
      <c r="C97" s="57" t="s">
        <v>68</v>
      </c>
      <c r="D97" s="57" t="s">
        <v>180</v>
      </c>
      <c r="E97" s="61" t="e">
        <f t="shared" ref="E97:F97" si="73">+E96</f>
        <v>#REF!</v>
      </c>
      <c r="F97" s="61" t="e">
        <f t="shared" si="73"/>
        <v>#REF!</v>
      </c>
      <c r="G97" s="62">
        <f>+G96+1</f>
        <v>12</v>
      </c>
      <c r="H97" s="62" t="s">
        <v>10</v>
      </c>
      <c r="I97" s="46" t="s">
        <v>10</v>
      </c>
      <c r="J97" s="63">
        <f>9.1+8.6</f>
        <v>17.7</v>
      </c>
      <c r="K97" s="63">
        <f>8.55+8.3</f>
        <v>16.850000000000001</v>
      </c>
      <c r="L97" s="64">
        <f t="shared" si="64"/>
        <v>0.84999999999999787</v>
      </c>
      <c r="M97" s="65">
        <f>+L97/SUMIF(C:C,C97,L:L)</f>
        <v>2.7156549520766706E-2</v>
      </c>
      <c r="N97" s="66" t="s">
        <v>69</v>
      </c>
      <c r="Q97" s="5"/>
    </row>
    <row r="98" spans="1:17" x14ac:dyDescent="0.25">
      <c r="A98" s="19">
        <v>44517</v>
      </c>
      <c r="B98" s="15">
        <f>B86+1</f>
        <v>9</v>
      </c>
      <c r="C98" s="15" t="s">
        <v>72</v>
      </c>
      <c r="D98" s="15" t="s">
        <v>180</v>
      </c>
      <c r="E98" s="25">
        <f>46.6-1.2</f>
        <v>45.4</v>
      </c>
      <c r="F98" s="25">
        <f>+SUM(L98:L109)</f>
        <v>45.35</v>
      </c>
      <c r="G98" s="16">
        <v>1</v>
      </c>
      <c r="H98" s="16" t="s">
        <v>9</v>
      </c>
      <c r="I98" s="59" t="s">
        <v>56</v>
      </c>
      <c r="J98" s="21">
        <v>0</v>
      </c>
      <c r="K98" s="21">
        <v>0</v>
      </c>
      <c r="L98" s="12">
        <f>+J98-K98</f>
        <v>0</v>
      </c>
      <c r="M98" s="23">
        <f>+L98/SUMIF(C:C,C98,L:L)</f>
        <v>0</v>
      </c>
      <c r="N98" s="13"/>
      <c r="O98" t="s">
        <v>71</v>
      </c>
    </row>
    <row r="99" spans="1:17" x14ac:dyDescent="0.25">
      <c r="A99" s="20">
        <v>44517</v>
      </c>
      <c r="B99" s="1">
        <f>B98</f>
        <v>9</v>
      </c>
      <c r="C99" s="1" t="s">
        <v>72</v>
      </c>
      <c r="D99" s="1" t="s">
        <v>180</v>
      </c>
      <c r="E99" s="26">
        <f>+E98</f>
        <v>45.4</v>
      </c>
      <c r="F99" s="28">
        <f>+(F98-E98)/E98</f>
        <v>-1.1013215859030211E-3</v>
      </c>
      <c r="G99" s="17">
        <v>2</v>
      </c>
      <c r="H99" s="17" t="s">
        <v>9</v>
      </c>
      <c r="I99" s="30" t="s">
        <v>57</v>
      </c>
      <c r="J99" s="22">
        <f>0.65</f>
        <v>0.65</v>
      </c>
      <c r="K99" s="22">
        <v>0.55000000000000004</v>
      </c>
      <c r="L99" s="8">
        <f t="shared" ref="L99:L109" si="74">+J99-K99</f>
        <v>9.9999999999999978E-2</v>
      </c>
      <c r="M99" s="24">
        <f t="shared" ref="M99" si="75">+L99/SUMIF(C:C,C99,L:L)</f>
        <v>2.2050716648291066E-3</v>
      </c>
      <c r="N99" s="14"/>
    </row>
    <row r="100" spans="1:17" x14ac:dyDescent="0.25">
      <c r="A100" s="20">
        <v>44517</v>
      </c>
      <c r="B100" s="1">
        <f>B98</f>
        <v>9</v>
      </c>
      <c r="C100" s="1" t="s">
        <v>72</v>
      </c>
      <c r="D100" s="1" t="s">
        <v>180</v>
      </c>
      <c r="E100" s="26" t="e">
        <f>+#REF!</f>
        <v>#REF!</v>
      </c>
      <c r="F100" s="26" t="e">
        <f>+#REF!</f>
        <v>#REF!</v>
      </c>
      <c r="G100" s="17">
        <v>3</v>
      </c>
      <c r="H100" s="17" t="s">
        <v>9</v>
      </c>
      <c r="I100" s="30" t="s">
        <v>58</v>
      </c>
      <c r="J100" s="22">
        <v>0</v>
      </c>
      <c r="K100" s="22">
        <v>0</v>
      </c>
      <c r="L100" s="8">
        <f t="shared" si="74"/>
        <v>0</v>
      </c>
      <c r="M100" s="24">
        <f>+L100/SUMIF(C:C,C100,L:L)</f>
        <v>0</v>
      </c>
      <c r="N100" s="14"/>
    </row>
    <row r="101" spans="1:17" x14ac:dyDescent="0.25">
      <c r="A101" s="20">
        <v>44517</v>
      </c>
      <c r="B101" s="1">
        <f>B98</f>
        <v>9</v>
      </c>
      <c r="C101" s="1" t="s">
        <v>72</v>
      </c>
      <c r="D101" s="1" t="s">
        <v>180</v>
      </c>
      <c r="E101" s="26" t="e">
        <f t="shared" ref="E101:F101" si="76">+E100</f>
        <v>#REF!</v>
      </c>
      <c r="F101" s="26" t="e">
        <f t="shared" si="76"/>
        <v>#REF!</v>
      </c>
      <c r="G101" s="17">
        <v>4</v>
      </c>
      <c r="H101" s="17" t="s">
        <v>9</v>
      </c>
      <c r="I101" s="30" t="s">
        <v>22</v>
      </c>
      <c r="J101" s="22">
        <v>0</v>
      </c>
      <c r="K101" s="22">
        <v>0</v>
      </c>
      <c r="L101" s="8">
        <f t="shared" si="74"/>
        <v>0</v>
      </c>
      <c r="M101" s="24">
        <f t="shared" ref="M101:M108" si="77">+L101/SUMIF(C:C,C101,L:L)</f>
        <v>0</v>
      </c>
      <c r="N101" s="14"/>
    </row>
    <row r="102" spans="1:17" x14ac:dyDescent="0.25">
      <c r="A102" s="20">
        <v>44517</v>
      </c>
      <c r="B102" s="1">
        <f>B98</f>
        <v>9</v>
      </c>
      <c r="C102" s="1" t="s">
        <v>72</v>
      </c>
      <c r="D102" s="1" t="s">
        <v>180</v>
      </c>
      <c r="E102" s="26" t="e">
        <f t="shared" ref="E102:F102" si="78">+E101</f>
        <v>#REF!</v>
      </c>
      <c r="F102" s="26" t="e">
        <f t="shared" si="78"/>
        <v>#REF!</v>
      </c>
      <c r="G102" s="17">
        <v>5</v>
      </c>
      <c r="H102" s="17" t="s">
        <v>9</v>
      </c>
      <c r="I102" s="30" t="s">
        <v>34</v>
      </c>
      <c r="J102" s="22">
        <v>0</v>
      </c>
      <c r="K102" s="22">
        <v>0</v>
      </c>
      <c r="L102" s="8">
        <f t="shared" si="74"/>
        <v>0</v>
      </c>
      <c r="M102" s="24">
        <f t="shared" si="77"/>
        <v>0</v>
      </c>
      <c r="N102" s="14"/>
    </row>
    <row r="103" spans="1:17" x14ac:dyDescent="0.25">
      <c r="A103" s="20">
        <v>44517</v>
      </c>
      <c r="B103" s="1">
        <f>B98</f>
        <v>9</v>
      </c>
      <c r="C103" s="1" t="s">
        <v>72</v>
      </c>
      <c r="D103" s="1" t="s">
        <v>180</v>
      </c>
      <c r="E103" s="26" t="e">
        <f t="shared" ref="E103:F103" si="79">+E102</f>
        <v>#REF!</v>
      </c>
      <c r="F103" s="26" t="e">
        <f t="shared" si="79"/>
        <v>#REF!</v>
      </c>
      <c r="G103" s="17">
        <v>6</v>
      </c>
      <c r="H103" s="17" t="s">
        <v>9</v>
      </c>
      <c r="I103" s="30" t="s">
        <v>35</v>
      </c>
      <c r="J103" s="22">
        <v>0</v>
      </c>
      <c r="K103" s="22">
        <v>0</v>
      </c>
      <c r="L103" s="8">
        <f t="shared" si="74"/>
        <v>0</v>
      </c>
      <c r="M103" s="24">
        <f t="shared" si="77"/>
        <v>0</v>
      </c>
      <c r="N103" s="14"/>
    </row>
    <row r="104" spans="1:17" x14ac:dyDescent="0.25">
      <c r="A104" s="20">
        <v>44517</v>
      </c>
      <c r="B104" s="1">
        <f>B98</f>
        <v>9</v>
      </c>
      <c r="C104" s="1" t="s">
        <v>72</v>
      </c>
      <c r="D104" s="1" t="s">
        <v>180</v>
      </c>
      <c r="E104" s="26" t="e">
        <f t="shared" ref="E104:F104" si="80">+E103</f>
        <v>#REF!</v>
      </c>
      <c r="F104" s="26" t="e">
        <f t="shared" si="80"/>
        <v>#REF!</v>
      </c>
      <c r="G104" s="17">
        <v>7</v>
      </c>
      <c r="H104" s="17" t="s">
        <v>9</v>
      </c>
      <c r="I104" s="30" t="s">
        <v>36</v>
      </c>
      <c r="J104" s="22">
        <v>1.05</v>
      </c>
      <c r="K104" s="22">
        <v>0.55000000000000004</v>
      </c>
      <c r="L104" s="8">
        <f t="shared" si="74"/>
        <v>0.5</v>
      </c>
      <c r="M104" s="24">
        <f t="shared" si="77"/>
        <v>1.1025358324145534E-2</v>
      </c>
      <c r="N104" s="14"/>
    </row>
    <row r="105" spans="1:17" x14ac:dyDescent="0.25">
      <c r="A105" s="20">
        <v>44517</v>
      </c>
      <c r="B105" s="1">
        <f>B98</f>
        <v>9</v>
      </c>
      <c r="C105" s="1" t="s">
        <v>72</v>
      </c>
      <c r="D105" s="1" t="s">
        <v>180</v>
      </c>
      <c r="E105" s="26" t="e">
        <f>+E104</f>
        <v>#REF!</v>
      </c>
      <c r="F105" s="26" t="e">
        <f>+F104</f>
        <v>#REF!</v>
      </c>
      <c r="G105" s="17">
        <v>8</v>
      </c>
      <c r="H105" s="17" t="s">
        <v>9</v>
      </c>
      <c r="I105" s="30" t="s">
        <v>59</v>
      </c>
      <c r="J105" s="22">
        <f>18.55+20.3+15.5+18.05</f>
        <v>72.400000000000006</v>
      </c>
      <c r="K105" s="22">
        <f>8.55+8.55+8.55+8.55</f>
        <v>34.200000000000003</v>
      </c>
      <c r="L105" s="8">
        <f t="shared" si="74"/>
        <v>38.200000000000003</v>
      </c>
      <c r="M105" s="24">
        <f t="shared" si="77"/>
        <v>0.84233737596471892</v>
      </c>
      <c r="N105" s="14"/>
    </row>
    <row r="106" spans="1:17" x14ac:dyDescent="0.25">
      <c r="A106" s="20">
        <v>44517</v>
      </c>
      <c r="B106" s="1">
        <f>B98</f>
        <v>9</v>
      </c>
      <c r="C106" s="1" t="s">
        <v>72</v>
      </c>
      <c r="D106" s="1" t="s">
        <v>180</v>
      </c>
      <c r="E106" s="26" t="e">
        <f t="shared" ref="E106:F106" si="81">+E105</f>
        <v>#REF!</v>
      </c>
      <c r="F106" s="26" t="e">
        <f t="shared" si="81"/>
        <v>#REF!</v>
      </c>
      <c r="G106" s="17">
        <v>9</v>
      </c>
      <c r="H106" s="17" t="s">
        <v>9</v>
      </c>
      <c r="I106" s="30" t="s">
        <v>38</v>
      </c>
      <c r="J106" s="22">
        <v>0</v>
      </c>
      <c r="K106" s="22">
        <v>0</v>
      </c>
      <c r="L106" s="8">
        <f t="shared" si="74"/>
        <v>0</v>
      </c>
      <c r="M106" s="24">
        <f t="shared" si="77"/>
        <v>0</v>
      </c>
      <c r="N106" s="14"/>
    </row>
    <row r="107" spans="1:17" x14ac:dyDescent="0.25">
      <c r="A107" s="20">
        <v>44517</v>
      </c>
      <c r="B107" s="1">
        <f>B98</f>
        <v>9</v>
      </c>
      <c r="C107" s="1" t="s">
        <v>72</v>
      </c>
      <c r="D107" s="1" t="s">
        <v>180</v>
      </c>
      <c r="E107" s="26" t="e">
        <f t="shared" ref="E107:F107" si="82">+E106</f>
        <v>#REF!</v>
      </c>
      <c r="F107" s="26" t="e">
        <f t="shared" si="82"/>
        <v>#REF!</v>
      </c>
      <c r="G107" s="17">
        <v>10</v>
      </c>
      <c r="H107" s="17" t="s">
        <v>9</v>
      </c>
      <c r="I107" s="30" t="s">
        <v>23</v>
      </c>
      <c r="J107" s="22">
        <f>10.75+11.2</f>
        <v>21.95</v>
      </c>
      <c r="K107" s="22">
        <f>8.5+8.3</f>
        <v>16.8</v>
      </c>
      <c r="L107" s="8">
        <f t="shared" si="74"/>
        <v>5.1499999999999986</v>
      </c>
      <c r="M107" s="24">
        <f t="shared" si="77"/>
        <v>0.11356119073869897</v>
      </c>
      <c r="N107" s="14"/>
    </row>
    <row r="108" spans="1:17" x14ac:dyDescent="0.25">
      <c r="A108" s="20">
        <v>44517</v>
      </c>
      <c r="B108" s="1">
        <f>B98</f>
        <v>9</v>
      </c>
      <c r="C108" s="1" t="s">
        <v>72</v>
      </c>
      <c r="D108" s="1" t="s">
        <v>180</v>
      </c>
      <c r="E108" s="26" t="e">
        <f t="shared" ref="E108:F108" si="83">+E107</f>
        <v>#REF!</v>
      </c>
      <c r="F108" s="26" t="e">
        <f t="shared" si="83"/>
        <v>#REF!</v>
      </c>
      <c r="G108" s="17">
        <v>11</v>
      </c>
      <c r="H108" s="17" t="s">
        <v>9</v>
      </c>
      <c r="I108" s="30" t="s">
        <v>60</v>
      </c>
      <c r="J108" s="22">
        <v>0</v>
      </c>
      <c r="K108" s="22">
        <v>0</v>
      </c>
      <c r="L108" s="8">
        <f t="shared" si="74"/>
        <v>0</v>
      </c>
      <c r="M108" s="24">
        <f t="shared" si="77"/>
        <v>0</v>
      </c>
      <c r="N108" s="14"/>
    </row>
    <row r="109" spans="1:17" s="2" customFormat="1" ht="30.75" thickBot="1" x14ac:dyDescent="0.3">
      <c r="A109" s="60">
        <v>44517</v>
      </c>
      <c r="B109" s="57">
        <f>B98</f>
        <v>9</v>
      </c>
      <c r="C109" s="57" t="s">
        <v>72</v>
      </c>
      <c r="D109" s="57" t="s">
        <v>180</v>
      </c>
      <c r="E109" s="61" t="e">
        <f t="shared" ref="E109:F109" si="84">+E108</f>
        <v>#REF!</v>
      </c>
      <c r="F109" s="61" t="e">
        <f t="shared" si="84"/>
        <v>#REF!</v>
      </c>
      <c r="G109" s="62">
        <f>+G108+1</f>
        <v>12</v>
      </c>
      <c r="H109" s="62" t="s">
        <v>10</v>
      </c>
      <c r="I109" s="46" t="s">
        <v>10</v>
      </c>
      <c r="J109" s="63">
        <f>9.25+9</f>
        <v>18.25</v>
      </c>
      <c r="K109" s="63">
        <f>8.55+8.3</f>
        <v>16.850000000000001</v>
      </c>
      <c r="L109" s="64">
        <f t="shared" si="74"/>
        <v>1.3999999999999986</v>
      </c>
      <c r="M109" s="65">
        <f>+L109/SUMIF(C:C,C109,L:L)</f>
        <v>3.0871003307607465E-2</v>
      </c>
      <c r="N109" s="66" t="s">
        <v>73</v>
      </c>
      <c r="Q109" s="5"/>
    </row>
    <row r="110" spans="1:17" x14ac:dyDescent="0.25">
      <c r="A110" s="19">
        <v>44517</v>
      </c>
      <c r="B110" s="15">
        <f>B98+1</f>
        <v>10</v>
      </c>
      <c r="C110" s="15" t="s">
        <v>78</v>
      </c>
      <c r="D110" s="15" t="s">
        <v>180</v>
      </c>
      <c r="E110" s="25">
        <f>42.2-1.2</f>
        <v>41</v>
      </c>
      <c r="F110" s="25">
        <f>+SUM(L110:L121)</f>
        <v>41.500000000000007</v>
      </c>
      <c r="G110" s="16">
        <v>1</v>
      </c>
      <c r="H110" s="16" t="s">
        <v>9</v>
      </c>
      <c r="I110" s="59" t="s">
        <v>56</v>
      </c>
      <c r="J110" s="21">
        <v>0.6</v>
      </c>
      <c r="K110" s="21">
        <v>0.5</v>
      </c>
      <c r="L110" s="12">
        <f>+J110-K110</f>
        <v>9.9999999999999978E-2</v>
      </c>
      <c r="M110" s="23">
        <f>+L110/SUMIF(C:C,C110,L:L)</f>
        <v>2.4096385542168664E-3</v>
      </c>
      <c r="N110" s="13"/>
      <c r="O110" t="s">
        <v>74</v>
      </c>
    </row>
    <row r="111" spans="1:17" x14ac:dyDescent="0.25">
      <c r="A111" s="20">
        <v>44517</v>
      </c>
      <c r="B111" s="1">
        <f>B110</f>
        <v>10</v>
      </c>
      <c r="C111" s="1" t="s">
        <v>78</v>
      </c>
      <c r="D111" s="1" t="s">
        <v>180</v>
      </c>
      <c r="E111" s="26">
        <f>+E110</f>
        <v>41</v>
      </c>
      <c r="F111" s="28">
        <f>+(F110-E110)/E110</f>
        <v>1.2195121951219686E-2</v>
      </c>
      <c r="G111" s="17">
        <v>2</v>
      </c>
      <c r="H111" s="17" t="s">
        <v>9</v>
      </c>
      <c r="I111" s="30" t="s">
        <v>57</v>
      </c>
      <c r="J111" s="22">
        <v>1.05</v>
      </c>
      <c r="K111" s="22">
        <v>0.5</v>
      </c>
      <c r="L111" s="8">
        <f t="shared" ref="L111:L121" si="85">+J111-K111</f>
        <v>0.55000000000000004</v>
      </c>
      <c r="M111" s="24">
        <f t="shared" ref="M111" si="86">+L111/SUMIF(C:C,C111,L:L)</f>
        <v>1.3253012048192771E-2</v>
      </c>
      <c r="N111" s="14"/>
    </row>
    <row r="112" spans="1:17" x14ac:dyDescent="0.25">
      <c r="A112" s="20">
        <v>44517</v>
      </c>
      <c r="B112" s="1">
        <f>B110</f>
        <v>10</v>
      </c>
      <c r="C112" s="1" t="s">
        <v>78</v>
      </c>
      <c r="D112" s="1" t="s">
        <v>180</v>
      </c>
      <c r="E112" s="26" t="e">
        <f>+#REF!</f>
        <v>#REF!</v>
      </c>
      <c r="F112" s="26" t="e">
        <f>+#REF!</f>
        <v>#REF!</v>
      </c>
      <c r="G112" s="17">
        <v>3</v>
      </c>
      <c r="H112" s="17" t="s">
        <v>9</v>
      </c>
      <c r="I112" s="30" t="s">
        <v>58</v>
      </c>
      <c r="J112" s="22">
        <v>0</v>
      </c>
      <c r="K112" s="22">
        <v>0</v>
      </c>
      <c r="L112" s="8">
        <f t="shared" si="85"/>
        <v>0</v>
      </c>
      <c r="M112" s="24">
        <f>+L112/SUMIF(C:C,C112,L:L)</f>
        <v>0</v>
      </c>
      <c r="N112" s="14"/>
    </row>
    <row r="113" spans="1:17" x14ac:dyDescent="0.25">
      <c r="A113" s="20">
        <v>44517</v>
      </c>
      <c r="B113" s="1">
        <f>B110</f>
        <v>10</v>
      </c>
      <c r="C113" s="1" t="s">
        <v>78</v>
      </c>
      <c r="D113" s="1" t="s">
        <v>180</v>
      </c>
      <c r="E113" s="26" t="e">
        <f t="shared" ref="E113:F113" si="87">+E112</f>
        <v>#REF!</v>
      </c>
      <c r="F113" s="26" t="e">
        <f t="shared" si="87"/>
        <v>#REF!</v>
      </c>
      <c r="G113" s="17">
        <v>4</v>
      </c>
      <c r="H113" s="17" t="s">
        <v>9</v>
      </c>
      <c r="I113" s="30" t="s">
        <v>22</v>
      </c>
      <c r="J113" s="22">
        <v>0.55000000000000004</v>
      </c>
      <c r="K113" s="22">
        <v>0.5</v>
      </c>
      <c r="L113" s="8">
        <f t="shared" si="85"/>
        <v>5.0000000000000044E-2</v>
      </c>
      <c r="M113" s="24">
        <f t="shared" ref="M113:M120" si="88">+L113/SUMIF(C:C,C113,L:L)</f>
        <v>1.2048192771084345E-3</v>
      </c>
      <c r="N113" s="14"/>
    </row>
    <row r="114" spans="1:17" x14ac:dyDescent="0.25">
      <c r="A114" s="20">
        <v>44517</v>
      </c>
      <c r="B114" s="1">
        <f>B110</f>
        <v>10</v>
      </c>
      <c r="C114" s="1" t="s">
        <v>78</v>
      </c>
      <c r="D114" s="1" t="s">
        <v>180</v>
      </c>
      <c r="E114" s="26" t="e">
        <f t="shared" ref="E114:F114" si="89">+E113</f>
        <v>#REF!</v>
      </c>
      <c r="F114" s="26" t="e">
        <f t="shared" si="89"/>
        <v>#REF!</v>
      </c>
      <c r="G114" s="17">
        <v>5</v>
      </c>
      <c r="H114" s="17" t="s">
        <v>9</v>
      </c>
      <c r="I114" s="30" t="s">
        <v>34</v>
      </c>
      <c r="J114" s="22">
        <v>0.75</v>
      </c>
      <c r="K114" s="22">
        <v>0.5</v>
      </c>
      <c r="L114" s="8">
        <f t="shared" si="85"/>
        <v>0.25</v>
      </c>
      <c r="M114" s="24">
        <f t="shared" si="88"/>
        <v>6.0240963855421673E-3</v>
      </c>
      <c r="N114" s="14"/>
    </row>
    <row r="115" spans="1:17" x14ac:dyDescent="0.25">
      <c r="A115" s="20">
        <v>44517</v>
      </c>
      <c r="B115" s="1">
        <f>B110</f>
        <v>10</v>
      </c>
      <c r="C115" s="1" t="s">
        <v>78</v>
      </c>
      <c r="D115" s="1" t="s">
        <v>180</v>
      </c>
      <c r="E115" s="26" t="e">
        <f t="shared" ref="E115:F115" si="90">+E114</f>
        <v>#REF!</v>
      </c>
      <c r="F115" s="26" t="e">
        <f t="shared" si="90"/>
        <v>#REF!</v>
      </c>
      <c r="G115" s="17">
        <v>6</v>
      </c>
      <c r="H115" s="17" t="s">
        <v>9</v>
      </c>
      <c r="I115" s="30" t="s">
        <v>35</v>
      </c>
      <c r="J115" s="22">
        <v>0</v>
      </c>
      <c r="K115" s="22">
        <v>0</v>
      </c>
      <c r="L115" s="8">
        <f t="shared" si="85"/>
        <v>0</v>
      </c>
      <c r="M115" s="24">
        <f t="shared" si="88"/>
        <v>0</v>
      </c>
      <c r="N115" s="14"/>
    </row>
    <row r="116" spans="1:17" x14ac:dyDescent="0.25">
      <c r="A116" s="20">
        <v>44517</v>
      </c>
      <c r="B116" s="1">
        <f>B110</f>
        <v>10</v>
      </c>
      <c r="C116" s="1" t="s">
        <v>78</v>
      </c>
      <c r="D116" s="1" t="s">
        <v>180</v>
      </c>
      <c r="E116" s="26" t="e">
        <f t="shared" ref="E116:F116" si="91">+E115</f>
        <v>#REF!</v>
      </c>
      <c r="F116" s="26" t="e">
        <f t="shared" si="91"/>
        <v>#REF!</v>
      </c>
      <c r="G116" s="17">
        <v>7</v>
      </c>
      <c r="H116" s="17" t="s">
        <v>9</v>
      </c>
      <c r="I116" s="30" t="s">
        <v>36</v>
      </c>
      <c r="J116" s="22">
        <v>0.9</v>
      </c>
      <c r="K116" s="22">
        <v>0.5</v>
      </c>
      <c r="L116" s="8">
        <f t="shared" si="85"/>
        <v>0.4</v>
      </c>
      <c r="M116" s="24">
        <f t="shared" si="88"/>
        <v>9.638554216867469E-3</v>
      </c>
      <c r="N116" s="14"/>
    </row>
    <row r="117" spans="1:17" x14ac:dyDescent="0.25">
      <c r="A117" s="20">
        <v>44517</v>
      </c>
      <c r="B117" s="1">
        <f>B110</f>
        <v>10</v>
      </c>
      <c r="C117" s="1" t="s">
        <v>78</v>
      </c>
      <c r="D117" s="1" t="s">
        <v>180</v>
      </c>
      <c r="E117" s="26" t="e">
        <f>+E116</f>
        <v>#REF!</v>
      </c>
      <c r="F117" s="26" t="e">
        <f>+F116</f>
        <v>#REF!</v>
      </c>
      <c r="G117" s="17">
        <v>8</v>
      </c>
      <c r="H117" s="17" t="s">
        <v>9</v>
      </c>
      <c r="I117" s="30" t="s">
        <v>59</v>
      </c>
      <c r="J117" s="22">
        <f>17.95+16.75+17.7+12.7</f>
        <v>65.100000000000009</v>
      </c>
      <c r="K117" s="22">
        <f>8.55+8.55+8.55+8.55</f>
        <v>34.200000000000003</v>
      </c>
      <c r="L117" s="8">
        <f t="shared" si="85"/>
        <v>30.900000000000006</v>
      </c>
      <c r="M117" s="24">
        <f t="shared" si="88"/>
        <v>0.74457831325301205</v>
      </c>
      <c r="N117" s="14"/>
    </row>
    <row r="118" spans="1:17" x14ac:dyDescent="0.25">
      <c r="A118" s="20">
        <v>44517</v>
      </c>
      <c r="B118" s="1">
        <f>B110</f>
        <v>10</v>
      </c>
      <c r="C118" s="1" t="s">
        <v>78</v>
      </c>
      <c r="D118" s="1" t="s">
        <v>180</v>
      </c>
      <c r="E118" s="26" t="e">
        <f t="shared" ref="E118:F118" si="92">+E117</f>
        <v>#REF!</v>
      </c>
      <c r="F118" s="26" t="e">
        <f t="shared" si="92"/>
        <v>#REF!</v>
      </c>
      <c r="G118" s="17">
        <v>9</v>
      </c>
      <c r="H118" s="17" t="s">
        <v>9</v>
      </c>
      <c r="I118" s="30" t="s">
        <v>38</v>
      </c>
      <c r="J118" s="22">
        <f>0.75</f>
        <v>0.75</v>
      </c>
      <c r="K118" s="22">
        <v>0</v>
      </c>
      <c r="L118" s="8">
        <f t="shared" si="85"/>
        <v>0.75</v>
      </c>
      <c r="M118" s="24">
        <f t="shared" si="88"/>
        <v>1.8072289156626502E-2</v>
      </c>
      <c r="N118" s="14"/>
      <c r="O118" t="s">
        <v>75</v>
      </c>
    </row>
    <row r="119" spans="1:17" x14ac:dyDescent="0.25">
      <c r="A119" s="20">
        <v>44517</v>
      </c>
      <c r="B119" s="1">
        <f>B110</f>
        <v>10</v>
      </c>
      <c r="C119" s="1" t="s">
        <v>78</v>
      </c>
      <c r="D119" s="1" t="s">
        <v>180</v>
      </c>
      <c r="E119" s="26" t="e">
        <f t="shared" ref="E119:F119" si="93">+E118</f>
        <v>#REF!</v>
      </c>
      <c r="F119" s="26" t="e">
        <f t="shared" si="93"/>
        <v>#REF!</v>
      </c>
      <c r="G119" s="17">
        <v>10</v>
      </c>
      <c r="H119" s="17" t="s">
        <v>9</v>
      </c>
      <c r="I119" s="30" t="s">
        <v>23</v>
      </c>
      <c r="J119" s="22">
        <f>12.8+11.3</f>
        <v>24.1</v>
      </c>
      <c r="K119" s="22">
        <f>8.5+8.3</f>
        <v>16.8</v>
      </c>
      <c r="L119" s="8">
        <f t="shared" si="85"/>
        <v>7.3000000000000007</v>
      </c>
      <c r="M119" s="24">
        <f t="shared" si="88"/>
        <v>0.17590361445783131</v>
      </c>
      <c r="N119" s="14"/>
      <c r="O119" t="s">
        <v>76</v>
      </c>
    </row>
    <row r="120" spans="1:17" x14ac:dyDescent="0.25">
      <c r="A120" s="20">
        <v>44517</v>
      </c>
      <c r="B120" s="1">
        <f>B110</f>
        <v>10</v>
      </c>
      <c r="C120" s="1" t="s">
        <v>78</v>
      </c>
      <c r="D120" s="1" t="s">
        <v>180</v>
      </c>
      <c r="E120" s="26" t="e">
        <f t="shared" ref="E120:F120" si="94">+E119</f>
        <v>#REF!</v>
      </c>
      <c r="F120" s="26" t="e">
        <f t="shared" si="94"/>
        <v>#REF!</v>
      </c>
      <c r="G120" s="17">
        <v>11</v>
      </c>
      <c r="H120" s="17" t="s">
        <v>9</v>
      </c>
      <c r="I120" s="30" t="s">
        <v>60</v>
      </c>
      <c r="J120" s="22">
        <v>0.55000000000000004</v>
      </c>
      <c r="K120" s="22">
        <v>0.5</v>
      </c>
      <c r="L120" s="8">
        <f t="shared" si="85"/>
        <v>5.0000000000000044E-2</v>
      </c>
      <c r="M120" s="24">
        <f t="shared" si="88"/>
        <v>1.2048192771084345E-3</v>
      </c>
      <c r="N120" s="14"/>
    </row>
    <row r="121" spans="1:17" s="2" customFormat="1" ht="15.75" thickBot="1" x14ac:dyDescent="0.3">
      <c r="A121" s="60">
        <v>44517</v>
      </c>
      <c r="B121" s="57">
        <f>B110</f>
        <v>10</v>
      </c>
      <c r="C121" s="57" t="s">
        <v>78</v>
      </c>
      <c r="D121" s="57" t="s">
        <v>180</v>
      </c>
      <c r="E121" s="61" t="e">
        <f t="shared" ref="E121:F121" si="95">+E120</f>
        <v>#REF!</v>
      </c>
      <c r="F121" s="61" t="e">
        <f t="shared" si="95"/>
        <v>#REF!</v>
      </c>
      <c r="G121" s="62">
        <f>+G120+1</f>
        <v>12</v>
      </c>
      <c r="H121" s="62" t="s">
        <v>10</v>
      </c>
      <c r="I121" s="46" t="s">
        <v>10</v>
      </c>
      <c r="J121" s="63">
        <f>9+9</f>
        <v>18</v>
      </c>
      <c r="K121" s="63">
        <f>8.55+8.3</f>
        <v>16.850000000000001</v>
      </c>
      <c r="L121" s="64">
        <f t="shared" si="85"/>
        <v>1.1499999999999986</v>
      </c>
      <c r="M121" s="65">
        <f>+L121/SUMIF(C:C,C121,L:L)</f>
        <v>2.7710843373493936E-2</v>
      </c>
      <c r="N121" s="66"/>
      <c r="Q121" s="5"/>
    </row>
    <row r="122" spans="1:17" x14ac:dyDescent="0.25">
      <c r="A122" s="19">
        <v>44517</v>
      </c>
      <c r="B122" s="15">
        <f>B110+1</f>
        <v>11</v>
      </c>
      <c r="C122" s="15" t="s">
        <v>77</v>
      </c>
      <c r="D122" s="15" t="s">
        <v>179</v>
      </c>
      <c r="E122" s="25">
        <f>34-1.2</f>
        <v>32.799999999999997</v>
      </c>
      <c r="F122" s="25">
        <f>+SUM(L122:L133)</f>
        <v>32.75</v>
      </c>
      <c r="G122" s="16">
        <v>1</v>
      </c>
      <c r="H122" s="16" t="s">
        <v>9</v>
      </c>
      <c r="I122" s="59" t="s">
        <v>56</v>
      </c>
      <c r="J122" s="21">
        <v>0</v>
      </c>
      <c r="K122" s="21">
        <v>0</v>
      </c>
      <c r="L122" s="12">
        <f>+J122-K122</f>
        <v>0</v>
      </c>
      <c r="M122" s="23">
        <f>+L122/SUMIF(C:C,C122,L:L)</f>
        <v>0</v>
      </c>
      <c r="N122" s="13"/>
      <c r="O122" t="s">
        <v>81</v>
      </c>
    </row>
    <row r="123" spans="1:17" x14ac:dyDescent="0.25">
      <c r="A123" s="20">
        <v>44517</v>
      </c>
      <c r="B123" s="1">
        <f>B122</f>
        <v>11</v>
      </c>
      <c r="C123" s="1" t="s">
        <v>77</v>
      </c>
      <c r="D123" s="1" t="s">
        <v>179</v>
      </c>
      <c r="E123" s="26">
        <f>+E122</f>
        <v>32.799999999999997</v>
      </c>
      <c r="F123" s="28">
        <f>+(F122-E122)/E122</f>
        <v>-1.5243902439023526E-3</v>
      </c>
      <c r="G123" s="17">
        <v>2</v>
      </c>
      <c r="H123" s="17" t="s">
        <v>9</v>
      </c>
      <c r="I123" s="30" t="s">
        <v>57</v>
      </c>
      <c r="J123" s="22">
        <f>0.65+0.65</f>
        <v>1.3</v>
      </c>
      <c r="K123" s="22">
        <f>0.55+0.55</f>
        <v>1.1000000000000001</v>
      </c>
      <c r="L123" s="8">
        <f t="shared" ref="L123:L133" si="96">+J123-K123</f>
        <v>0.19999999999999996</v>
      </c>
      <c r="M123" s="24">
        <f t="shared" ref="M123" si="97">+L123/SUMIF(C:C,C123,L:L)</f>
        <v>6.1068702290076327E-3</v>
      </c>
      <c r="N123" s="14"/>
    </row>
    <row r="124" spans="1:17" x14ac:dyDescent="0.25">
      <c r="A124" s="20">
        <v>44517</v>
      </c>
      <c r="B124" s="1">
        <f>B122</f>
        <v>11</v>
      </c>
      <c r="C124" s="1" t="s">
        <v>77</v>
      </c>
      <c r="D124" s="1" t="s">
        <v>179</v>
      </c>
      <c r="E124" s="26" t="e">
        <f>+#REF!</f>
        <v>#REF!</v>
      </c>
      <c r="F124" s="26" t="e">
        <f>+#REF!</f>
        <v>#REF!</v>
      </c>
      <c r="G124" s="17">
        <v>3</v>
      </c>
      <c r="H124" s="17" t="s">
        <v>9</v>
      </c>
      <c r="I124" s="30" t="s">
        <v>58</v>
      </c>
      <c r="J124" s="22">
        <v>0</v>
      </c>
      <c r="K124" s="22">
        <v>0</v>
      </c>
      <c r="L124" s="8">
        <f t="shared" si="96"/>
        <v>0</v>
      </c>
      <c r="M124" s="24">
        <f>+L124/SUMIF(C:C,C124,L:L)</f>
        <v>0</v>
      </c>
      <c r="N124" s="14"/>
    </row>
    <row r="125" spans="1:17" x14ac:dyDescent="0.25">
      <c r="A125" s="20">
        <v>44517</v>
      </c>
      <c r="B125" s="1">
        <f>B122</f>
        <v>11</v>
      </c>
      <c r="C125" s="1" t="s">
        <v>77</v>
      </c>
      <c r="D125" s="1" t="s">
        <v>179</v>
      </c>
      <c r="E125" s="26" t="e">
        <f t="shared" ref="E125:F125" si="98">+E124</f>
        <v>#REF!</v>
      </c>
      <c r="F125" s="26" t="e">
        <f t="shared" si="98"/>
        <v>#REF!</v>
      </c>
      <c r="G125" s="17">
        <v>4</v>
      </c>
      <c r="H125" s="17" t="s">
        <v>9</v>
      </c>
      <c r="I125" s="30" t="s">
        <v>22</v>
      </c>
      <c r="J125" s="22">
        <v>0.6</v>
      </c>
      <c r="K125" s="22">
        <v>0.55000000000000004</v>
      </c>
      <c r="L125" s="8">
        <f t="shared" si="96"/>
        <v>4.9999999999999933E-2</v>
      </c>
      <c r="M125" s="24">
        <f t="shared" ref="M125:M132" si="99">+L125/SUMIF(C:C,C125,L:L)</f>
        <v>1.5267175572519064E-3</v>
      </c>
      <c r="N125" s="14"/>
    </row>
    <row r="126" spans="1:17" x14ac:dyDescent="0.25">
      <c r="A126" s="20">
        <v>44517</v>
      </c>
      <c r="B126" s="1">
        <f>B122</f>
        <v>11</v>
      </c>
      <c r="C126" s="1" t="s">
        <v>77</v>
      </c>
      <c r="D126" s="1" t="s">
        <v>179</v>
      </c>
      <c r="E126" s="26" t="e">
        <f t="shared" ref="E126:F126" si="100">+E125</f>
        <v>#REF!</v>
      </c>
      <c r="F126" s="26" t="e">
        <f t="shared" si="100"/>
        <v>#REF!</v>
      </c>
      <c r="G126" s="17">
        <v>5</v>
      </c>
      <c r="H126" s="17" t="s">
        <v>9</v>
      </c>
      <c r="I126" s="30" t="s">
        <v>34</v>
      </c>
      <c r="J126" s="22">
        <v>0.65</v>
      </c>
      <c r="K126" s="22">
        <v>0.55000000000000004</v>
      </c>
      <c r="L126" s="8">
        <f t="shared" si="96"/>
        <v>9.9999999999999978E-2</v>
      </c>
      <c r="M126" s="24">
        <f t="shared" si="99"/>
        <v>3.0534351145038163E-3</v>
      </c>
      <c r="N126" s="14"/>
    </row>
    <row r="127" spans="1:17" x14ac:dyDescent="0.25">
      <c r="A127" s="20">
        <v>44517</v>
      </c>
      <c r="B127" s="1">
        <f>B122</f>
        <v>11</v>
      </c>
      <c r="C127" s="1" t="s">
        <v>77</v>
      </c>
      <c r="D127" s="1" t="s">
        <v>179</v>
      </c>
      <c r="E127" s="26" t="e">
        <f t="shared" ref="E127:F127" si="101">+E126</f>
        <v>#REF!</v>
      </c>
      <c r="F127" s="26" t="e">
        <f t="shared" si="101"/>
        <v>#REF!</v>
      </c>
      <c r="G127" s="17">
        <v>6</v>
      </c>
      <c r="H127" s="17" t="s">
        <v>9</v>
      </c>
      <c r="I127" s="30" t="s">
        <v>35</v>
      </c>
      <c r="J127" s="22">
        <v>0</v>
      </c>
      <c r="K127" s="22">
        <v>0</v>
      </c>
      <c r="L127" s="8">
        <f t="shared" si="96"/>
        <v>0</v>
      </c>
      <c r="M127" s="24">
        <f t="shared" si="99"/>
        <v>0</v>
      </c>
      <c r="N127" s="14"/>
    </row>
    <row r="128" spans="1:17" x14ac:dyDescent="0.25">
      <c r="A128" s="20">
        <v>44517</v>
      </c>
      <c r="B128" s="1">
        <f>B122</f>
        <v>11</v>
      </c>
      <c r="C128" s="1" t="s">
        <v>77</v>
      </c>
      <c r="D128" s="1" t="s">
        <v>179</v>
      </c>
      <c r="E128" s="26" t="e">
        <f t="shared" ref="E128:F128" si="102">+E127</f>
        <v>#REF!</v>
      </c>
      <c r="F128" s="26" t="e">
        <f t="shared" si="102"/>
        <v>#REF!</v>
      </c>
      <c r="G128" s="17">
        <v>7</v>
      </c>
      <c r="H128" s="17" t="s">
        <v>9</v>
      </c>
      <c r="I128" s="30" t="s">
        <v>36</v>
      </c>
      <c r="J128" s="22">
        <f>12.7+15.8+7.9</f>
        <v>36.4</v>
      </c>
      <c r="K128" s="22">
        <f>6.05+6.05+6.05</f>
        <v>18.149999999999999</v>
      </c>
      <c r="L128" s="8">
        <f t="shared" si="96"/>
        <v>18.25</v>
      </c>
      <c r="M128" s="24">
        <f t="shared" si="99"/>
        <v>0.5572519083969466</v>
      </c>
      <c r="N128" s="14"/>
    </row>
    <row r="129" spans="1:17" x14ac:dyDescent="0.25">
      <c r="A129" s="20">
        <v>44517</v>
      </c>
      <c r="B129" s="1">
        <f>B122</f>
        <v>11</v>
      </c>
      <c r="C129" s="1" t="s">
        <v>77</v>
      </c>
      <c r="D129" s="1" t="s">
        <v>179</v>
      </c>
      <c r="E129" s="26" t="e">
        <f>+E128</f>
        <v>#REF!</v>
      </c>
      <c r="F129" s="26" t="e">
        <f>+F128</f>
        <v>#REF!</v>
      </c>
      <c r="G129" s="17">
        <v>8</v>
      </c>
      <c r="H129" s="17" t="s">
        <v>9</v>
      </c>
      <c r="I129" s="30" t="s">
        <v>59</v>
      </c>
      <c r="J129" s="22">
        <f>9+9.35+10.1</f>
        <v>28.450000000000003</v>
      </c>
      <c r="K129" s="22">
        <f>8.55+8.55+8.55</f>
        <v>25.650000000000002</v>
      </c>
      <c r="L129" s="8">
        <f t="shared" si="96"/>
        <v>2.8000000000000007</v>
      </c>
      <c r="M129" s="24">
        <f t="shared" si="99"/>
        <v>8.5496183206106899E-2</v>
      </c>
      <c r="N129" s="14"/>
    </row>
    <row r="130" spans="1:17" x14ac:dyDescent="0.25">
      <c r="A130" s="20">
        <v>44517</v>
      </c>
      <c r="B130" s="1">
        <f>B122</f>
        <v>11</v>
      </c>
      <c r="C130" s="1" t="s">
        <v>77</v>
      </c>
      <c r="D130" s="1" t="s">
        <v>179</v>
      </c>
      <c r="E130" s="26" t="e">
        <f t="shared" ref="E130:F130" si="103">+E129</f>
        <v>#REF!</v>
      </c>
      <c r="F130" s="26" t="e">
        <f t="shared" si="103"/>
        <v>#REF!</v>
      </c>
      <c r="G130" s="17">
        <v>9</v>
      </c>
      <c r="H130" s="17" t="s">
        <v>9</v>
      </c>
      <c r="I130" s="30" t="s">
        <v>38</v>
      </c>
      <c r="J130" s="22">
        <v>0.7</v>
      </c>
      <c r="K130" s="22">
        <v>0.55000000000000004</v>
      </c>
      <c r="L130" s="8">
        <f t="shared" si="96"/>
        <v>0.14999999999999991</v>
      </c>
      <c r="M130" s="24">
        <f t="shared" si="99"/>
        <v>4.5801526717557228E-3</v>
      </c>
      <c r="N130" s="14"/>
    </row>
    <row r="131" spans="1:17" x14ac:dyDescent="0.25">
      <c r="A131" s="20">
        <v>44517</v>
      </c>
      <c r="B131" s="1">
        <f>B122</f>
        <v>11</v>
      </c>
      <c r="C131" s="1" t="s">
        <v>77</v>
      </c>
      <c r="D131" s="1" t="s">
        <v>179</v>
      </c>
      <c r="E131" s="26" t="e">
        <f t="shared" ref="E131:F131" si="104">+E130</f>
        <v>#REF!</v>
      </c>
      <c r="F131" s="26" t="e">
        <f t="shared" si="104"/>
        <v>#REF!</v>
      </c>
      <c r="G131" s="17">
        <v>10</v>
      </c>
      <c r="H131" s="17" t="s">
        <v>9</v>
      </c>
      <c r="I131" s="30" t="s">
        <v>23</v>
      </c>
      <c r="J131" s="22">
        <f>10.3+10.9</f>
        <v>21.200000000000003</v>
      </c>
      <c r="K131" s="22">
        <f>8.5+8.3</f>
        <v>16.8</v>
      </c>
      <c r="L131" s="8">
        <f t="shared" si="96"/>
        <v>4.4000000000000021</v>
      </c>
      <c r="M131" s="24">
        <f t="shared" si="99"/>
        <v>0.134351145038168</v>
      </c>
      <c r="N131" s="14"/>
    </row>
    <row r="132" spans="1:17" x14ac:dyDescent="0.25">
      <c r="A132" s="20">
        <v>44517</v>
      </c>
      <c r="B132" s="1">
        <f>B122</f>
        <v>11</v>
      </c>
      <c r="C132" s="1" t="s">
        <v>77</v>
      </c>
      <c r="D132" s="1" t="s">
        <v>179</v>
      </c>
      <c r="E132" s="26" t="e">
        <f t="shared" ref="E132:F132" si="105">+E131</f>
        <v>#REF!</v>
      </c>
      <c r="F132" s="26" t="e">
        <f t="shared" si="105"/>
        <v>#REF!</v>
      </c>
      <c r="G132" s="17">
        <v>11</v>
      </c>
      <c r="H132" s="17" t="s">
        <v>9</v>
      </c>
      <c r="I132" s="30" t="s">
        <v>60</v>
      </c>
      <c r="J132" s="22">
        <v>0</v>
      </c>
      <c r="K132" s="22">
        <v>0</v>
      </c>
      <c r="L132" s="8">
        <f t="shared" si="96"/>
        <v>0</v>
      </c>
      <c r="M132" s="24">
        <f t="shared" si="99"/>
        <v>0</v>
      </c>
      <c r="N132" s="14"/>
    </row>
    <row r="133" spans="1:17" s="2" customFormat="1" ht="15.75" thickBot="1" x14ac:dyDescent="0.3">
      <c r="A133" s="60">
        <v>44517</v>
      </c>
      <c r="B133" s="57">
        <f>B122</f>
        <v>11</v>
      </c>
      <c r="C133" s="57" t="s">
        <v>77</v>
      </c>
      <c r="D133" s="57" t="s">
        <v>179</v>
      </c>
      <c r="E133" s="61" t="e">
        <f t="shared" ref="E133:F133" si="106">+E132</f>
        <v>#REF!</v>
      </c>
      <c r="F133" s="61" t="e">
        <f t="shared" si="106"/>
        <v>#REF!</v>
      </c>
      <c r="G133" s="62">
        <f>+G132+1</f>
        <v>12</v>
      </c>
      <c r="H133" s="62" t="s">
        <v>10</v>
      </c>
      <c r="I133" s="46" t="s">
        <v>10</v>
      </c>
      <c r="J133" s="63">
        <f>10.9+13</f>
        <v>23.9</v>
      </c>
      <c r="K133" s="63">
        <f>8.55+8.55</f>
        <v>17.100000000000001</v>
      </c>
      <c r="L133" s="64">
        <f t="shared" si="96"/>
        <v>6.7999999999999972</v>
      </c>
      <c r="M133" s="65">
        <f>+L133/SUMIF(C:C,C133,L:L)</f>
        <v>0.20763358778625945</v>
      </c>
      <c r="N133" s="66"/>
      <c r="O133" s="2" t="s">
        <v>79</v>
      </c>
      <c r="Q133" s="5"/>
    </row>
    <row r="134" spans="1:17" x14ac:dyDescent="0.25">
      <c r="A134" s="19">
        <v>44517</v>
      </c>
      <c r="B134" s="15">
        <f>B122+1</f>
        <v>12</v>
      </c>
      <c r="C134" s="15" t="s">
        <v>80</v>
      </c>
      <c r="D134" s="15" t="s">
        <v>179</v>
      </c>
      <c r="E134" s="25">
        <f>29.4-1.2</f>
        <v>28.2</v>
      </c>
      <c r="F134" s="25">
        <f>+SUM(L134:L145)</f>
        <v>27.099999999999994</v>
      </c>
      <c r="G134" s="16">
        <v>1</v>
      </c>
      <c r="H134" s="16" t="s">
        <v>9</v>
      </c>
      <c r="I134" s="59" t="s">
        <v>56</v>
      </c>
      <c r="J134" s="21">
        <v>0</v>
      </c>
      <c r="K134" s="21">
        <v>0</v>
      </c>
      <c r="L134" s="12">
        <f>+J134-K134</f>
        <v>0</v>
      </c>
      <c r="M134" s="23">
        <f>+L134/SUMIF(C:C,C134,L:L)</f>
        <v>0</v>
      </c>
      <c r="N134" s="13"/>
      <c r="O134" t="s">
        <v>84</v>
      </c>
    </row>
    <row r="135" spans="1:17" x14ac:dyDescent="0.25">
      <c r="A135" s="20">
        <v>44517</v>
      </c>
      <c r="B135" s="1">
        <f>B134</f>
        <v>12</v>
      </c>
      <c r="C135" s="1" t="s">
        <v>80</v>
      </c>
      <c r="D135" s="1" t="s">
        <v>179</v>
      </c>
      <c r="E135" s="26">
        <f>+E134</f>
        <v>28.2</v>
      </c>
      <c r="F135" s="28">
        <f>+(F134-E134)/E134</f>
        <v>-3.9007092198581735E-2</v>
      </c>
      <c r="G135" s="17">
        <v>2</v>
      </c>
      <c r="H135" s="17" t="s">
        <v>9</v>
      </c>
      <c r="I135" s="30" t="s">
        <v>57</v>
      </c>
      <c r="J135" s="22">
        <f>0.7</f>
        <v>0.7</v>
      </c>
      <c r="K135" s="22">
        <v>0.55000000000000004</v>
      </c>
      <c r="L135" s="8">
        <f t="shared" ref="L135:L145" si="107">+J135-K135</f>
        <v>0.14999999999999991</v>
      </c>
      <c r="M135" s="24">
        <f t="shared" ref="M135" si="108">+L135/SUMIF(C:C,C135,L:L)</f>
        <v>5.5350553505535034E-3</v>
      </c>
      <c r="N135" s="14"/>
    </row>
    <row r="136" spans="1:17" x14ac:dyDescent="0.25">
      <c r="A136" s="20">
        <v>44517</v>
      </c>
      <c r="B136" s="1">
        <f>B134</f>
        <v>12</v>
      </c>
      <c r="C136" s="1" t="s">
        <v>80</v>
      </c>
      <c r="D136" s="1" t="s">
        <v>179</v>
      </c>
      <c r="E136" s="26" t="e">
        <f>+#REF!</f>
        <v>#REF!</v>
      </c>
      <c r="F136" s="26" t="e">
        <f>+#REF!</f>
        <v>#REF!</v>
      </c>
      <c r="G136" s="17">
        <v>3</v>
      </c>
      <c r="H136" s="17" t="s">
        <v>9</v>
      </c>
      <c r="I136" s="30" t="s">
        <v>58</v>
      </c>
      <c r="J136" s="22"/>
      <c r="K136" s="22"/>
      <c r="L136" s="8">
        <f t="shared" si="107"/>
        <v>0</v>
      </c>
      <c r="M136" s="24">
        <f>+L136/SUMIF(C:C,C136,L:L)</f>
        <v>0</v>
      </c>
      <c r="N136" s="14"/>
    </row>
    <row r="137" spans="1:17" x14ac:dyDescent="0.25">
      <c r="A137" s="20">
        <v>44517</v>
      </c>
      <c r="B137" s="1">
        <f>B134</f>
        <v>12</v>
      </c>
      <c r="C137" s="1" t="s">
        <v>80</v>
      </c>
      <c r="D137" s="1" t="s">
        <v>179</v>
      </c>
      <c r="E137" s="26" t="e">
        <f t="shared" ref="E137:F137" si="109">+E136</f>
        <v>#REF!</v>
      </c>
      <c r="F137" s="26" t="e">
        <f t="shared" si="109"/>
        <v>#REF!</v>
      </c>
      <c r="G137" s="17">
        <v>4</v>
      </c>
      <c r="H137" s="17" t="s">
        <v>9</v>
      </c>
      <c r="I137" s="30" t="s">
        <v>22</v>
      </c>
      <c r="J137" s="22"/>
      <c r="K137" s="22"/>
      <c r="L137" s="8">
        <f t="shared" si="107"/>
        <v>0</v>
      </c>
      <c r="M137" s="24">
        <f t="shared" ref="M137:M144" si="110">+L137/SUMIF(C:C,C137,L:L)</f>
        <v>0</v>
      </c>
      <c r="N137" s="14"/>
    </row>
    <row r="138" spans="1:17" x14ac:dyDescent="0.25">
      <c r="A138" s="20">
        <v>44517</v>
      </c>
      <c r="B138" s="1">
        <f>B134</f>
        <v>12</v>
      </c>
      <c r="C138" s="1" t="s">
        <v>80</v>
      </c>
      <c r="D138" s="1" t="s">
        <v>179</v>
      </c>
      <c r="E138" s="26" t="e">
        <f t="shared" ref="E138:F138" si="111">+E137</f>
        <v>#REF!</v>
      </c>
      <c r="F138" s="26" t="e">
        <f t="shared" si="111"/>
        <v>#REF!</v>
      </c>
      <c r="G138" s="17">
        <v>5</v>
      </c>
      <c r="H138" s="17" t="s">
        <v>9</v>
      </c>
      <c r="I138" s="30" t="s">
        <v>34</v>
      </c>
      <c r="J138" s="22">
        <f>0.6</f>
        <v>0.6</v>
      </c>
      <c r="K138" s="22">
        <f>0.55</f>
        <v>0.55000000000000004</v>
      </c>
      <c r="L138" s="8">
        <f t="shared" si="107"/>
        <v>4.9999999999999933E-2</v>
      </c>
      <c r="M138" s="24">
        <f t="shared" si="110"/>
        <v>1.8450184501844998E-3</v>
      </c>
      <c r="N138" s="14"/>
    </row>
    <row r="139" spans="1:17" x14ac:dyDescent="0.25">
      <c r="A139" s="20">
        <v>44517</v>
      </c>
      <c r="B139" s="1">
        <f>B134</f>
        <v>12</v>
      </c>
      <c r="C139" s="1" t="s">
        <v>80</v>
      </c>
      <c r="D139" s="1" t="s">
        <v>179</v>
      </c>
      <c r="E139" s="26" t="e">
        <f t="shared" ref="E139:F139" si="112">+E138</f>
        <v>#REF!</v>
      </c>
      <c r="F139" s="26" t="e">
        <f t="shared" si="112"/>
        <v>#REF!</v>
      </c>
      <c r="G139" s="17">
        <v>6</v>
      </c>
      <c r="H139" s="17" t="s">
        <v>9</v>
      </c>
      <c r="I139" s="30" t="s">
        <v>35</v>
      </c>
      <c r="J139" s="22"/>
      <c r="K139" s="22"/>
      <c r="L139" s="8">
        <f t="shared" si="107"/>
        <v>0</v>
      </c>
      <c r="M139" s="24">
        <f t="shared" si="110"/>
        <v>0</v>
      </c>
      <c r="N139" s="14"/>
    </row>
    <row r="140" spans="1:17" x14ac:dyDescent="0.25">
      <c r="A140" s="20">
        <v>44517</v>
      </c>
      <c r="B140" s="1">
        <f>B134</f>
        <v>12</v>
      </c>
      <c r="C140" s="1" t="s">
        <v>80</v>
      </c>
      <c r="D140" s="1" t="s">
        <v>179</v>
      </c>
      <c r="E140" s="26" t="e">
        <f t="shared" ref="E140:F140" si="113">+E139</f>
        <v>#REF!</v>
      </c>
      <c r="F140" s="26" t="e">
        <f t="shared" si="113"/>
        <v>#REF!</v>
      </c>
      <c r="G140" s="17">
        <v>7</v>
      </c>
      <c r="H140" s="17" t="s">
        <v>9</v>
      </c>
      <c r="I140" s="30" t="s">
        <v>36</v>
      </c>
      <c r="J140" s="22">
        <f>13.75+12.3</f>
        <v>26.05</v>
      </c>
      <c r="K140" s="22">
        <f>6.05+6.05</f>
        <v>12.1</v>
      </c>
      <c r="L140" s="8">
        <f t="shared" si="107"/>
        <v>13.950000000000001</v>
      </c>
      <c r="M140" s="24">
        <f t="shared" si="110"/>
        <v>0.51476014760147615</v>
      </c>
      <c r="N140" s="14"/>
    </row>
    <row r="141" spans="1:17" x14ac:dyDescent="0.25">
      <c r="A141" s="20">
        <v>44517</v>
      </c>
      <c r="B141" s="1">
        <f>B134</f>
        <v>12</v>
      </c>
      <c r="C141" s="1" t="s">
        <v>80</v>
      </c>
      <c r="D141" s="1" t="s">
        <v>179</v>
      </c>
      <c r="E141" s="26" t="e">
        <f>+E140</f>
        <v>#REF!</v>
      </c>
      <c r="F141" s="26" t="e">
        <f>+F140</f>
        <v>#REF!</v>
      </c>
      <c r="G141" s="17">
        <v>8</v>
      </c>
      <c r="H141" s="17" t="s">
        <v>9</v>
      </c>
      <c r="I141" s="30" t="s">
        <v>59</v>
      </c>
      <c r="J141" s="22">
        <f>9.25+8.8</f>
        <v>18.05</v>
      </c>
      <c r="K141" s="22">
        <f>8.55+8.55</f>
        <v>17.100000000000001</v>
      </c>
      <c r="L141" s="8">
        <f t="shared" si="107"/>
        <v>0.94999999999999929</v>
      </c>
      <c r="M141" s="24">
        <f t="shared" si="110"/>
        <v>3.5055350553505518E-2</v>
      </c>
      <c r="N141" s="14"/>
    </row>
    <row r="142" spans="1:17" x14ac:dyDescent="0.25">
      <c r="A142" s="20">
        <v>44517</v>
      </c>
      <c r="B142" s="1">
        <f>B134</f>
        <v>12</v>
      </c>
      <c r="C142" s="1" t="s">
        <v>80</v>
      </c>
      <c r="D142" s="1" t="s">
        <v>179</v>
      </c>
      <c r="E142" s="26" t="e">
        <f t="shared" ref="E142:F142" si="114">+E141</f>
        <v>#REF!</v>
      </c>
      <c r="F142" s="26" t="e">
        <f t="shared" si="114"/>
        <v>#REF!</v>
      </c>
      <c r="G142" s="17">
        <v>9</v>
      </c>
      <c r="H142" s="17" t="s">
        <v>9</v>
      </c>
      <c r="I142" s="30" t="s">
        <v>38</v>
      </c>
      <c r="J142" s="22">
        <f>0.9</f>
        <v>0.9</v>
      </c>
      <c r="K142" s="22">
        <f>0.55</f>
        <v>0.55000000000000004</v>
      </c>
      <c r="L142" s="8">
        <f t="shared" si="107"/>
        <v>0.35</v>
      </c>
      <c r="M142" s="24">
        <f t="shared" si="110"/>
        <v>1.2915129151291515E-2</v>
      </c>
      <c r="N142" s="14"/>
    </row>
    <row r="143" spans="1:17" x14ac:dyDescent="0.25">
      <c r="A143" s="20">
        <v>44517</v>
      </c>
      <c r="B143" s="1">
        <f>B134</f>
        <v>12</v>
      </c>
      <c r="C143" s="1" t="s">
        <v>80</v>
      </c>
      <c r="D143" s="1" t="s">
        <v>179</v>
      </c>
      <c r="E143" s="26" t="e">
        <f t="shared" ref="E143:F143" si="115">+E142</f>
        <v>#REF!</v>
      </c>
      <c r="F143" s="26" t="e">
        <f t="shared" si="115"/>
        <v>#REF!</v>
      </c>
      <c r="G143" s="17">
        <v>10</v>
      </c>
      <c r="H143" s="17" t="s">
        <v>9</v>
      </c>
      <c r="I143" s="30" t="s">
        <v>23</v>
      </c>
      <c r="J143" s="22">
        <f>9.7+10.2</f>
        <v>19.899999999999999</v>
      </c>
      <c r="K143" s="22">
        <f>8.5+8.3</f>
        <v>16.8</v>
      </c>
      <c r="L143" s="8">
        <f t="shared" si="107"/>
        <v>3.0999999999999979</v>
      </c>
      <c r="M143" s="24">
        <f t="shared" si="110"/>
        <v>0.11439114391143906</v>
      </c>
      <c r="N143" s="14"/>
    </row>
    <row r="144" spans="1:17" x14ac:dyDescent="0.25">
      <c r="A144" s="20">
        <v>44517</v>
      </c>
      <c r="B144" s="1">
        <f>B134</f>
        <v>12</v>
      </c>
      <c r="C144" s="1" t="s">
        <v>80</v>
      </c>
      <c r="D144" s="1" t="s">
        <v>179</v>
      </c>
      <c r="E144" s="26" t="e">
        <f t="shared" ref="E144:F144" si="116">+E143</f>
        <v>#REF!</v>
      </c>
      <c r="F144" s="26" t="e">
        <f t="shared" si="116"/>
        <v>#REF!</v>
      </c>
      <c r="G144" s="17">
        <v>11</v>
      </c>
      <c r="H144" s="17" t="s">
        <v>9</v>
      </c>
      <c r="I144" s="30" t="s">
        <v>60</v>
      </c>
      <c r="J144" s="22"/>
      <c r="K144" s="22"/>
      <c r="L144" s="8">
        <f t="shared" si="107"/>
        <v>0</v>
      </c>
      <c r="M144" s="24">
        <f t="shared" si="110"/>
        <v>0</v>
      </c>
      <c r="N144" s="14"/>
    </row>
    <row r="145" spans="1:17" s="2" customFormat="1" ht="15.75" thickBot="1" x14ac:dyDescent="0.3">
      <c r="A145" s="60">
        <v>44517</v>
      </c>
      <c r="B145" s="57">
        <f>B134</f>
        <v>12</v>
      </c>
      <c r="C145" s="57" t="s">
        <v>80</v>
      </c>
      <c r="D145" s="57" t="s">
        <v>179</v>
      </c>
      <c r="E145" s="61" t="e">
        <f t="shared" ref="E145:F145" si="117">+E144</f>
        <v>#REF!</v>
      </c>
      <c r="F145" s="61" t="e">
        <f t="shared" si="117"/>
        <v>#REF!</v>
      </c>
      <c r="G145" s="62">
        <f>+G144+1</f>
        <v>12</v>
      </c>
      <c r="H145" s="62" t="s">
        <v>10</v>
      </c>
      <c r="I145" s="46" t="s">
        <v>10</v>
      </c>
      <c r="J145" s="63">
        <f>11.15+14.5</f>
        <v>25.65</v>
      </c>
      <c r="K145" s="63">
        <f>8.55+8.55</f>
        <v>17.100000000000001</v>
      </c>
      <c r="L145" s="64">
        <f t="shared" si="107"/>
        <v>8.5499999999999972</v>
      </c>
      <c r="M145" s="65">
        <f>+L145/SUMIF(C:C,C145,L:L)</f>
        <v>0.31549815498154976</v>
      </c>
      <c r="N145" s="66"/>
      <c r="O145" s="2" t="s">
        <v>85</v>
      </c>
      <c r="Q145" s="5"/>
    </row>
    <row r="146" spans="1:17" x14ac:dyDescent="0.25">
      <c r="A146" s="19">
        <v>44517</v>
      </c>
      <c r="B146" s="15">
        <f>B134+1</f>
        <v>13</v>
      </c>
      <c r="C146" s="15" t="s">
        <v>82</v>
      </c>
      <c r="D146" s="15" t="s">
        <v>23</v>
      </c>
      <c r="E146" s="25">
        <f>33.2-1.2</f>
        <v>32</v>
      </c>
      <c r="F146" s="25">
        <f>+SUM(L146:L157)</f>
        <v>32.5</v>
      </c>
      <c r="G146" s="16">
        <v>1</v>
      </c>
      <c r="H146" s="16" t="s">
        <v>9</v>
      </c>
      <c r="I146" s="59" t="s">
        <v>56</v>
      </c>
      <c r="J146" s="21">
        <v>0</v>
      </c>
      <c r="K146" s="21">
        <v>0</v>
      </c>
      <c r="L146" s="12">
        <f>+J146-K146</f>
        <v>0</v>
      </c>
      <c r="M146" s="23">
        <f>+L146/SUMIF(C:C,C146,L:L)</f>
        <v>0</v>
      </c>
      <c r="N146" s="13"/>
      <c r="O146" t="s">
        <v>83</v>
      </c>
    </row>
    <row r="147" spans="1:17" x14ac:dyDescent="0.25">
      <c r="A147" s="20">
        <v>44517</v>
      </c>
      <c r="B147" s="1">
        <f>B146</f>
        <v>13</v>
      </c>
      <c r="C147" s="1" t="s">
        <v>82</v>
      </c>
      <c r="D147" s="1" t="s">
        <v>23</v>
      </c>
      <c r="E147" s="26">
        <f>+E146</f>
        <v>32</v>
      </c>
      <c r="F147" s="28">
        <f>+(F146-E146)/E146</f>
        <v>1.5625E-2</v>
      </c>
      <c r="G147" s="17">
        <v>2</v>
      </c>
      <c r="H147" s="17" t="s">
        <v>9</v>
      </c>
      <c r="I147" s="30" t="s">
        <v>57</v>
      </c>
      <c r="J147" s="22">
        <v>0.6</v>
      </c>
      <c r="K147" s="22">
        <v>0.55000000000000004</v>
      </c>
      <c r="L147" s="8">
        <f t="shared" ref="L147:L157" si="118">+J147-K147</f>
        <v>4.9999999999999933E-2</v>
      </c>
      <c r="M147" s="24">
        <f t="shared" ref="M147" si="119">+L147/SUMIF(C:C,C147,L:L)</f>
        <v>1.5384615384615365E-3</v>
      </c>
      <c r="N147" s="14"/>
    </row>
    <row r="148" spans="1:17" x14ac:dyDescent="0.25">
      <c r="A148" s="20">
        <v>44517</v>
      </c>
      <c r="B148" s="1">
        <f>B146</f>
        <v>13</v>
      </c>
      <c r="C148" s="1" t="s">
        <v>82</v>
      </c>
      <c r="D148" s="1" t="s">
        <v>23</v>
      </c>
      <c r="E148" s="26" t="e">
        <f>+#REF!</f>
        <v>#REF!</v>
      </c>
      <c r="F148" s="26" t="e">
        <f>+#REF!</f>
        <v>#REF!</v>
      </c>
      <c r="G148" s="17">
        <v>3</v>
      </c>
      <c r="H148" s="17" t="s">
        <v>9</v>
      </c>
      <c r="I148" s="30" t="s">
        <v>58</v>
      </c>
      <c r="J148" s="22">
        <v>0</v>
      </c>
      <c r="K148" s="22">
        <v>0</v>
      </c>
      <c r="L148" s="8">
        <f t="shared" si="118"/>
        <v>0</v>
      </c>
      <c r="M148" s="24">
        <f>+L148/SUMIF(C:C,C148,L:L)</f>
        <v>0</v>
      </c>
      <c r="N148" s="14"/>
    </row>
    <row r="149" spans="1:17" x14ac:dyDescent="0.25">
      <c r="A149" s="20">
        <v>44517</v>
      </c>
      <c r="B149" s="1">
        <f>B146</f>
        <v>13</v>
      </c>
      <c r="C149" s="1" t="s">
        <v>82</v>
      </c>
      <c r="D149" s="1" t="s">
        <v>23</v>
      </c>
      <c r="E149" s="26" t="e">
        <f t="shared" ref="E149:F149" si="120">+E148</f>
        <v>#REF!</v>
      </c>
      <c r="F149" s="26" t="e">
        <f t="shared" si="120"/>
        <v>#REF!</v>
      </c>
      <c r="G149" s="17">
        <v>4</v>
      </c>
      <c r="H149" s="17" t="s">
        <v>9</v>
      </c>
      <c r="I149" s="30" t="s">
        <v>22</v>
      </c>
      <c r="J149" s="22">
        <v>0</v>
      </c>
      <c r="K149" s="22">
        <v>0</v>
      </c>
      <c r="L149" s="8">
        <f t="shared" si="118"/>
        <v>0</v>
      </c>
      <c r="M149" s="24">
        <f t="shared" ref="M149:M156" si="121">+L149/SUMIF(C:C,C149,L:L)</f>
        <v>0</v>
      </c>
      <c r="N149" s="14"/>
    </row>
    <row r="150" spans="1:17" x14ac:dyDescent="0.25">
      <c r="A150" s="20">
        <v>44517</v>
      </c>
      <c r="B150" s="1">
        <f>B146</f>
        <v>13</v>
      </c>
      <c r="C150" s="1" t="s">
        <v>82</v>
      </c>
      <c r="D150" s="1" t="s">
        <v>23</v>
      </c>
      <c r="E150" s="26" t="e">
        <f t="shared" ref="E150:F150" si="122">+E149</f>
        <v>#REF!</v>
      </c>
      <c r="F150" s="26" t="e">
        <f t="shared" si="122"/>
        <v>#REF!</v>
      </c>
      <c r="G150" s="17">
        <v>5</v>
      </c>
      <c r="H150" s="17" t="s">
        <v>9</v>
      </c>
      <c r="I150" s="30" t="s">
        <v>34</v>
      </c>
      <c r="J150" s="22">
        <v>0</v>
      </c>
      <c r="K150" s="22">
        <v>0</v>
      </c>
      <c r="L150" s="8">
        <f t="shared" si="118"/>
        <v>0</v>
      </c>
      <c r="M150" s="24">
        <f t="shared" si="121"/>
        <v>0</v>
      </c>
      <c r="N150" s="14"/>
    </row>
    <row r="151" spans="1:17" x14ac:dyDescent="0.25">
      <c r="A151" s="20">
        <v>44517</v>
      </c>
      <c r="B151" s="1">
        <f>B146</f>
        <v>13</v>
      </c>
      <c r="C151" s="1" t="s">
        <v>82</v>
      </c>
      <c r="D151" s="1" t="s">
        <v>23</v>
      </c>
      <c r="E151" s="26" t="e">
        <f t="shared" ref="E151:F151" si="123">+E150</f>
        <v>#REF!</v>
      </c>
      <c r="F151" s="26" t="e">
        <f t="shared" si="123"/>
        <v>#REF!</v>
      </c>
      <c r="G151" s="17">
        <v>6</v>
      </c>
      <c r="H151" s="17" t="s">
        <v>9</v>
      </c>
      <c r="I151" s="30" t="s">
        <v>35</v>
      </c>
      <c r="J151" s="22">
        <v>0</v>
      </c>
      <c r="K151" s="22">
        <v>0</v>
      </c>
      <c r="L151" s="8">
        <f t="shared" si="118"/>
        <v>0</v>
      </c>
      <c r="M151" s="24">
        <f t="shared" si="121"/>
        <v>0</v>
      </c>
      <c r="N151" s="14"/>
    </row>
    <row r="152" spans="1:17" x14ac:dyDescent="0.25">
      <c r="A152" s="20">
        <v>44517</v>
      </c>
      <c r="B152" s="1">
        <f>B146</f>
        <v>13</v>
      </c>
      <c r="C152" s="1" t="s">
        <v>82</v>
      </c>
      <c r="D152" s="1" t="s">
        <v>23</v>
      </c>
      <c r="E152" s="26" t="e">
        <f t="shared" ref="E152:F152" si="124">+E151</f>
        <v>#REF!</v>
      </c>
      <c r="F152" s="26" t="e">
        <f t="shared" si="124"/>
        <v>#REF!</v>
      </c>
      <c r="G152" s="17">
        <v>7</v>
      </c>
      <c r="H152" s="17" t="s">
        <v>9</v>
      </c>
      <c r="I152" s="30" t="s">
        <v>36</v>
      </c>
      <c r="J152" s="22">
        <v>6.75</v>
      </c>
      <c r="K152" s="22">
        <v>6.05</v>
      </c>
      <c r="L152" s="8">
        <f t="shared" si="118"/>
        <v>0.70000000000000018</v>
      </c>
      <c r="M152" s="24">
        <f t="shared" si="121"/>
        <v>2.1538461538461545E-2</v>
      </c>
      <c r="N152" s="14"/>
    </row>
    <row r="153" spans="1:17" x14ac:dyDescent="0.25">
      <c r="A153" s="20">
        <v>44517</v>
      </c>
      <c r="B153" s="1">
        <f>B146</f>
        <v>13</v>
      </c>
      <c r="C153" s="1" t="s">
        <v>82</v>
      </c>
      <c r="D153" s="1" t="s">
        <v>23</v>
      </c>
      <c r="E153" s="26" t="e">
        <f>+E152</f>
        <v>#REF!</v>
      </c>
      <c r="F153" s="26" t="e">
        <f>+F152</f>
        <v>#REF!</v>
      </c>
      <c r="G153" s="17">
        <v>8</v>
      </c>
      <c r="H153" s="17" t="s">
        <v>9</v>
      </c>
      <c r="I153" s="30" t="s">
        <v>59</v>
      </c>
      <c r="J153" s="22">
        <f>11.05+10.05</f>
        <v>21.1</v>
      </c>
      <c r="K153" s="22">
        <f>8.55+8.55</f>
        <v>17.100000000000001</v>
      </c>
      <c r="L153" s="8">
        <f t="shared" si="118"/>
        <v>4</v>
      </c>
      <c r="M153" s="24">
        <f t="shared" si="121"/>
        <v>0.12307692307692308</v>
      </c>
      <c r="N153" s="14"/>
    </row>
    <row r="154" spans="1:17" x14ac:dyDescent="0.25">
      <c r="A154" s="20">
        <v>44517</v>
      </c>
      <c r="B154" s="1">
        <f>B146</f>
        <v>13</v>
      </c>
      <c r="C154" s="1" t="s">
        <v>82</v>
      </c>
      <c r="D154" s="1" t="s">
        <v>23</v>
      </c>
      <c r="E154" s="26" t="e">
        <f t="shared" ref="E154:F154" si="125">+E153</f>
        <v>#REF!</v>
      </c>
      <c r="F154" s="26" t="e">
        <f t="shared" si="125"/>
        <v>#REF!</v>
      </c>
      <c r="G154" s="17">
        <v>9</v>
      </c>
      <c r="H154" s="17" t="s">
        <v>9</v>
      </c>
      <c r="I154" s="30" t="s">
        <v>38</v>
      </c>
      <c r="J154" s="22">
        <v>0</v>
      </c>
      <c r="K154" s="22">
        <v>0</v>
      </c>
      <c r="L154" s="8">
        <f t="shared" si="118"/>
        <v>0</v>
      </c>
      <c r="M154" s="24">
        <f t="shared" si="121"/>
        <v>0</v>
      </c>
      <c r="N154" s="14"/>
    </row>
    <row r="155" spans="1:17" x14ac:dyDescent="0.25">
      <c r="A155" s="20">
        <v>44517</v>
      </c>
      <c r="B155" s="1">
        <f>B146</f>
        <v>13</v>
      </c>
      <c r="C155" s="1" t="s">
        <v>82</v>
      </c>
      <c r="D155" s="1" t="s">
        <v>23</v>
      </c>
      <c r="E155" s="26" t="e">
        <f t="shared" ref="E155:F155" si="126">+E154</f>
        <v>#REF!</v>
      </c>
      <c r="F155" s="26" t="e">
        <f t="shared" si="126"/>
        <v>#REF!</v>
      </c>
      <c r="G155" s="17">
        <v>10</v>
      </c>
      <c r="H155" s="17" t="s">
        <v>9</v>
      </c>
      <c r="I155" s="30" t="s">
        <v>23</v>
      </c>
      <c r="J155" s="22">
        <f>13.25+16.55+10.8+15.85+12.45</f>
        <v>68.900000000000006</v>
      </c>
      <c r="K155" s="22">
        <f>8.55+8.25+8.55+8.5+8.3</f>
        <v>42.150000000000006</v>
      </c>
      <c r="L155" s="8">
        <f t="shared" si="118"/>
        <v>26.75</v>
      </c>
      <c r="M155" s="24">
        <f t="shared" si="121"/>
        <v>0.82307692307692304</v>
      </c>
      <c r="N155" s="14"/>
    </row>
    <row r="156" spans="1:17" x14ac:dyDescent="0.25">
      <c r="A156" s="20">
        <v>44517</v>
      </c>
      <c r="B156" s="1">
        <f>B146</f>
        <v>13</v>
      </c>
      <c r="C156" s="1" t="s">
        <v>82</v>
      </c>
      <c r="D156" s="1" t="s">
        <v>23</v>
      </c>
      <c r="E156" s="26" t="e">
        <f t="shared" ref="E156:F156" si="127">+E155</f>
        <v>#REF!</v>
      </c>
      <c r="F156" s="26" t="e">
        <f t="shared" si="127"/>
        <v>#REF!</v>
      </c>
      <c r="G156" s="17">
        <v>11</v>
      </c>
      <c r="H156" s="17" t="s">
        <v>9</v>
      </c>
      <c r="I156" s="30" t="s">
        <v>60</v>
      </c>
      <c r="J156" s="22">
        <f>0.55</f>
        <v>0.55000000000000004</v>
      </c>
      <c r="K156" s="22">
        <f>0.5</f>
        <v>0.5</v>
      </c>
      <c r="L156" s="8">
        <f t="shared" si="118"/>
        <v>5.0000000000000044E-2</v>
      </c>
      <c r="M156" s="24">
        <f t="shared" si="121"/>
        <v>1.5384615384615398E-3</v>
      </c>
      <c r="N156" s="14"/>
    </row>
    <row r="157" spans="1:17" s="2" customFormat="1" ht="15.75" thickBot="1" x14ac:dyDescent="0.3">
      <c r="A157" s="60">
        <v>44517</v>
      </c>
      <c r="B157" s="57">
        <f>B146</f>
        <v>13</v>
      </c>
      <c r="C157" s="57" t="s">
        <v>82</v>
      </c>
      <c r="D157" s="57" t="s">
        <v>23</v>
      </c>
      <c r="E157" s="61" t="e">
        <f t="shared" ref="E157:F157" si="128">+E156</f>
        <v>#REF!</v>
      </c>
      <c r="F157" s="61" t="e">
        <f t="shared" si="128"/>
        <v>#REF!</v>
      </c>
      <c r="G157" s="62">
        <f>+G156+1</f>
        <v>12</v>
      </c>
      <c r="H157" s="62" t="s">
        <v>10</v>
      </c>
      <c r="I157" s="46" t="s">
        <v>10</v>
      </c>
      <c r="J157" s="63">
        <f>8.7+9.1</f>
        <v>17.799999999999997</v>
      </c>
      <c r="K157" s="63">
        <f>8.55+8.3</f>
        <v>16.850000000000001</v>
      </c>
      <c r="L157" s="64">
        <f t="shared" si="118"/>
        <v>0.94999999999999574</v>
      </c>
      <c r="M157" s="65">
        <f>+L157/SUMIF(C:C,C157,L:L)</f>
        <v>2.9230769230769098E-2</v>
      </c>
      <c r="N157" s="66"/>
      <c r="Q157" s="5"/>
    </row>
    <row r="158" spans="1:17" x14ac:dyDescent="0.25">
      <c r="A158" s="19">
        <v>44517</v>
      </c>
      <c r="B158" s="15">
        <f>B146+1</f>
        <v>14</v>
      </c>
      <c r="C158" s="15" t="s">
        <v>86</v>
      </c>
      <c r="D158" s="15" t="s">
        <v>23</v>
      </c>
      <c r="E158" s="25">
        <f>26-1.2</f>
        <v>24.8</v>
      </c>
      <c r="F158" s="25">
        <f>+SUM(L158:L169)</f>
        <v>25.150000000000002</v>
      </c>
      <c r="G158" s="16">
        <v>1</v>
      </c>
      <c r="H158" s="16" t="s">
        <v>9</v>
      </c>
      <c r="I158" s="59" t="s">
        <v>56</v>
      </c>
      <c r="J158" s="21">
        <v>0</v>
      </c>
      <c r="K158" s="21">
        <v>0</v>
      </c>
      <c r="L158" s="12">
        <f>+J158-K158</f>
        <v>0</v>
      </c>
      <c r="M158" s="23">
        <f>+L158/SUMIF(C:C,C158,L:L)</f>
        <v>0</v>
      </c>
      <c r="N158" s="13"/>
      <c r="O158" t="s">
        <v>87</v>
      </c>
    </row>
    <row r="159" spans="1:17" x14ac:dyDescent="0.25">
      <c r="A159" s="20">
        <v>44517</v>
      </c>
      <c r="B159" s="1">
        <f>B158</f>
        <v>14</v>
      </c>
      <c r="C159" s="1" t="s">
        <v>86</v>
      </c>
      <c r="D159" s="1" t="s">
        <v>23</v>
      </c>
      <c r="E159" s="26">
        <f>+E158</f>
        <v>24.8</v>
      </c>
      <c r="F159" s="28">
        <f>+(F158-E158)/E158</f>
        <v>1.4112903225806508E-2</v>
      </c>
      <c r="G159" s="17">
        <v>2</v>
      </c>
      <c r="H159" s="17" t="s">
        <v>9</v>
      </c>
      <c r="I159" s="30" t="s">
        <v>57</v>
      </c>
      <c r="J159" s="22">
        <v>0.6</v>
      </c>
      <c r="K159" s="22">
        <v>0.55000000000000004</v>
      </c>
      <c r="L159" s="8">
        <f t="shared" ref="L159:L169" si="129">+J159-K159</f>
        <v>4.9999999999999933E-2</v>
      </c>
      <c r="M159" s="24">
        <f t="shared" ref="M159" si="130">+L159/SUMIF(C:C,C159,L:L)</f>
        <v>1.9880715705765379E-3</v>
      </c>
      <c r="N159" s="14"/>
    </row>
    <row r="160" spans="1:17" x14ac:dyDescent="0.25">
      <c r="A160" s="20">
        <v>44517</v>
      </c>
      <c r="B160" s="1">
        <f>B158</f>
        <v>14</v>
      </c>
      <c r="C160" s="1" t="s">
        <v>86</v>
      </c>
      <c r="D160" s="1" t="s">
        <v>23</v>
      </c>
      <c r="E160" s="26" t="e">
        <f>+#REF!</f>
        <v>#REF!</v>
      </c>
      <c r="F160" s="26" t="e">
        <f>+#REF!</f>
        <v>#REF!</v>
      </c>
      <c r="G160" s="17">
        <v>3</v>
      </c>
      <c r="H160" s="17" t="s">
        <v>9</v>
      </c>
      <c r="I160" s="30" t="s">
        <v>58</v>
      </c>
      <c r="J160" s="22">
        <v>0</v>
      </c>
      <c r="K160" s="22">
        <v>0</v>
      </c>
      <c r="L160" s="8">
        <f t="shared" si="129"/>
        <v>0</v>
      </c>
      <c r="M160" s="24">
        <f>+L160/SUMIF(C:C,C160,L:L)</f>
        <v>0</v>
      </c>
      <c r="N160" s="14"/>
    </row>
    <row r="161" spans="1:17" x14ac:dyDescent="0.25">
      <c r="A161" s="20">
        <v>44517</v>
      </c>
      <c r="B161" s="1">
        <f>B158</f>
        <v>14</v>
      </c>
      <c r="C161" s="1" t="s">
        <v>86</v>
      </c>
      <c r="D161" s="1" t="s">
        <v>23</v>
      </c>
      <c r="E161" s="26" t="e">
        <f t="shared" ref="E161:F161" si="131">+E160</f>
        <v>#REF!</v>
      </c>
      <c r="F161" s="26" t="e">
        <f t="shared" si="131"/>
        <v>#REF!</v>
      </c>
      <c r="G161" s="17">
        <v>4</v>
      </c>
      <c r="H161" s="17" t="s">
        <v>9</v>
      </c>
      <c r="I161" s="30" t="s">
        <v>22</v>
      </c>
      <c r="J161" s="22">
        <v>0.6</v>
      </c>
      <c r="K161" s="22">
        <v>0.55000000000000004</v>
      </c>
      <c r="L161" s="8">
        <f t="shared" si="129"/>
        <v>4.9999999999999933E-2</v>
      </c>
      <c r="M161" s="24">
        <f t="shared" ref="M161:M168" si="132">+L161/SUMIF(C:C,C161,L:L)</f>
        <v>1.9880715705765379E-3</v>
      </c>
      <c r="N161" s="14"/>
    </row>
    <row r="162" spans="1:17" x14ac:dyDescent="0.25">
      <c r="A162" s="20">
        <v>44517</v>
      </c>
      <c r="B162" s="1">
        <f>B158</f>
        <v>14</v>
      </c>
      <c r="C162" s="1" t="s">
        <v>86</v>
      </c>
      <c r="D162" s="1" t="s">
        <v>23</v>
      </c>
      <c r="E162" s="26" t="e">
        <f t="shared" ref="E162:F162" si="133">+E161</f>
        <v>#REF!</v>
      </c>
      <c r="F162" s="26" t="e">
        <f t="shared" si="133"/>
        <v>#REF!</v>
      </c>
      <c r="G162" s="17">
        <v>5</v>
      </c>
      <c r="H162" s="17" t="s">
        <v>9</v>
      </c>
      <c r="I162" s="30" t="s">
        <v>34</v>
      </c>
      <c r="J162" s="22">
        <v>0</v>
      </c>
      <c r="K162" s="22">
        <v>0</v>
      </c>
      <c r="L162" s="8">
        <f t="shared" si="129"/>
        <v>0</v>
      </c>
      <c r="M162" s="24">
        <f t="shared" si="132"/>
        <v>0</v>
      </c>
      <c r="N162" s="14"/>
    </row>
    <row r="163" spans="1:17" x14ac:dyDescent="0.25">
      <c r="A163" s="20">
        <v>44517</v>
      </c>
      <c r="B163" s="1">
        <f>B158</f>
        <v>14</v>
      </c>
      <c r="C163" s="1" t="s">
        <v>86</v>
      </c>
      <c r="D163" s="1" t="s">
        <v>23</v>
      </c>
      <c r="E163" s="26" t="e">
        <f t="shared" ref="E163:F163" si="134">+E162</f>
        <v>#REF!</v>
      </c>
      <c r="F163" s="26" t="e">
        <f t="shared" si="134"/>
        <v>#REF!</v>
      </c>
      <c r="G163" s="17">
        <v>6</v>
      </c>
      <c r="H163" s="17" t="s">
        <v>9</v>
      </c>
      <c r="I163" s="30" t="s">
        <v>35</v>
      </c>
      <c r="J163" s="22">
        <v>0</v>
      </c>
      <c r="K163" s="22">
        <v>0</v>
      </c>
      <c r="L163" s="8">
        <f t="shared" si="129"/>
        <v>0</v>
      </c>
      <c r="M163" s="24">
        <f t="shared" si="132"/>
        <v>0</v>
      </c>
      <c r="N163" s="14"/>
    </row>
    <row r="164" spans="1:17" x14ac:dyDescent="0.25">
      <c r="A164" s="20">
        <v>44517</v>
      </c>
      <c r="B164" s="1">
        <f>B158</f>
        <v>14</v>
      </c>
      <c r="C164" s="1" t="s">
        <v>86</v>
      </c>
      <c r="D164" s="1" t="s">
        <v>23</v>
      </c>
      <c r="E164" s="26" t="e">
        <f t="shared" ref="E164:F164" si="135">+E163</f>
        <v>#REF!</v>
      </c>
      <c r="F164" s="26" t="e">
        <f t="shared" si="135"/>
        <v>#REF!</v>
      </c>
      <c r="G164" s="17">
        <v>7</v>
      </c>
      <c r="H164" s="17" t="s">
        <v>9</v>
      </c>
      <c r="I164" s="30" t="s">
        <v>36</v>
      </c>
      <c r="J164" s="22">
        <v>6.5</v>
      </c>
      <c r="K164" s="22">
        <v>6.05</v>
      </c>
      <c r="L164" s="8">
        <f t="shared" si="129"/>
        <v>0.45000000000000018</v>
      </c>
      <c r="M164" s="24">
        <f t="shared" si="132"/>
        <v>1.7892644135188873E-2</v>
      </c>
      <c r="N164" s="14"/>
    </row>
    <row r="165" spans="1:17" x14ac:dyDescent="0.25">
      <c r="A165" s="20">
        <v>44517</v>
      </c>
      <c r="B165" s="1">
        <f>B158</f>
        <v>14</v>
      </c>
      <c r="C165" s="1" t="s">
        <v>86</v>
      </c>
      <c r="D165" s="1" t="s">
        <v>23</v>
      </c>
      <c r="E165" s="26" t="e">
        <f>+E164</f>
        <v>#REF!</v>
      </c>
      <c r="F165" s="26" t="e">
        <f>+F164</f>
        <v>#REF!</v>
      </c>
      <c r="G165" s="17">
        <v>8</v>
      </c>
      <c r="H165" s="17" t="s">
        <v>9</v>
      </c>
      <c r="I165" s="30" t="s">
        <v>59</v>
      </c>
      <c r="J165" s="22">
        <f>9.85+9.5</f>
        <v>19.350000000000001</v>
      </c>
      <c r="K165" s="22">
        <f>8.25+8.55</f>
        <v>16.8</v>
      </c>
      <c r="L165" s="8">
        <f t="shared" si="129"/>
        <v>2.5500000000000007</v>
      </c>
      <c r="M165" s="24">
        <f t="shared" si="132"/>
        <v>0.1013916500994036</v>
      </c>
      <c r="N165" s="14"/>
    </row>
    <row r="166" spans="1:17" x14ac:dyDescent="0.25">
      <c r="A166" s="20">
        <v>44517</v>
      </c>
      <c r="B166" s="1">
        <f>B158</f>
        <v>14</v>
      </c>
      <c r="C166" s="1" t="s">
        <v>86</v>
      </c>
      <c r="D166" s="1" t="s">
        <v>23</v>
      </c>
      <c r="E166" s="26" t="e">
        <f t="shared" ref="E166:F166" si="136">+E165</f>
        <v>#REF!</v>
      </c>
      <c r="F166" s="26" t="e">
        <f t="shared" si="136"/>
        <v>#REF!</v>
      </c>
      <c r="G166" s="17">
        <v>9</v>
      </c>
      <c r="H166" s="17" t="s">
        <v>9</v>
      </c>
      <c r="I166" s="30" t="s">
        <v>38</v>
      </c>
      <c r="J166" s="22">
        <v>0</v>
      </c>
      <c r="K166" s="22">
        <v>0</v>
      </c>
      <c r="L166" s="8">
        <f t="shared" si="129"/>
        <v>0</v>
      </c>
      <c r="M166" s="24">
        <f t="shared" si="132"/>
        <v>0</v>
      </c>
      <c r="N166" s="14"/>
    </row>
    <row r="167" spans="1:17" x14ac:dyDescent="0.25">
      <c r="A167" s="20">
        <v>44517</v>
      </c>
      <c r="B167" s="1">
        <f>B158</f>
        <v>14</v>
      </c>
      <c r="C167" s="1" t="s">
        <v>86</v>
      </c>
      <c r="D167" s="1" t="s">
        <v>23</v>
      </c>
      <c r="E167" s="26" t="e">
        <f t="shared" ref="E167:F167" si="137">+E166</f>
        <v>#REF!</v>
      </c>
      <c r="F167" s="26" t="e">
        <f t="shared" si="137"/>
        <v>#REF!</v>
      </c>
      <c r="G167" s="17">
        <v>10</v>
      </c>
      <c r="H167" s="17" t="s">
        <v>9</v>
      </c>
      <c r="I167" s="30" t="s">
        <v>23</v>
      </c>
      <c r="J167" s="22">
        <f>13.45+13.75+13.25+14.05+9.2</f>
        <v>63.7</v>
      </c>
      <c r="K167" s="22">
        <f>8.5+8.55+8.55+8.3+8.55</f>
        <v>42.45</v>
      </c>
      <c r="L167" s="8">
        <f t="shared" si="129"/>
        <v>21.25</v>
      </c>
      <c r="M167" s="24">
        <f t="shared" si="132"/>
        <v>0.84493041749502973</v>
      </c>
      <c r="N167" s="14"/>
    </row>
    <row r="168" spans="1:17" x14ac:dyDescent="0.25">
      <c r="A168" s="20">
        <v>44517</v>
      </c>
      <c r="B168" s="1">
        <f>B158</f>
        <v>14</v>
      </c>
      <c r="C168" s="1" t="s">
        <v>86</v>
      </c>
      <c r="D168" s="1" t="s">
        <v>23</v>
      </c>
      <c r="E168" s="26" t="e">
        <f t="shared" ref="E168:F168" si="138">+E167</f>
        <v>#REF!</v>
      </c>
      <c r="F168" s="26" t="e">
        <f t="shared" si="138"/>
        <v>#REF!</v>
      </c>
      <c r="G168" s="17">
        <v>11</v>
      </c>
      <c r="H168" s="17" t="s">
        <v>9</v>
      </c>
      <c r="I168" s="30" t="s">
        <v>60</v>
      </c>
      <c r="J168" s="22">
        <v>0.6</v>
      </c>
      <c r="K168" s="22">
        <v>0.55000000000000004</v>
      </c>
      <c r="L168" s="8">
        <f t="shared" si="129"/>
        <v>4.9999999999999933E-2</v>
      </c>
      <c r="M168" s="24">
        <f t="shared" si="132"/>
        <v>1.9880715705765379E-3</v>
      </c>
      <c r="N168" s="14"/>
    </row>
    <row r="169" spans="1:17" s="2" customFormat="1" ht="15.75" thickBot="1" x14ac:dyDescent="0.3">
      <c r="A169" s="60">
        <v>44517</v>
      </c>
      <c r="B169" s="57">
        <f>B158</f>
        <v>14</v>
      </c>
      <c r="C169" s="57" t="s">
        <v>86</v>
      </c>
      <c r="D169" s="57" t="s">
        <v>23</v>
      </c>
      <c r="E169" s="61" t="e">
        <f t="shared" ref="E169:F169" si="139">+E168</f>
        <v>#REF!</v>
      </c>
      <c r="F169" s="61" t="e">
        <f t="shared" si="139"/>
        <v>#REF!</v>
      </c>
      <c r="G169" s="62">
        <f>+G168+1</f>
        <v>12</v>
      </c>
      <c r="H169" s="62" t="s">
        <v>10</v>
      </c>
      <c r="I169" s="46" t="s">
        <v>10</v>
      </c>
      <c r="J169" s="63">
        <f>8.9+8.7</f>
        <v>17.600000000000001</v>
      </c>
      <c r="K169" s="63">
        <f>8.3+8.55</f>
        <v>16.850000000000001</v>
      </c>
      <c r="L169" s="64">
        <f t="shared" si="129"/>
        <v>0.75</v>
      </c>
      <c r="M169" s="65">
        <f>+L169/SUMIF(C:C,C169,L:L)</f>
        <v>2.982107355864811E-2</v>
      </c>
      <c r="N169" s="66"/>
      <c r="Q169" s="5"/>
    </row>
    <row r="170" spans="1:17" x14ac:dyDescent="0.25">
      <c r="A170" s="19">
        <v>44517</v>
      </c>
      <c r="B170" s="15">
        <f>B158+1</f>
        <v>15</v>
      </c>
      <c r="C170" s="15" t="s">
        <v>88</v>
      </c>
      <c r="D170" s="15" t="s">
        <v>181</v>
      </c>
      <c r="E170" s="25">
        <f>24.8-1.2</f>
        <v>23.6</v>
      </c>
      <c r="F170" s="25">
        <f>+SUM(L170:L181)</f>
        <v>24.100000000000009</v>
      </c>
      <c r="G170" s="16">
        <v>1</v>
      </c>
      <c r="H170" s="16" t="s">
        <v>9</v>
      </c>
      <c r="I170" s="59" t="s">
        <v>56</v>
      </c>
      <c r="J170" s="21"/>
      <c r="K170" s="21"/>
      <c r="L170" s="12">
        <f>+J170-K170</f>
        <v>0</v>
      </c>
      <c r="M170" s="23">
        <f>+L170/SUMIF(C:C,C170,L:L)</f>
        <v>0</v>
      </c>
      <c r="N170" s="13"/>
      <c r="O170" t="s">
        <v>89</v>
      </c>
    </row>
    <row r="171" spans="1:17" x14ac:dyDescent="0.25">
      <c r="A171" s="20">
        <v>44517</v>
      </c>
      <c r="B171" s="1">
        <f>B170</f>
        <v>15</v>
      </c>
      <c r="C171" s="1" t="s">
        <v>88</v>
      </c>
      <c r="D171" s="1" t="s">
        <v>181</v>
      </c>
      <c r="E171" s="26">
        <f>+E170</f>
        <v>23.6</v>
      </c>
      <c r="F171" s="28">
        <f>+(F170-E170)/E170</f>
        <v>2.1186440677966403E-2</v>
      </c>
      <c r="G171" s="17">
        <v>2</v>
      </c>
      <c r="H171" s="17" t="s">
        <v>9</v>
      </c>
      <c r="I171" s="30" t="s">
        <v>57</v>
      </c>
      <c r="J171" s="22"/>
      <c r="K171" s="22"/>
      <c r="L171" s="8">
        <f t="shared" ref="L171:L181" si="140">+J171-K171</f>
        <v>0</v>
      </c>
      <c r="M171" s="24">
        <f t="shared" ref="M171" si="141">+L171/SUMIF(C:C,C171,L:L)</f>
        <v>0</v>
      </c>
      <c r="N171" s="14"/>
    </row>
    <row r="172" spans="1:17" x14ac:dyDescent="0.25">
      <c r="A172" s="20">
        <v>44517</v>
      </c>
      <c r="B172" s="1">
        <f>B170</f>
        <v>15</v>
      </c>
      <c r="C172" s="1" t="s">
        <v>88</v>
      </c>
      <c r="D172" s="1" t="s">
        <v>181</v>
      </c>
      <c r="E172" s="26" t="e">
        <f>+#REF!</f>
        <v>#REF!</v>
      </c>
      <c r="F172" s="26" t="e">
        <f>+#REF!</f>
        <v>#REF!</v>
      </c>
      <c r="G172" s="17">
        <v>3</v>
      </c>
      <c r="H172" s="17" t="s">
        <v>9</v>
      </c>
      <c r="I172" s="30" t="s">
        <v>58</v>
      </c>
      <c r="J172" s="22"/>
      <c r="K172" s="22"/>
      <c r="L172" s="8">
        <f t="shared" si="140"/>
        <v>0</v>
      </c>
      <c r="M172" s="24">
        <f>+L172/SUMIF(C:C,C172,L:L)</f>
        <v>0</v>
      </c>
      <c r="N172" s="14"/>
    </row>
    <row r="173" spans="1:17" x14ac:dyDescent="0.25">
      <c r="A173" s="20">
        <v>44517</v>
      </c>
      <c r="B173" s="1">
        <f>B170</f>
        <v>15</v>
      </c>
      <c r="C173" s="1" t="s">
        <v>88</v>
      </c>
      <c r="D173" s="1" t="s">
        <v>181</v>
      </c>
      <c r="E173" s="26" t="e">
        <f t="shared" ref="E173:F173" si="142">+E172</f>
        <v>#REF!</v>
      </c>
      <c r="F173" s="26" t="e">
        <f t="shared" si="142"/>
        <v>#REF!</v>
      </c>
      <c r="G173" s="17">
        <v>4</v>
      </c>
      <c r="H173" s="17" t="s">
        <v>9</v>
      </c>
      <c r="I173" s="30" t="s">
        <v>22</v>
      </c>
      <c r="J173" s="22"/>
      <c r="K173" s="22"/>
      <c r="L173" s="8">
        <f t="shared" si="140"/>
        <v>0</v>
      </c>
      <c r="M173" s="24">
        <f t="shared" ref="M173:M180" si="143">+L173/SUMIF(C:C,C173,L:L)</f>
        <v>0</v>
      </c>
      <c r="N173" s="14"/>
    </row>
    <row r="174" spans="1:17" x14ac:dyDescent="0.25">
      <c r="A174" s="20">
        <v>44517</v>
      </c>
      <c r="B174" s="1">
        <f>B170</f>
        <v>15</v>
      </c>
      <c r="C174" s="1" t="s">
        <v>88</v>
      </c>
      <c r="D174" s="1" t="s">
        <v>181</v>
      </c>
      <c r="E174" s="26" t="e">
        <f t="shared" ref="E174:F174" si="144">+E173</f>
        <v>#REF!</v>
      </c>
      <c r="F174" s="26" t="e">
        <f t="shared" si="144"/>
        <v>#REF!</v>
      </c>
      <c r="G174" s="17">
        <v>5</v>
      </c>
      <c r="H174" s="17" t="s">
        <v>9</v>
      </c>
      <c r="I174" s="30" t="s">
        <v>34</v>
      </c>
      <c r="J174" s="22">
        <v>0.65</v>
      </c>
      <c r="K174" s="22">
        <v>0.55000000000000004</v>
      </c>
      <c r="L174" s="8">
        <f t="shared" si="140"/>
        <v>9.9999999999999978E-2</v>
      </c>
      <c r="M174" s="24">
        <f t="shared" si="143"/>
        <v>4.1493775933609933E-3</v>
      </c>
      <c r="N174" s="14"/>
    </row>
    <row r="175" spans="1:17" x14ac:dyDescent="0.25">
      <c r="A175" s="20">
        <v>44517</v>
      </c>
      <c r="B175" s="1">
        <f>B170</f>
        <v>15</v>
      </c>
      <c r="C175" s="1" t="s">
        <v>88</v>
      </c>
      <c r="D175" s="1" t="s">
        <v>181</v>
      </c>
      <c r="E175" s="26" t="e">
        <f t="shared" ref="E175:F175" si="145">+E174</f>
        <v>#REF!</v>
      </c>
      <c r="F175" s="26" t="e">
        <f t="shared" si="145"/>
        <v>#REF!</v>
      </c>
      <c r="G175" s="17">
        <v>6</v>
      </c>
      <c r="H175" s="17" t="s">
        <v>9</v>
      </c>
      <c r="I175" s="30" t="s">
        <v>35</v>
      </c>
      <c r="J175" s="22"/>
      <c r="K175" s="22"/>
      <c r="L175" s="8">
        <f t="shared" si="140"/>
        <v>0</v>
      </c>
      <c r="M175" s="24">
        <f t="shared" si="143"/>
        <v>0</v>
      </c>
      <c r="N175" s="14"/>
    </row>
    <row r="176" spans="1:17" x14ac:dyDescent="0.25">
      <c r="A176" s="20">
        <v>44517</v>
      </c>
      <c r="B176" s="1">
        <f>B170</f>
        <v>15</v>
      </c>
      <c r="C176" s="1" t="s">
        <v>88</v>
      </c>
      <c r="D176" s="1" t="s">
        <v>181</v>
      </c>
      <c r="E176" s="26" t="e">
        <f t="shared" ref="E176:F176" si="146">+E175</f>
        <v>#REF!</v>
      </c>
      <c r="F176" s="26" t="e">
        <f t="shared" si="146"/>
        <v>#REF!</v>
      </c>
      <c r="G176" s="17">
        <v>7</v>
      </c>
      <c r="H176" s="17" t="s">
        <v>9</v>
      </c>
      <c r="I176" s="30" t="s">
        <v>36</v>
      </c>
      <c r="J176" s="22"/>
      <c r="K176" s="22"/>
      <c r="L176" s="8">
        <f t="shared" si="140"/>
        <v>0</v>
      </c>
      <c r="M176" s="24">
        <f t="shared" si="143"/>
        <v>0</v>
      </c>
      <c r="N176" s="14"/>
    </row>
    <row r="177" spans="1:17" x14ac:dyDescent="0.25">
      <c r="A177" s="20">
        <v>44517</v>
      </c>
      <c r="B177" s="1">
        <f>B170</f>
        <v>15</v>
      </c>
      <c r="C177" s="1" t="s">
        <v>88</v>
      </c>
      <c r="D177" s="1" t="s">
        <v>181</v>
      </c>
      <c r="E177" s="26" t="e">
        <f>+E176</f>
        <v>#REF!</v>
      </c>
      <c r="F177" s="26" t="e">
        <f>+F176</f>
        <v>#REF!</v>
      </c>
      <c r="G177" s="17">
        <v>8</v>
      </c>
      <c r="H177" s="17" t="s">
        <v>9</v>
      </c>
      <c r="I177" s="30" t="s">
        <v>59</v>
      </c>
      <c r="J177" s="22"/>
      <c r="K177" s="22"/>
      <c r="L177" s="8">
        <f t="shared" si="140"/>
        <v>0</v>
      </c>
      <c r="M177" s="24">
        <f t="shared" si="143"/>
        <v>0</v>
      </c>
      <c r="N177" s="14"/>
    </row>
    <row r="178" spans="1:17" x14ac:dyDescent="0.25">
      <c r="A178" s="20">
        <v>44517</v>
      </c>
      <c r="B178" s="1">
        <f>B170</f>
        <v>15</v>
      </c>
      <c r="C178" s="1" t="s">
        <v>88</v>
      </c>
      <c r="D178" s="1" t="s">
        <v>181</v>
      </c>
      <c r="E178" s="26" t="e">
        <f t="shared" ref="E178:F178" si="147">+E177</f>
        <v>#REF!</v>
      </c>
      <c r="F178" s="26" t="e">
        <f t="shared" si="147"/>
        <v>#REF!</v>
      </c>
      <c r="G178" s="17">
        <v>9</v>
      </c>
      <c r="H178" s="17" t="s">
        <v>9</v>
      </c>
      <c r="I178" s="30" t="s">
        <v>38</v>
      </c>
      <c r="J178" s="22"/>
      <c r="K178" s="22"/>
      <c r="L178" s="8">
        <f t="shared" si="140"/>
        <v>0</v>
      </c>
      <c r="M178" s="24">
        <f t="shared" si="143"/>
        <v>0</v>
      </c>
      <c r="N178" s="14"/>
    </row>
    <row r="179" spans="1:17" x14ac:dyDescent="0.25">
      <c r="A179" s="20">
        <v>44517</v>
      </c>
      <c r="B179" s="1">
        <f>B170</f>
        <v>15</v>
      </c>
      <c r="C179" s="1" t="s">
        <v>88</v>
      </c>
      <c r="D179" s="1" t="s">
        <v>181</v>
      </c>
      <c r="E179" s="26" t="e">
        <f t="shared" ref="E179:F179" si="148">+E178</f>
        <v>#REF!</v>
      </c>
      <c r="F179" s="26" t="e">
        <f t="shared" si="148"/>
        <v>#REF!</v>
      </c>
      <c r="G179" s="17">
        <v>10</v>
      </c>
      <c r="H179" s="17" t="s">
        <v>9</v>
      </c>
      <c r="I179" s="30" t="s">
        <v>23</v>
      </c>
      <c r="J179" s="22">
        <f>17.1+12.8+11.25+10.45+11.45</f>
        <v>63.050000000000011</v>
      </c>
      <c r="K179" s="22">
        <f>6.05+8.55+8.3+8.5+8.55</f>
        <v>39.950000000000003</v>
      </c>
      <c r="L179" s="8">
        <f t="shared" si="140"/>
        <v>23.100000000000009</v>
      </c>
      <c r="M179" s="24">
        <f t="shared" si="143"/>
        <v>0.95850622406639008</v>
      </c>
      <c r="N179" s="14" t="s">
        <v>90</v>
      </c>
    </row>
    <row r="180" spans="1:17" x14ac:dyDescent="0.25">
      <c r="A180" s="20">
        <v>44517</v>
      </c>
      <c r="B180" s="1">
        <f>B170</f>
        <v>15</v>
      </c>
      <c r="C180" s="1" t="s">
        <v>88</v>
      </c>
      <c r="D180" s="1" t="s">
        <v>181</v>
      </c>
      <c r="E180" s="26" t="e">
        <f t="shared" ref="E180:F180" si="149">+E179</f>
        <v>#REF!</v>
      </c>
      <c r="F180" s="26" t="e">
        <f t="shared" si="149"/>
        <v>#REF!</v>
      </c>
      <c r="G180" s="17">
        <v>11</v>
      </c>
      <c r="H180" s="17" t="s">
        <v>9</v>
      </c>
      <c r="I180" s="30" t="s">
        <v>60</v>
      </c>
      <c r="J180" s="22"/>
      <c r="K180" s="22"/>
      <c r="L180" s="8">
        <f t="shared" si="140"/>
        <v>0</v>
      </c>
      <c r="M180" s="24">
        <f t="shared" si="143"/>
        <v>0</v>
      </c>
      <c r="N180" s="14"/>
    </row>
    <row r="181" spans="1:17" s="2" customFormat="1" ht="30.75" thickBot="1" x14ac:dyDescent="0.3">
      <c r="A181" s="60">
        <v>44517</v>
      </c>
      <c r="B181" s="57">
        <f>B170</f>
        <v>15</v>
      </c>
      <c r="C181" s="57" t="s">
        <v>88</v>
      </c>
      <c r="D181" s="57" t="s">
        <v>181</v>
      </c>
      <c r="E181" s="61" t="e">
        <f t="shared" ref="E181:F181" si="150">+E180</f>
        <v>#REF!</v>
      </c>
      <c r="F181" s="61" t="e">
        <f t="shared" si="150"/>
        <v>#REF!</v>
      </c>
      <c r="G181" s="62">
        <f>+G180+1</f>
        <v>12</v>
      </c>
      <c r="H181" s="62" t="s">
        <v>10</v>
      </c>
      <c r="I181" s="46" t="s">
        <v>10</v>
      </c>
      <c r="J181" s="63">
        <f>8.95+8.8</f>
        <v>17.75</v>
      </c>
      <c r="K181" s="63">
        <f>8.55+8.3</f>
        <v>16.850000000000001</v>
      </c>
      <c r="L181" s="64">
        <f t="shared" si="140"/>
        <v>0.89999999999999858</v>
      </c>
      <c r="M181" s="65">
        <f>+L181/SUMIF(C:C,C181,L:L)</f>
        <v>3.7344398340248892E-2</v>
      </c>
      <c r="N181" s="66" t="s">
        <v>91</v>
      </c>
      <c r="Q181" s="5"/>
    </row>
    <row r="182" spans="1:17" x14ac:dyDescent="0.25">
      <c r="A182" s="19">
        <v>44517</v>
      </c>
      <c r="B182" s="15">
        <f>B170+1</f>
        <v>16</v>
      </c>
      <c r="C182" s="15" t="s">
        <v>93</v>
      </c>
      <c r="D182" s="15" t="s">
        <v>181</v>
      </c>
      <c r="E182" s="25">
        <f>24.2-1.2</f>
        <v>23</v>
      </c>
      <c r="F182" s="25">
        <f>+SUM(L182:L193)</f>
        <v>22.7</v>
      </c>
      <c r="G182" s="16">
        <v>1</v>
      </c>
      <c r="H182" s="16" t="s">
        <v>9</v>
      </c>
      <c r="I182" s="59" t="s">
        <v>56</v>
      </c>
      <c r="J182" s="21"/>
      <c r="K182" s="21"/>
      <c r="L182" s="12">
        <f>+J182-K182</f>
        <v>0</v>
      </c>
      <c r="M182" s="23">
        <f>+L182/SUMIF(C:C,C182,L:L)</f>
        <v>0</v>
      </c>
      <c r="N182" s="13"/>
      <c r="O182" t="s">
        <v>92</v>
      </c>
    </row>
    <row r="183" spans="1:17" x14ac:dyDescent="0.25">
      <c r="A183" s="20">
        <v>44517</v>
      </c>
      <c r="B183" s="1">
        <f>B182</f>
        <v>16</v>
      </c>
      <c r="C183" s="1" t="s">
        <v>93</v>
      </c>
      <c r="D183" s="1" t="s">
        <v>181</v>
      </c>
      <c r="E183" s="26">
        <f>+E182</f>
        <v>23</v>
      </c>
      <c r="F183" s="28">
        <f>+(F182-E182)/E182</f>
        <v>-1.3043478260869596E-2</v>
      </c>
      <c r="G183" s="17">
        <v>2</v>
      </c>
      <c r="H183" s="17" t="s">
        <v>9</v>
      </c>
      <c r="I183" s="30" t="s">
        <v>57</v>
      </c>
      <c r="J183" s="22"/>
      <c r="K183" s="22"/>
      <c r="L183" s="8">
        <f t="shared" ref="L183:L193" si="151">+J183-K183</f>
        <v>0</v>
      </c>
      <c r="M183" s="24">
        <f t="shared" ref="M183" si="152">+L183/SUMIF(C:C,C183,L:L)</f>
        <v>0</v>
      </c>
      <c r="N183" s="14"/>
    </row>
    <row r="184" spans="1:17" x14ac:dyDescent="0.25">
      <c r="A184" s="20">
        <v>44517</v>
      </c>
      <c r="B184" s="1">
        <f>B182</f>
        <v>16</v>
      </c>
      <c r="C184" s="1" t="s">
        <v>93</v>
      </c>
      <c r="D184" s="1" t="s">
        <v>181</v>
      </c>
      <c r="E184" s="26" t="e">
        <f>+#REF!</f>
        <v>#REF!</v>
      </c>
      <c r="F184" s="26" t="e">
        <f>+#REF!</f>
        <v>#REF!</v>
      </c>
      <c r="G184" s="17">
        <v>3</v>
      </c>
      <c r="H184" s="17" t="s">
        <v>9</v>
      </c>
      <c r="I184" s="30" t="s">
        <v>58</v>
      </c>
      <c r="J184" s="22"/>
      <c r="K184" s="22"/>
      <c r="L184" s="8">
        <f t="shared" si="151"/>
        <v>0</v>
      </c>
      <c r="M184" s="24">
        <f>+L184/SUMIF(C:C,C184,L:L)</f>
        <v>0</v>
      </c>
      <c r="N184" s="14"/>
    </row>
    <row r="185" spans="1:17" x14ac:dyDescent="0.25">
      <c r="A185" s="20">
        <v>44517</v>
      </c>
      <c r="B185" s="1">
        <f>B182</f>
        <v>16</v>
      </c>
      <c r="C185" s="1" t="s">
        <v>93</v>
      </c>
      <c r="D185" s="1" t="s">
        <v>181</v>
      </c>
      <c r="E185" s="26" t="e">
        <f t="shared" ref="E185:F185" si="153">+E184</f>
        <v>#REF!</v>
      </c>
      <c r="F185" s="26" t="e">
        <f t="shared" si="153"/>
        <v>#REF!</v>
      </c>
      <c r="G185" s="17">
        <v>4</v>
      </c>
      <c r="H185" s="17" t="s">
        <v>9</v>
      </c>
      <c r="I185" s="30" t="s">
        <v>22</v>
      </c>
      <c r="J185" s="22"/>
      <c r="K185" s="22"/>
      <c r="L185" s="8">
        <f t="shared" si="151"/>
        <v>0</v>
      </c>
      <c r="M185" s="24">
        <f t="shared" ref="M185:M192" si="154">+L185/SUMIF(C:C,C185,L:L)</f>
        <v>0</v>
      </c>
      <c r="N185" s="14"/>
    </row>
    <row r="186" spans="1:17" x14ac:dyDescent="0.25">
      <c r="A186" s="20">
        <v>44517</v>
      </c>
      <c r="B186" s="1">
        <f>B182</f>
        <v>16</v>
      </c>
      <c r="C186" s="1" t="s">
        <v>93</v>
      </c>
      <c r="D186" s="1" t="s">
        <v>181</v>
      </c>
      <c r="E186" s="26" t="e">
        <f t="shared" ref="E186:F186" si="155">+E185</f>
        <v>#REF!</v>
      </c>
      <c r="F186" s="26" t="e">
        <f t="shared" si="155"/>
        <v>#REF!</v>
      </c>
      <c r="G186" s="17">
        <v>5</v>
      </c>
      <c r="H186" s="17" t="s">
        <v>9</v>
      </c>
      <c r="I186" s="30" t="s">
        <v>34</v>
      </c>
      <c r="J186" s="22"/>
      <c r="K186" s="22"/>
      <c r="L186" s="8">
        <f t="shared" si="151"/>
        <v>0</v>
      </c>
      <c r="M186" s="24">
        <f t="shared" si="154"/>
        <v>0</v>
      </c>
      <c r="N186" s="14"/>
    </row>
    <row r="187" spans="1:17" x14ac:dyDescent="0.25">
      <c r="A187" s="20">
        <v>44517</v>
      </c>
      <c r="B187" s="1">
        <f>B182</f>
        <v>16</v>
      </c>
      <c r="C187" s="1" t="s">
        <v>93</v>
      </c>
      <c r="D187" s="1" t="s">
        <v>181</v>
      </c>
      <c r="E187" s="26" t="e">
        <f t="shared" ref="E187:F187" si="156">+E186</f>
        <v>#REF!</v>
      </c>
      <c r="F187" s="26" t="e">
        <f t="shared" si="156"/>
        <v>#REF!</v>
      </c>
      <c r="G187" s="17">
        <v>6</v>
      </c>
      <c r="H187" s="17" t="s">
        <v>9</v>
      </c>
      <c r="I187" s="30" t="s">
        <v>35</v>
      </c>
      <c r="J187" s="22"/>
      <c r="K187" s="22"/>
      <c r="L187" s="8">
        <f t="shared" si="151"/>
        <v>0</v>
      </c>
      <c r="M187" s="24">
        <f t="shared" si="154"/>
        <v>0</v>
      </c>
      <c r="N187" s="14"/>
    </row>
    <row r="188" spans="1:17" x14ac:dyDescent="0.25">
      <c r="A188" s="20">
        <v>44517</v>
      </c>
      <c r="B188" s="1">
        <f>B182</f>
        <v>16</v>
      </c>
      <c r="C188" s="1" t="s">
        <v>93</v>
      </c>
      <c r="D188" s="1" t="s">
        <v>181</v>
      </c>
      <c r="E188" s="26" t="e">
        <f t="shared" ref="E188:F188" si="157">+E187</f>
        <v>#REF!</v>
      </c>
      <c r="F188" s="26" t="e">
        <f t="shared" si="157"/>
        <v>#REF!</v>
      </c>
      <c r="G188" s="17">
        <v>7</v>
      </c>
      <c r="H188" s="17" t="s">
        <v>9</v>
      </c>
      <c r="I188" s="30" t="s">
        <v>36</v>
      </c>
      <c r="J188" s="22"/>
      <c r="K188" s="22"/>
      <c r="L188" s="8">
        <f t="shared" si="151"/>
        <v>0</v>
      </c>
      <c r="M188" s="24">
        <f t="shared" si="154"/>
        <v>0</v>
      </c>
      <c r="N188" s="14"/>
    </row>
    <row r="189" spans="1:17" x14ac:dyDescent="0.25">
      <c r="A189" s="20">
        <v>44517</v>
      </c>
      <c r="B189" s="1">
        <f>B182</f>
        <v>16</v>
      </c>
      <c r="C189" s="1" t="s">
        <v>93</v>
      </c>
      <c r="D189" s="1" t="s">
        <v>181</v>
      </c>
      <c r="E189" s="26" t="e">
        <f>+E188</f>
        <v>#REF!</v>
      </c>
      <c r="F189" s="26" t="e">
        <f>+F188</f>
        <v>#REF!</v>
      </c>
      <c r="G189" s="17">
        <v>8</v>
      </c>
      <c r="H189" s="17" t="s">
        <v>9</v>
      </c>
      <c r="I189" s="30" t="s">
        <v>59</v>
      </c>
      <c r="J189" s="22">
        <v>8.8000000000000007</v>
      </c>
      <c r="K189" s="22">
        <v>8.5500000000000007</v>
      </c>
      <c r="L189" s="8">
        <f t="shared" si="151"/>
        <v>0.25</v>
      </c>
      <c r="M189" s="24">
        <f t="shared" si="154"/>
        <v>1.1013215859030838E-2</v>
      </c>
      <c r="N189" s="14"/>
    </row>
    <row r="190" spans="1:17" x14ac:dyDescent="0.25">
      <c r="A190" s="20">
        <v>44517</v>
      </c>
      <c r="B190" s="1">
        <f>B182</f>
        <v>16</v>
      </c>
      <c r="C190" s="1" t="s">
        <v>93</v>
      </c>
      <c r="D190" s="1" t="s">
        <v>181</v>
      </c>
      <c r="E190" s="26" t="e">
        <f t="shared" ref="E190:F190" si="158">+E189</f>
        <v>#REF!</v>
      </c>
      <c r="F190" s="26" t="e">
        <f t="shared" si="158"/>
        <v>#REF!</v>
      </c>
      <c r="G190" s="17">
        <v>9</v>
      </c>
      <c r="H190" s="17" t="s">
        <v>9</v>
      </c>
      <c r="I190" s="30" t="s">
        <v>38</v>
      </c>
      <c r="J190" s="22"/>
      <c r="K190" s="22"/>
      <c r="L190" s="8">
        <f t="shared" si="151"/>
        <v>0</v>
      </c>
      <c r="M190" s="24">
        <f t="shared" si="154"/>
        <v>0</v>
      </c>
      <c r="N190" s="14"/>
    </row>
    <row r="191" spans="1:17" x14ac:dyDescent="0.25">
      <c r="A191" s="20">
        <v>44517</v>
      </c>
      <c r="B191" s="1">
        <f>B182</f>
        <v>16</v>
      </c>
      <c r="C191" s="1" t="s">
        <v>93</v>
      </c>
      <c r="D191" s="1" t="s">
        <v>181</v>
      </c>
      <c r="E191" s="26" t="e">
        <f t="shared" ref="E191:F191" si="159">+E190</f>
        <v>#REF!</v>
      </c>
      <c r="F191" s="26" t="e">
        <f t="shared" si="159"/>
        <v>#REF!</v>
      </c>
      <c r="G191" s="17">
        <v>10</v>
      </c>
      <c r="H191" s="17" t="s">
        <v>9</v>
      </c>
      <c r="I191" s="30" t="s">
        <v>23</v>
      </c>
      <c r="J191" s="22">
        <f>19.15+10.3+11.75+12.5</f>
        <v>53.7</v>
      </c>
      <c r="K191" s="22">
        <f>6.05+8.5+8.55+8.55</f>
        <v>31.650000000000002</v>
      </c>
      <c r="L191" s="8">
        <f t="shared" si="151"/>
        <v>22.05</v>
      </c>
      <c r="M191" s="24">
        <f t="shared" si="154"/>
        <v>0.97136563876651993</v>
      </c>
      <c r="N191" s="14"/>
    </row>
    <row r="192" spans="1:17" x14ac:dyDescent="0.25">
      <c r="A192" s="20">
        <v>44517</v>
      </c>
      <c r="B192" s="1">
        <f>B182</f>
        <v>16</v>
      </c>
      <c r="C192" s="1" t="s">
        <v>93</v>
      </c>
      <c r="D192" s="1" t="s">
        <v>181</v>
      </c>
      <c r="E192" s="26" t="e">
        <f t="shared" ref="E192:F192" si="160">+E191</f>
        <v>#REF!</v>
      </c>
      <c r="F192" s="26" t="e">
        <f t="shared" si="160"/>
        <v>#REF!</v>
      </c>
      <c r="G192" s="17">
        <v>11</v>
      </c>
      <c r="H192" s="17" t="s">
        <v>9</v>
      </c>
      <c r="I192" s="30" t="s">
        <v>60</v>
      </c>
      <c r="J192" s="22"/>
      <c r="K192" s="22"/>
      <c r="L192" s="8">
        <f t="shared" si="151"/>
        <v>0</v>
      </c>
      <c r="M192" s="24">
        <f t="shared" si="154"/>
        <v>0</v>
      </c>
      <c r="N192" s="14"/>
    </row>
    <row r="193" spans="1:17" s="2" customFormat="1" ht="15.75" thickBot="1" x14ac:dyDescent="0.3">
      <c r="A193" s="60">
        <v>44517</v>
      </c>
      <c r="B193" s="57">
        <f>B182</f>
        <v>16</v>
      </c>
      <c r="C193" s="57" t="s">
        <v>93</v>
      </c>
      <c r="D193" s="57" t="s">
        <v>181</v>
      </c>
      <c r="E193" s="61" t="e">
        <f t="shared" ref="E193:F193" si="161">+E192</f>
        <v>#REF!</v>
      </c>
      <c r="F193" s="61" t="e">
        <f t="shared" si="161"/>
        <v>#REF!</v>
      </c>
      <c r="G193" s="62">
        <f>+G192+1</f>
        <v>12</v>
      </c>
      <c r="H193" s="62" t="s">
        <v>10</v>
      </c>
      <c r="I193" s="46" t="s">
        <v>10</v>
      </c>
      <c r="J193" s="63">
        <v>8.9499999999999993</v>
      </c>
      <c r="K193" s="63">
        <v>8.5500000000000007</v>
      </c>
      <c r="L193" s="64">
        <f t="shared" si="151"/>
        <v>0.39999999999999858</v>
      </c>
      <c r="M193" s="65">
        <f>+L193/SUMIF(C:C,C193,L:L)</f>
        <v>1.7621145374449278E-2</v>
      </c>
      <c r="N193" s="66"/>
      <c r="Q193" s="5"/>
    </row>
    <row r="194" spans="1:17" x14ac:dyDescent="0.25">
      <c r="A194" s="19">
        <v>44517</v>
      </c>
      <c r="B194" s="15">
        <f>B182+1</f>
        <v>17</v>
      </c>
      <c r="C194" s="15" t="s">
        <v>94</v>
      </c>
      <c r="D194" s="15" t="s">
        <v>22</v>
      </c>
      <c r="E194" s="25">
        <f>22.2-1.2</f>
        <v>21</v>
      </c>
      <c r="F194" s="25">
        <f>+SUM(L194:L205)</f>
        <v>20.899999999999991</v>
      </c>
      <c r="G194" s="16">
        <v>1</v>
      </c>
      <c r="H194" s="16" t="s">
        <v>9</v>
      </c>
      <c r="I194" s="59" t="s">
        <v>56</v>
      </c>
      <c r="J194" s="21"/>
      <c r="K194" s="21"/>
      <c r="L194" s="12">
        <f>+J194-K194</f>
        <v>0</v>
      </c>
      <c r="M194" s="23">
        <f>+L194/SUMIF(C:C,C194,L:L)</f>
        <v>0</v>
      </c>
      <c r="N194" s="13"/>
      <c r="O194" t="s">
        <v>97</v>
      </c>
    </row>
    <row r="195" spans="1:17" x14ac:dyDescent="0.25">
      <c r="A195" s="20">
        <v>44517</v>
      </c>
      <c r="B195" s="1">
        <f>B194</f>
        <v>17</v>
      </c>
      <c r="C195" s="1" t="s">
        <v>94</v>
      </c>
      <c r="D195" s="1" t="s">
        <v>22</v>
      </c>
      <c r="E195" s="26">
        <f>+E194</f>
        <v>21</v>
      </c>
      <c r="F195" s="28">
        <f>+(F194-E194)/E194</f>
        <v>-4.7619047619051683E-3</v>
      </c>
      <c r="G195" s="17">
        <v>2</v>
      </c>
      <c r="H195" s="17" t="s">
        <v>9</v>
      </c>
      <c r="I195" s="30" t="s">
        <v>57</v>
      </c>
      <c r="J195" s="22">
        <v>0.75</v>
      </c>
      <c r="K195" s="22">
        <v>0.55000000000000004</v>
      </c>
      <c r="L195" s="8">
        <f t="shared" ref="L195:L205" si="162">+J195-K195</f>
        <v>0.19999999999999996</v>
      </c>
      <c r="M195" s="24">
        <f t="shared" ref="M195" si="163">+L195/SUMIF(C:C,C195,L:L)</f>
        <v>9.5693779904306234E-3</v>
      </c>
      <c r="N195" s="14"/>
    </row>
    <row r="196" spans="1:17" x14ac:dyDescent="0.25">
      <c r="A196" s="20">
        <v>44517</v>
      </c>
      <c r="B196" s="1">
        <f>B194</f>
        <v>17</v>
      </c>
      <c r="C196" s="1" t="s">
        <v>94</v>
      </c>
      <c r="D196" s="1" t="s">
        <v>22</v>
      </c>
      <c r="E196" s="26" t="e">
        <f>+#REF!</f>
        <v>#REF!</v>
      </c>
      <c r="F196" s="26" t="e">
        <f>+#REF!</f>
        <v>#REF!</v>
      </c>
      <c r="G196" s="17">
        <v>3</v>
      </c>
      <c r="H196" s="17" t="s">
        <v>9</v>
      </c>
      <c r="I196" s="30" t="s">
        <v>58</v>
      </c>
      <c r="J196" s="22">
        <v>0.8</v>
      </c>
      <c r="K196" s="22">
        <v>0.5</v>
      </c>
      <c r="L196" s="8">
        <f t="shared" si="162"/>
        <v>0.30000000000000004</v>
      </c>
      <c r="M196" s="24">
        <f>+L196/SUMIF(C:C,C196,L:L)</f>
        <v>1.435406698564594E-2</v>
      </c>
      <c r="N196" s="14"/>
    </row>
    <row r="197" spans="1:17" x14ac:dyDescent="0.25">
      <c r="A197" s="20">
        <v>44517</v>
      </c>
      <c r="B197" s="1">
        <f>B194</f>
        <v>17</v>
      </c>
      <c r="C197" s="1" t="s">
        <v>94</v>
      </c>
      <c r="D197" s="1" t="s">
        <v>22</v>
      </c>
      <c r="E197" s="26" t="e">
        <f t="shared" ref="E197:F197" si="164">+E196</f>
        <v>#REF!</v>
      </c>
      <c r="F197" s="26" t="e">
        <f t="shared" si="164"/>
        <v>#REF!</v>
      </c>
      <c r="G197" s="17">
        <v>4</v>
      </c>
      <c r="H197" s="17" t="s">
        <v>9</v>
      </c>
      <c r="I197" s="30" t="s">
        <v>22</v>
      </c>
      <c r="J197" s="22">
        <f>12.6+13.45+13.8+12.5</f>
        <v>52.349999999999994</v>
      </c>
      <c r="K197" s="22">
        <f>8.25+8.55+8.3+8.5</f>
        <v>33.6</v>
      </c>
      <c r="L197" s="8">
        <f t="shared" si="162"/>
        <v>18.749999999999993</v>
      </c>
      <c r="M197" s="24">
        <f t="shared" ref="M197:M204" si="165">+L197/SUMIF(C:C,C197,L:L)</f>
        <v>0.89712918660287089</v>
      </c>
      <c r="N197" s="14"/>
    </row>
    <row r="198" spans="1:17" x14ac:dyDescent="0.25">
      <c r="A198" s="20">
        <v>44517</v>
      </c>
      <c r="B198" s="1">
        <f>B194</f>
        <v>17</v>
      </c>
      <c r="C198" s="1" t="s">
        <v>94</v>
      </c>
      <c r="D198" s="1" t="s">
        <v>22</v>
      </c>
      <c r="E198" s="26" t="e">
        <f t="shared" ref="E198:F198" si="166">+E197</f>
        <v>#REF!</v>
      </c>
      <c r="F198" s="26" t="e">
        <f t="shared" si="166"/>
        <v>#REF!</v>
      </c>
      <c r="G198" s="17">
        <v>5</v>
      </c>
      <c r="H198" s="17" t="s">
        <v>9</v>
      </c>
      <c r="I198" s="30" t="s">
        <v>34</v>
      </c>
      <c r="J198" s="22">
        <v>0.6</v>
      </c>
      <c r="K198" s="22">
        <v>0.55000000000000004</v>
      </c>
      <c r="L198" s="8">
        <f t="shared" si="162"/>
        <v>4.9999999999999933E-2</v>
      </c>
      <c r="M198" s="24">
        <f t="shared" si="165"/>
        <v>2.3923444976076532E-3</v>
      </c>
      <c r="N198" s="14"/>
    </row>
    <row r="199" spans="1:17" x14ac:dyDescent="0.25">
      <c r="A199" s="20">
        <v>44517</v>
      </c>
      <c r="B199" s="1">
        <f>B194</f>
        <v>17</v>
      </c>
      <c r="C199" s="1" t="s">
        <v>94</v>
      </c>
      <c r="D199" s="1" t="s">
        <v>22</v>
      </c>
      <c r="E199" s="26" t="e">
        <f t="shared" ref="E199:F199" si="167">+E198</f>
        <v>#REF!</v>
      </c>
      <c r="F199" s="26" t="e">
        <f t="shared" si="167"/>
        <v>#REF!</v>
      </c>
      <c r="G199" s="17">
        <v>6</v>
      </c>
      <c r="H199" s="17" t="s">
        <v>9</v>
      </c>
      <c r="I199" s="30" t="s">
        <v>35</v>
      </c>
      <c r="J199" s="22"/>
      <c r="K199" s="22"/>
      <c r="L199" s="8">
        <f t="shared" si="162"/>
        <v>0</v>
      </c>
      <c r="M199" s="24">
        <f t="shared" si="165"/>
        <v>0</v>
      </c>
      <c r="N199" s="14"/>
    </row>
    <row r="200" spans="1:17" x14ac:dyDescent="0.25">
      <c r="A200" s="20">
        <v>44517</v>
      </c>
      <c r="B200" s="1">
        <f>B194</f>
        <v>17</v>
      </c>
      <c r="C200" s="1" t="s">
        <v>94</v>
      </c>
      <c r="D200" s="1" t="s">
        <v>22</v>
      </c>
      <c r="E200" s="26" t="e">
        <f t="shared" ref="E200:F200" si="168">+E199</f>
        <v>#REF!</v>
      </c>
      <c r="F200" s="26" t="e">
        <f t="shared" si="168"/>
        <v>#REF!</v>
      </c>
      <c r="G200" s="17">
        <v>7</v>
      </c>
      <c r="H200" s="17" t="s">
        <v>9</v>
      </c>
      <c r="I200" s="30" t="s">
        <v>36</v>
      </c>
      <c r="J200" s="22"/>
      <c r="K200" s="22"/>
      <c r="L200" s="8">
        <f t="shared" si="162"/>
        <v>0</v>
      </c>
      <c r="M200" s="24">
        <f t="shared" si="165"/>
        <v>0</v>
      </c>
      <c r="N200" s="14"/>
    </row>
    <row r="201" spans="1:17" x14ac:dyDescent="0.25">
      <c r="A201" s="20">
        <v>44517</v>
      </c>
      <c r="B201" s="1">
        <f>B194</f>
        <v>17</v>
      </c>
      <c r="C201" s="1" t="s">
        <v>94</v>
      </c>
      <c r="D201" s="1" t="s">
        <v>22</v>
      </c>
      <c r="E201" s="26" t="e">
        <f>+E200</f>
        <v>#REF!</v>
      </c>
      <c r="F201" s="26" t="e">
        <f>+F200</f>
        <v>#REF!</v>
      </c>
      <c r="G201" s="17">
        <v>8</v>
      </c>
      <c r="H201" s="17" t="s">
        <v>9</v>
      </c>
      <c r="I201" s="30" t="s">
        <v>59</v>
      </c>
      <c r="J201" s="22">
        <f>9.25</f>
        <v>9.25</v>
      </c>
      <c r="K201" s="22">
        <v>8.5500000000000007</v>
      </c>
      <c r="L201" s="8">
        <f t="shared" si="162"/>
        <v>0.69999999999999929</v>
      </c>
      <c r="M201" s="24">
        <f t="shared" si="165"/>
        <v>3.3492822966507158E-2</v>
      </c>
      <c r="N201" s="14"/>
    </row>
    <row r="202" spans="1:17" x14ac:dyDescent="0.25">
      <c r="A202" s="20">
        <v>44517</v>
      </c>
      <c r="B202" s="1">
        <f>B194</f>
        <v>17</v>
      </c>
      <c r="C202" s="1" t="s">
        <v>94</v>
      </c>
      <c r="D202" s="1" t="s">
        <v>22</v>
      </c>
      <c r="E202" s="26" t="e">
        <f t="shared" ref="E202:F202" si="169">+E201</f>
        <v>#REF!</v>
      </c>
      <c r="F202" s="26" t="e">
        <f t="shared" si="169"/>
        <v>#REF!</v>
      </c>
      <c r="G202" s="17">
        <v>9</v>
      </c>
      <c r="H202" s="17" t="s">
        <v>9</v>
      </c>
      <c r="I202" s="30" t="s">
        <v>38</v>
      </c>
      <c r="J202" s="22"/>
      <c r="K202" s="22"/>
      <c r="L202" s="8">
        <f t="shared" si="162"/>
        <v>0</v>
      </c>
      <c r="M202" s="24">
        <f t="shared" si="165"/>
        <v>0</v>
      </c>
      <c r="N202" s="14"/>
    </row>
    <row r="203" spans="1:17" x14ac:dyDescent="0.25">
      <c r="A203" s="20">
        <v>44517</v>
      </c>
      <c r="B203" s="1">
        <f>B194</f>
        <v>17</v>
      </c>
      <c r="C203" s="1" t="s">
        <v>94</v>
      </c>
      <c r="D203" s="1" t="s">
        <v>22</v>
      </c>
      <c r="E203" s="26" t="e">
        <f t="shared" ref="E203:F203" si="170">+E202</f>
        <v>#REF!</v>
      </c>
      <c r="F203" s="26" t="e">
        <f t="shared" si="170"/>
        <v>#REF!</v>
      </c>
      <c r="G203" s="17">
        <v>10</v>
      </c>
      <c r="H203" s="17" t="s">
        <v>9</v>
      </c>
      <c r="I203" s="30" t="s">
        <v>23</v>
      </c>
      <c r="J203" s="22">
        <v>9.0500000000000007</v>
      </c>
      <c r="K203" s="22">
        <v>8.5500000000000007</v>
      </c>
      <c r="L203" s="8">
        <f t="shared" si="162"/>
        <v>0.5</v>
      </c>
      <c r="M203" s="24">
        <f t="shared" si="165"/>
        <v>2.3923444976076565E-2</v>
      </c>
      <c r="N203" s="14"/>
    </row>
    <row r="204" spans="1:17" x14ac:dyDescent="0.25">
      <c r="A204" s="20">
        <v>44517</v>
      </c>
      <c r="B204" s="1">
        <f>B194</f>
        <v>17</v>
      </c>
      <c r="C204" s="1" t="s">
        <v>94</v>
      </c>
      <c r="D204" s="1" t="s">
        <v>22</v>
      </c>
      <c r="E204" s="26" t="e">
        <f t="shared" ref="E204:F204" si="171">+E203</f>
        <v>#REF!</v>
      </c>
      <c r="F204" s="26" t="e">
        <f t="shared" si="171"/>
        <v>#REF!</v>
      </c>
      <c r="G204" s="17">
        <v>11</v>
      </c>
      <c r="H204" s="17" t="s">
        <v>9</v>
      </c>
      <c r="I204" s="30" t="s">
        <v>60</v>
      </c>
      <c r="J204" s="22"/>
      <c r="K204" s="22"/>
      <c r="L204" s="8">
        <f t="shared" si="162"/>
        <v>0</v>
      </c>
      <c r="M204" s="24">
        <f t="shared" si="165"/>
        <v>0</v>
      </c>
      <c r="N204" s="14"/>
    </row>
    <row r="205" spans="1:17" s="2" customFormat="1" ht="15.75" thickBot="1" x14ac:dyDescent="0.3">
      <c r="A205" s="60">
        <v>44517</v>
      </c>
      <c r="B205" s="57">
        <f>B194</f>
        <v>17</v>
      </c>
      <c r="C205" s="57" t="s">
        <v>94</v>
      </c>
      <c r="D205" s="57" t="s">
        <v>22</v>
      </c>
      <c r="E205" s="61" t="e">
        <f t="shared" ref="E205:F205" si="172">+E204</f>
        <v>#REF!</v>
      </c>
      <c r="F205" s="61" t="e">
        <f t="shared" si="172"/>
        <v>#REF!</v>
      </c>
      <c r="G205" s="62">
        <f>+G204+1</f>
        <v>12</v>
      </c>
      <c r="H205" s="62" t="s">
        <v>10</v>
      </c>
      <c r="I205" s="46" t="s">
        <v>10</v>
      </c>
      <c r="J205" s="63">
        <f>8.8+8.7</f>
        <v>17.5</v>
      </c>
      <c r="K205" s="63">
        <f>8.55+8.55</f>
        <v>17.100000000000001</v>
      </c>
      <c r="L205" s="64">
        <f t="shared" si="162"/>
        <v>0.39999999999999858</v>
      </c>
      <c r="M205" s="65">
        <f>+L205/SUMIF(C:C,C205,L:L)</f>
        <v>1.9138755980861184E-2</v>
      </c>
      <c r="N205" s="66"/>
      <c r="Q205" s="5"/>
    </row>
    <row r="206" spans="1:17" x14ac:dyDescent="0.25">
      <c r="A206" s="19">
        <v>44517</v>
      </c>
      <c r="B206" s="15">
        <f>B194+1</f>
        <v>18</v>
      </c>
      <c r="C206" s="15" t="s">
        <v>95</v>
      </c>
      <c r="D206" s="15" t="s">
        <v>22</v>
      </c>
      <c r="E206" s="25">
        <f>32-1.2</f>
        <v>30.8</v>
      </c>
      <c r="F206" s="25">
        <f>+SUM(L206:L217)</f>
        <v>30.449999999999989</v>
      </c>
      <c r="G206" s="16">
        <v>1</v>
      </c>
      <c r="H206" s="16" t="s">
        <v>9</v>
      </c>
      <c r="I206" s="59" t="s">
        <v>56</v>
      </c>
      <c r="J206" s="21"/>
      <c r="K206" s="21"/>
      <c r="L206" s="12">
        <f>+J206-K206</f>
        <v>0</v>
      </c>
      <c r="M206" s="23">
        <f>+L206/SUMIF(C:C,C206,L:L)</f>
        <v>0</v>
      </c>
      <c r="N206" s="13"/>
      <c r="O206" t="s">
        <v>96</v>
      </c>
    </row>
    <row r="207" spans="1:17" x14ac:dyDescent="0.25">
      <c r="A207" s="20">
        <v>44517</v>
      </c>
      <c r="B207" s="1">
        <f>B206</f>
        <v>18</v>
      </c>
      <c r="C207" s="1" t="s">
        <v>95</v>
      </c>
      <c r="D207" s="1" t="s">
        <v>22</v>
      </c>
      <c r="E207" s="26">
        <f>+E206</f>
        <v>30.8</v>
      </c>
      <c r="F207" s="28">
        <f>+(F206-E206)/E206</f>
        <v>-1.1363636363636756E-2</v>
      </c>
      <c r="G207" s="17">
        <v>2</v>
      </c>
      <c r="H207" s="17" t="s">
        <v>9</v>
      </c>
      <c r="I207" s="30" t="s">
        <v>57</v>
      </c>
      <c r="J207" s="22">
        <v>1.35</v>
      </c>
      <c r="K207" s="22">
        <v>0.55000000000000004</v>
      </c>
      <c r="L207" s="8">
        <f t="shared" ref="L207:L217" si="173">+J207-K207</f>
        <v>0.8</v>
      </c>
      <c r="M207" s="24">
        <f t="shared" ref="M207" si="174">+L207/SUMIF(C:C,C207,L:L)</f>
        <v>2.6272577996715937E-2</v>
      </c>
      <c r="N207" s="14"/>
      <c r="O207" t="s">
        <v>98</v>
      </c>
    </row>
    <row r="208" spans="1:17" x14ac:dyDescent="0.25">
      <c r="A208" s="20">
        <v>44517</v>
      </c>
      <c r="B208" s="1">
        <f>B206</f>
        <v>18</v>
      </c>
      <c r="C208" s="1" t="s">
        <v>95</v>
      </c>
      <c r="D208" s="1" t="s">
        <v>22</v>
      </c>
      <c r="E208" s="26" t="e">
        <f>+#REF!</f>
        <v>#REF!</v>
      </c>
      <c r="F208" s="26" t="e">
        <f>+#REF!</f>
        <v>#REF!</v>
      </c>
      <c r="G208" s="17">
        <v>3</v>
      </c>
      <c r="H208" s="17" t="s">
        <v>9</v>
      </c>
      <c r="I208" s="30" t="s">
        <v>58</v>
      </c>
      <c r="J208" s="22">
        <f>1.15</f>
        <v>1.1499999999999999</v>
      </c>
      <c r="K208" s="22">
        <v>0.55000000000000004</v>
      </c>
      <c r="L208" s="8">
        <f t="shared" si="173"/>
        <v>0.59999999999999987</v>
      </c>
      <c r="M208" s="24">
        <f>+L208/SUMIF(C:C,C208,L:L)</f>
        <v>1.970443349753695E-2</v>
      </c>
      <c r="N208" s="14"/>
      <c r="O208" t="s">
        <v>99</v>
      </c>
    </row>
    <row r="209" spans="1:17" x14ac:dyDescent="0.25">
      <c r="A209" s="20">
        <v>44517</v>
      </c>
      <c r="B209" s="1">
        <f>B206</f>
        <v>18</v>
      </c>
      <c r="C209" s="1" t="s">
        <v>95</v>
      </c>
      <c r="D209" s="1" t="s">
        <v>22</v>
      </c>
      <c r="E209" s="26" t="e">
        <f t="shared" ref="E209:F209" si="175">+E208</f>
        <v>#REF!</v>
      </c>
      <c r="F209" s="26" t="e">
        <f t="shared" si="175"/>
        <v>#REF!</v>
      </c>
      <c r="G209" s="17">
        <v>4</v>
      </c>
      <c r="H209" s="17" t="s">
        <v>9</v>
      </c>
      <c r="I209" s="30" t="s">
        <v>22</v>
      </c>
      <c r="J209" s="22">
        <f>13.05+15.05+13.65+14.7+10.95</f>
        <v>67.400000000000006</v>
      </c>
      <c r="K209" s="22">
        <f>8.5+8.55+8.3+8.25+8.3</f>
        <v>41.900000000000006</v>
      </c>
      <c r="L209" s="8">
        <f t="shared" si="173"/>
        <v>25.5</v>
      </c>
      <c r="M209" s="24">
        <f t="shared" ref="M209:M216" si="176">+L209/SUMIF(C:C,C209,L:L)</f>
        <v>0.83743842364532051</v>
      </c>
      <c r="N209" s="14"/>
    </row>
    <row r="210" spans="1:17" x14ac:dyDescent="0.25">
      <c r="A210" s="20">
        <v>44517</v>
      </c>
      <c r="B210" s="1">
        <f>B206</f>
        <v>18</v>
      </c>
      <c r="C210" s="1" t="s">
        <v>95</v>
      </c>
      <c r="D210" s="1" t="s">
        <v>22</v>
      </c>
      <c r="E210" s="26" t="e">
        <f t="shared" ref="E210:F210" si="177">+E209</f>
        <v>#REF!</v>
      </c>
      <c r="F210" s="26" t="e">
        <f t="shared" si="177"/>
        <v>#REF!</v>
      </c>
      <c r="G210" s="17">
        <v>5</v>
      </c>
      <c r="H210" s="17" t="s">
        <v>9</v>
      </c>
      <c r="I210" s="30" t="s">
        <v>34</v>
      </c>
      <c r="J210" s="22">
        <f>0.55</f>
        <v>0.55000000000000004</v>
      </c>
      <c r="K210" s="22">
        <v>0.5</v>
      </c>
      <c r="L210" s="8">
        <f t="shared" si="173"/>
        <v>5.0000000000000044E-2</v>
      </c>
      <c r="M210" s="24">
        <f t="shared" si="176"/>
        <v>1.6420361247947476E-3</v>
      </c>
      <c r="N210" s="14"/>
    </row>
    <row r="211" spans="1:17" x14ac:dyDescent="0.25">
      <c r="A211" s="20">
        <v>44517</v>
      </c>
      <c r="B211" s="1">
        <f>B206</f>
        <v>18</v>
      </c>
      <c r="C211" s="1" t="s">
        <v>95</v>
      </c>
      <c r="D211" s="1" t="s">
        <v>22</v>
      </c>
      <c r="E211" s="26" t="e">
        <f t="shared" ref="E211:F211" si="178">+E210</f>
        <v>#REF!</v>
      </c>
      <c r="F211" s="26" t="e">
        <f t="shared" si="178"/>
        <v>#REF!</v>
      </c>
      <c r="G211" s="17">
        <v>6</v>
      </c>
      <c r="H211" s="17" t="s">
        <v>9</v>
      </c>
      <c r="I211" s="30" t="s">
        <v>35</v>
      </c>
      <c r="J211" s="22"/>
      <c r="K211" s="22"/>
      <c r="L211" s="8">
        <f t="shared" si="173"/>
        <v>0</v>
      </c>
      <c r="M211" s="24">
        <f t="shared" si="176"/>
        <v>0</v>
      </c>
      <c r="N211" s="14"/>
    </row>
    <row r="212" spans="1:17" x14ac:dyDescent="0.25">
      <c r="A212" s="20">
        <v>44517</v>
      </c>
      <c r="B212" s="1">
        <f>B206</f>
        <v>18</v>
      </c>
      <c r="C212" s="1" t="s">
        <v>95</v>
      </c>
      <c r="D212" s="1" t="s">
        <v>22</v>
      </c>
      <c r="E212" s="26" t="e">
        <f t="shared" ref="E212:F212" si="179">+E211</f>
        <v>#REF!</v>
      </c>
      <c r="F212" s="26" t="e">
        <f t="shared" si="179"/>
        <v>#REF!</v>
      </c>
      <c r="G212" s="17">
        <v>7</v>
      </c>
      <c r="H212" s="17" t="s">
        <v>9</v>
      </c>
      <c r="I212" s="30" t="s">
        <v>36</v>
      </c>
      <c r="J212" s="22"/>
      <c r="K212" s="22"/>
      <c r="L212" s="8">
        <f t="shared" si="173"/>
        <v>0</v>
      </c>
      <c r="M212" s="24">
        <f t="shared" si="176"/>
        <v>0</v>
      </c>
      <c r="N212" s="14"/>
    </row>
    <row r="213" spans="1:17" x14ac:dyDescent="0.25">
      <c r="A213" s="20">
        <v>44517</v>
      </c>
      <c r="B213" s="1">
        <f>B206</f>
        <v>18</v>
      </c>
      <c r="C213" s="1" t="s">
        <v>95</v>
      </c>
      <c r="D213" s="1" t="s">
        <v>22</v>
      </c>
      <c r="E213" s="26" t="e">
        <f>+E212</f>
        <v>#REF!</v>
      </c>
      <c r="F213" s="26" t="e">
        <f>+F212</f>
        <v>#REF!</v>
      </c>
      <c r="G213" s="17">
        <v>8</v>
      </c>
      <c r="H213" s="17" t="s">
        <v>9</v>
      </c>
      <c r="I213" s="30" t="s">
        <v>59</v>
      </c>
      <c r="J213" s="22">
        <f>0.6+8.95</f>
        <v>9.5499999999999989</v>
      </c>
      <c r="K213" s="22">
        <f>0.5+8.55</f>
        <v>9.0500000000000007</v>
      </c>
      <c r="L213" s="8">
        <f t="shared" si="173"/>
        <v>0.49999999999999822</v>
      </c>
      <c r="M213" s="24">
        <f t="shared" si="176"/>
        <v>1.6420361247947404E-2</v>
      </c>
      <c r="N213" s="14"/>
    </row>
    <row r="214" spans="1:17" x14ac:dyDescent="0.25">
      <c r="A214" s="20">
        <v>44517</v>
      </c>
      <c r="B214" s="1">
        <f>B206</f>
        <v>18</v>
      </c>
      <c r="C214" s="1" t="s">
        <v>95</v>
      </c>
      <c r="D214" s="1" t="s">
        <v>22</v>
      </c>
      <c r="E214" s="26" t="e">
        <f t="shared" ref="E214:F214" si="180">+E213</f>
        <v>#REF!</v>
      </c>
      <c r="F214" s="26" t="e">
        <f t="shared" si="180"/>
        <v>#REF!</v>
      </c>
      <c r="G214" s="17">
        <v>9</v>
      </c>
      <c r="H214" s="17" t="s">
        <v>9</v>
      </c>
      <c r="I214" s="30" t="s">
        <v>38</v>
      </c>
      <c r="J214" s="22"/>
      <c r="K214" s="22"/>
      <c r="L214" s="8">
        <f t="shared" si="173"/>
        <v>0</v>
      </c>
      <c r="M214" s="24">
        <f t="shared" si="176"/>
        <v>0</v>
      </c>
      <c r="N214" s="14"/>
    </row>
    <row r="215" spans="1:17" x14ac:dyDescent="0.25">
      <c r="A215" s="20">
        <v>44517</v>
      </c>
      <c r="B215" s="1">
        <f>B206</f>
        <v>18</v>
      </c>
      <c r="C215" s="1" t="s">
        <v>95</v>
      </c>
      <c r="D215" s="1" t="s">
        <v>22</v>
      </c>
      <c r="E215" s="26" t="e">
        <f t="shared" ref="E215:F215" si="181">+E214</f>
        <v>#REF!</v>
      </c>
      <c r="F215" s="26" t="e">
        <f t="shared" si="181"/>
        <v>#REF!</v>
      </c>
      <c r="G215" s="17">
        <v>10</v>
      </c>
      <c r="H215" s="17" t="s">
        <v>9</v>
      </c>
      <c r="I215" s="30" t="s">
        <v>23</v>
      </c>
      <c r="J215" s="22">
        <f>9.6</f>
        <v>9.6</v>
      </c>
      <c r="K215" s="22">
        <f>8.55</f>
        <v>8.5500000000000007</v>
      </c>
      <c r="L215" s="8">
        <f t="shared" si="173"/>
        <v>1.0499999999999989</v>
      </c>
      <c r="M215" s="24">
        <f t="shared" si="176"/>
        <v>3.4482758620689634E-2</v>
      </c>
      <c r="N215" s="14"/>
    </row>
    <row r="216" spans="1:17" x14ac:dyDescent="0.25">
      <c r="A216" s="20">
        <v>44517</v>
      </c>
      <c r="B216" s="1">
        <f>B206</f>
        <v>18</v>
      </c>
      <c r="C216" s="1" t="s">
        <v>95</v>
      </c>
      <c r="D216" s="1" t="s">
        <v>22</v>
      </c>
      <c r="E216" s="26" t="e">
        <f t="shared" ref="E216:F216" si="182">+E215</f>
        <v>#REF!</v>
      </c>
      <c r="F216" s="26" t="e">
        <f t="shared" si="182"/>
        <v>#REF!</v>
      </c>
      <c r="G216" s="17">
        <v>11</v>
      </c>
      <c r="H216" s="17" t="s">
        <v>9</v>
      </c>
      <c r="I216" s="30" t="s">
        <v>60</v>
      </c>
      <c r="J216" s="22">
        <v>0.7</v>
      </c>
      <c r="K216" s="22">
        <v>0.55000000000000004</v>
      </c>
      <c r="L216" s="8">
        <f t="shared" si="173"/>
        <v>0.14999999999999991</v>
      </c>
      <c r="M216" s="24">
        <f t="shared" si="176"/>
        <v>4.9261083743842356E-3</v>
      </c>
      <c r="N216" s="14"/>
    </row>
    <row r="217" spans="1:17" s="2" customFormat="1" ht="15.75" thickBot="1" x14ac:dyDescent="0.3">
      <c r="A217" s="60">
        <v>44517</v>
      </c>
      <c r="B217" s="57">
        <f>B206</f>
        <v>18</v>
      </c>
      <c r="C217" s="57" t="s">
        <v>95</v>
      </c>
      <c r="D217" s="57" t="s">
        <v>22</v>
      </c>
      <c r="E217" s="61" t="e">
        <f t="shared" ref="E217:F217" si="183">+E216</f>
        <v>#REF!</v>
      </c>
      <c r="F217" s="61" t="e">
        <f t="shared" si="183"/>
        <v>#REF!</v>
      </c>
      <c r="G217" s="62">
        <f>+G216+1</f>
        <v>12</v>
      </c>
      <c r="H217" s="62" t="s">
        <v>10</v>
      </c>
      <c r="I217" s="46" t="s">
        <v>10</v>
      </c>
      <c r="J217" s="63">
        <f>9.55+9.35</f>
        <v>18.899999999999999</v>
      </c>
      <c r="K217" s="63">
        <f>8.55+8.55</f>
        <v>17.100000000000001</v>
      </c>
      <c r="L217" s="64">
        <f t="shared" si="173"/>
        <v>1.7999999999999972</v>
      </c>
      <c r="M217" s="65">
        <f>+L217/SUMIF(C:C,C217,L:L)</f>
        <v>5.9113300492610765E-2</v>
      </c>
      <c r="N217" s="66"/>
      <c r="Q217" s="5"/>
    </row>
    <row r="218" spans="1:17" x14ac:dyDescent="0.25">
      <c r="A218" s="19">
        <v>44517</v>
      </c>
      <c r="B218" s="15">
        <f>B206+1</f>
        <v>19</v>
      </c>
      <c r="C218" s="15" t="s">
        <v>100</v>
      </c>
      <c r="D218" s="15" t="s">
        <v>22</v>
      </c>
      <c r="E218" s="25">
        <f>31-1.2</f>
        <v>29.8</v>
      </c>
      <c r="F218" s="25">
        <f>+SUM(L218:L229)</f>
        <v>30.899999999999981</v>
      </c>
      <c r="G218" s="16">
        <v>1</v>
      </c>
      <c r="H218" s="16" t="s">
        <v>9</v>
      </c>
      <c r="I218" s="59" t="s">
        <v>56</v>
      </c>
      <c r="J218" s="21"/>
      <c r="K218" s="21"/>
      <c r="L218" s="12">
        <f>+J218-K218</f>
        <v>0</v>
      </c>
      <c r="M218" s="23">
        <f>+L218/SUMIF(C:C,C218,L:L)</f>
        <v>0</v>
      </c>
      <c r="N218" s="13"/>
      <c r="O218" t="s">
        <v>101</v>
      </c>
    </row>
    <row r="219" spans="1:17" x14ac:dyDescent="0.25">
      <c r="A219" s="20">
        <v>44517</v>
      </c>
      <c r="B219" s="1">
        <f>B218</f>
        <v>19</v>
      </c>
      <c r="C219" s="1" t="s">
        <v>100</v>
      </c>
      <c r="D219" s="1" t="s">
        <v>22</v>
      </c>
      <c r="E219" s="26">
        <f>+E218</f>
        <v>29.8</v>
      </c>
      <c r="F219" s="28">
        <f>+(F218-E218)/E218</f>
        <v>3.6912751677851678E-2</v>
      </c>
      <c r="G219" s="17">
        <v>2</v>
      </c>
      <c r="H219" s="17" t="s">
        <v>9</v>
      </c>
      <c r="I219" s="30" t="s">
        <v>57</v>
      </c>
      <c r="J219" s="22">
        <v>0.85</v>
      </c>
      <c r="K219" s="22">
        <v>0.55000000000000004</v>
      </c>
      <c r="L219" s="8">
        <f t="shared" ref="L219:L229" si="184">+J219-K219</f>
        <v>0.29999999999999993</v>
      </c>
      <c r="M219" s="24">
        <f t="shared" ref="M219" si="185">+L219/SUMIF(C:C,C219,L:L)</f>
        <v>9.7087378640776743E-3</v>
      </c>
      <c r="N219" s="14"/>
      <c r="O219" t="s">
        <v>109</v>
      </c>
    </row>
    <row r="220" spans="1:17" x14ac:dyDescent="0.25">
      <c r="A220" s="20">
        <v>44517</v>
      </c>
      <c r="B220" s="1">
        <f>B218</f>
        <v>19</v>
      </c>
      <c r="C220" s="1" t="s">
        <v>100</v>
      </c>
      <c r="D220" s="1" t="s">
        <v>22</v>
      </c>
      <c r="E220" s="26" t="e">
        <f>+#REF!</f>
        <v>#REF!</v>
      </c>
      <c r="F220" s="26" t="e">
        <f>+#REF!</f>
        <v>#REF!</v>
      </c>
      <c r="G220" s="17">
        <v>3</v>
      </c>
      <c r="H220" s="17" t="s">
        <v>9</v>
      </c>
      <c r="I220" s="30" t="s">
        <v>58</v>
      </c>
      <c r="J220" s="22">
        <f>1.3</f>
        <v>1.3</v>
      </c>
      <c r="K220" s="22">
        <v>0.55000000000000004</v>
      </c>
      <c r="L220" s="8">
        <f t="shared" si="184"/>
        <v>0.75</v>
      </c>
      <c r="M220" s="24">
        <f>+L220/SUMIF(C:C,C220,L:L)</f>
        <v>2.4271844660194188E-2</v>
      </c>
      <c r="N220" s="14"/>
    </row>
    <row r="221" spans="1:17" x14ac:dyDescent="0.25">
      <c r="A221" s="20">
        <v>44517</v>
      </c>
      <c r="B221" s="1">
        <f>B218</f>
        <v>19</v>
      </c>
      <c r="C221" s="1" t="s">
        <v>100</v>
      </c>
      <c r="D221" s="1" t="s">
        <v>22</v>
      </c>
      <c r="E221" s="26" t="e">
        <f t="shared" ref="E221:F221" si="186">+E220</f>
        <v>#REF!</v>
      </c>
      <c r="F221" s="26" t="e">
        <f t="shared" si="186"/>
        <v>#REF!</v>
      </c>
      <c r="G221" s="17">
        <v>4</v>
      </c>
      <c r="H221" s="17" t="s">
        <v>9</v>
      </c>
      <c r="I221" s="30" t="s">
        <v>22</v>
      </c>
      <c r="J221" s="22">
        <f>13.45+14.2+9.95+14.15+14.7+9.35</f>
        <v>75.799999999999983</v>
      </c>
      <c r="K221" s="22">
        <f>8.3+8.55+8.5+8.5+8.3+8.55</f>
        <v>50.7</v>
      </c>
      <c r="L221" s="8">
        <f t="shared" si="184"/>
        <v>25.09999999999998</v>
      </c>
      <c r="M221" s="24">
        <f t="shared" ref="M221:M228" si="187">+L221/SUMIF(C:C,C221,L:L)</f>
        <v>0.81229773462783161</v>
      </c>
      <c r="N221" s="14"/>
    </row>
    <row r="222" spans="1:17" x14ac:dyDescent="0.25">
      <c r="A222" s="20">
        <v>44517</v>
      </c>
      <c r="B222" s="1">
        <f>B218</f>
        <v>19</v>
      </c>
      <c r="C222" s="1" t="s">
        <v>100</v>
      </c>
      <c r="D222" s="1" t="s">
        <v>22</v>
      </c>
      <c r="E222" s="26" t="e">
        <f t="shared" ref="E222:F222" si="188">+E221</f>
        <v>#REF!</v>
      </c>
      <c r="F222" s="26" t="e">
        <f t="shared" si="188"/>
        <v>#REF!</v>
      </c>
      <c r="G222" s="17">
        <v>5</v>
      </c>
      <c r="H222" s="17" t="s">
        <v>9</v>
      </c>
      <c r="I222" s="30" t="s">
        <v>34</v>
      </c>
      <c r="J222" s="22"/>
      <c r="K222" s="22"/>
      <c r="L222" s="8">
        <f t="shared" si="184"/>
        <v>0</v>
      </c>
      <c r="M222" s="24">
        <f t="shared" si="187"/>
        <v>0</v>
      </c>
      <c r="N222" s="14"/>
    </row>
    <row r="223" spans="1:17" x14ac:dyDescent="0.25">
      <c r="A223" s="20">
        <v>44517</v>
      </c>
      <c r="B223" s="1">
        <f>B218</f>
        <v>19</v>
      </c>
      <c r="C223" s="1" t="s">
        <v>100</v>
      </c>
      <c r="D223" s="1" t="s">
        <v>22</v>
      </c>
      <c r="E223" s="26" t="e">
        <f t="shared" ref="E223:F223" si="189">+E222</f>
        <v>#REF!</v>
      </c>
      <c r="F223" s="26" t="e">
        <f t="shared" si="189"/>
        <v>#REF!</v>
      </c>
      <c r="G223" s="17">
        <v>6</v>
      </c>
      <c r="H223" s="17" t="s">
        <v>9</v>
      </c>
      <c r="I223" s="30" t="s">
        <v>35</v>
      </c>
      <c r="J223" s="22"/>
      <c r="K223" s="22"/>
      <c r="L223" s="8">
        <f t="shared" si="184"/>
        <v>0</v>
      </c>
      <c r="M223" s="24">
        <f t="shared" si="187"/>
        <v>0</v>
      </c>
      <c r="N223" s="14"/>
    </row>
    <row r="224" spans="1:17" x14ac:dyDescent="0.25">
      <c r="A224" s="20">
        <v>44517</v>
      </c>
      <c r="B224" s="1">
        <f>B218</f>
        <v>19</v>
      </c>
      <c r="C224" s="1" t="s">
        <v>100</v>
      </c>
      <c r="D224" s="1" t="s">
        <v>22</v>
      </c>
      <c r="E224" s="26" t="e">
        <f t="shared" ref="E224:F224" si="190">+E223</f>
        <v>#REF!</v>
      </c>
      <c r="F224" s="26" t="e">
        <f t="shared" si="190"/>
        <v>#REF!</v>
      </c>
      <c r="G224" s="17">
        <v>7</v>
      </c>
      <c r="H224" s="17" t="s">
        <v>9</v>
      </c>
      <c r="I224" s="30" t="s">
        <v>36</v>
      </c>
      <c r="J224" s="22"/>
      <c r="K224" s="22"/>
      <c r="L224" s="8">
        <f t="shared" si="184"/>
        <v>0</v>
      </c>
      <c r="M224" s="24">
        <f t="shared" si="187"/>
        <v>0</v>
      </c>
      <c r="N224" s="14"/>
    </row>
    <row r="225" spans="1:17" x14ac:dyDescent="0.25">
      <c r="A225" s="20">
        <v>44517</v>
      </c>
      <c r="B225" s="1">
        <f>B218</f>
        <v>19</v>
      </c>
      <c r="C225" s="1" t="s">
        <v>100</v>
      </c>
      <c r="D225" s="1" t="s">
        <v>22</v>
      </c>
      <c r="E225" s="26" t="e">
        <f>+E224</f>
        <v>#REF!</v>
      </c>
      <c r="F225" s="26" t="e">
        <f>+F224</f>
        <v>#REF!</v>
      </c>
      <c r="G225" s="17">
        <v>8</v>
      </c>
      <c r="H225" s="17" t="s">
        <v>9</v>
      </c>
      <c r="I225" s="30" t="s">
        <v>59</v>
      </c>
      <c r="J225" s="22">
        <f>9.2</f>
        <v>9.1999999999999993</v>
      </c>
      <c r="K225" s="22">
        <v>8.5500000000000007</v>
      </c>
      <c r="L225" s="8">
        <f t="shared" si="184"/>
        <v>0.64999999999999858</v>
      </c>
      <c r="M225" s="24">
        <f t="shared" si="187"/>
        <v>2.1035598705501587E-2</v>
      </c>
      <c r="N225" s="14"/>
    </row>
    <row r="226" spans="1:17" x14ac:dyDescent="0.25">
      <c r="A226" s="20">
        <v>44517</v>
      </c>
      <c r="B226" s="1">
        <f>B218</f>
        <v>19</v>
      </c>
      <c r="C226" s="1" t="s">
        <v>100</v>
      </c>
      <c r="D226" s="1" t="s">
        <v>22</v>
      </c>
      <c r="E226" s="26" t="e">
        <f t="shared" ref="E226:F226" si="191">+E225</f>
        <v>#REF!</v>
      </c>
      <c r="F226" s="26" t="e">
        <f t="shared" si="191"/>
        <v>#REF!</v>
      </c>
      <c r="G226" s="17">
        <v>9</v>
      </c>
      <c r="H226" s="17" t="s">
        <v>9</v>
      </c>
      <c r="I226" s="30" t="s">
        <v>38</v>
      </c>
      <c r="J226" s="22"/>
      <c r="K226" s="22"/>
      <c r="L226" s="8">
        <f t="shared" si="184"/>
        <v>0</v>
      </c>
      <c r="M226" s="24">
        <f t="shared" si="187"/>
        <v>0</v>
      </c>
      <c r="N226" s="14"/>
    </row>
    <row r="227" spans="1:17" x14ac:dyDescent="0.25">
      <c r="A227" s="20">
        <v>44517</v>
      </c>
      <c r="B227" s="1">
        <f>B218</f>
        <v>19</v>
      </c>
      <c r="C227" s="1" t="s">
        <v>100</v>
      </c>
      <c r="D227" s="1" t="s">
        <v>22</v>
      </c>
      <c r="E227" s="26" t="e">
        <f t="shared" ref="E227:F227" si="192">+E226</f>
        <v>#REF!</v>
      </c>
      <c r="F227" s="26" t="e">
        <f t="shared" si="192"/>
        <v>#REF!</v>
      </c>
      <c r="G227" s="17">
        <v>10</v>
      </c>
      <c r="H227" s="17" t="s">
        <v>9</v>
      </c>
      <c r="I227" s="30" t="s">
        <v>23</v>
      </c>
      <c r="J227" s="22">
        <f>10.25+9.35</f>
        <v>19.600000000000001</v>
      </c>
      <c r="K227" s="22">
        <f>8.55+8.3</f>
        <v>16.850000000000001</v>
      </c>
      <c r="L227" s="8">
        <f t="shared" si="184"/>
        <v>2.75</v>
      </c>
      <c r="M227" s="24">
        <f t="shared" si="187"/>
        <v>8.899676375404536E-2</v>
      </c>
      <c r="N227" s="14" t="s">
        <v>102</v>
      </c>
    </row>
    <row r="228" spans="1:17" x14ac:dyDescent="0.25">
      <c r="A228" s="20">
        <v>44517</v>
      </c>
      <c r="B228" s="1">
        <f>B218</f>
        <v>19</v>
      </c>
      <c r="C228" s="1" t="s">
        <v>100</v>
      </c>
      <c r="D228" s="1" t="s">
        <v>22</v>
      </c>
      <c r="E228" s="26" t="e">
        <f t="shared" ref="E228:F228" si="193">+E227</f>
        <v>#REF!</v>
      </c>
      <c r="F228" s="26" t="e">
        <f t="shared" si="193"/>
        <v>#REF!</v>
      </c>
      <c r="G228" s="17">
        <v>11</v>
      </c>
      <c r="H228" s="17" t="s">
        <v>9</v>
      </c>
      <c r="I228" s="30" t="s">
        <v>60</v>
      </c>
      <c r="J228" s="22">
        <v>0.65</v>
      </c>
      <c r="K228" s="22">
        <v>0.55000000000000004</v>
      </c>
      <c r="L228" s="8">
        <f t="shared" si="184"/>
        <v>9.9999999999999978E-2</v>
      </c>
      <c r="M228" s="24">
        <f t="shared" si="187"/>
        <v>3.2362459546925581E-3</v>
      </c>
      <c r="N228" s="14"/>
    </row>
    <row r="229" spans="1:17" s="2" customFormat="1" ht="15.75" thickBot="1" x14ac:dyDescent="0.3">
      <c r="A229" s="60">
        <v>44517</v>
      </c>
      <c r="B229" s="57">
        <f>B218</f>
        <v>19</v>
      </c>
      <c r="C229" s="57" t="s">
        <v>100</v>
      </c>
      <c r="D229" s="57" t="s">
        <v>22</v>
      </c>
      <c r="E229" s="61" t="e">
        <f t="shared" ref="E229:F229" si="194">+E228</f>
        <v>#REF!</v>
      </c>
      <c r="F229" s="61" t="e">
        <f t="shared" si="194"/>
        <v>#REF!</v>
      </c>
      <c r="G229" s="62">
        <f>+G228+1</f>
        <v>12</v>
      </c>
      <c r="H229" s="62" t="s">
        <v>10</v>
      </c>
      <c r="I229" s="46" t="s">
        <v>10</v>
      </c>
      <c r="J229" s="63">
        <f>9.15+8.9</f>
        <v>18.05</v>
      </c>
      <c r="K229" s="63">
        <f>8.55+8.25</f>
        <v>16.8</v>
      </c>
      <c r="L229" s="64">
        <f t="shared" si="184"/>
        <v>1.25</v>
      </c>
      <c r="M229" s="65">
        <f>+L229/SUMIF(C:C,C229,L:L)</f>
        <v>4.0453074433656984E-2</v>
      </c>
      <c r="N229" s="66"/>
      <c r="Q229" s="5"/>
    </row>
    <row r="230" spans="1:17" x14ac:dyDescent="0.25">
      <c r="A230" s="19">
        <v>44517</v>
      </c>
      <c r="B230" s="15">
        <f>B218+1</f>
        <v>20</v>
      </c>
      <c r="C230" s="15" t="s">
        <v>103</v>
      </c>
      <c r="D230" s="15" t="s">
        <v>58</v>
      </c>
      <c r="E230" s="25">
        <f>28.9-1.2</f>
        <v>27.7</v>
      </c>
      <c r="F230" s="25">
        <f>+SUM(L230:L241)</f>
        <v>28.449999999999982</v>
      </c>
      <c r="G230" s="16">
        <v>1</v>
      </c>
      <c r="H230" s="16" t="s">
        <v>9</v>
      </c>
      <c r="I230" s="59" t="s">
        <v>56</v>
      </c>
      <c r="J230" s="21">
        <v>1.05</v>
      </c>
      <c r="K230" s="21">
        <v>0.55000000000000004</v>
      </c>
      <c r="L230" s="12">
        <f>+J230-K230</f>
        <v>0.5</v>
      </c>
      <c r="M230" s="23">
        <f>+L230/SUMIF(C:C,C230,L:L)</f>
        <v>1.7574692442882262E-2</v>
      </c>
      <c r="N230" s="13"/>
      <c r="O230" t="s">
        <v>107</v>
      </c>
    </row>
    <row r="231" spans="1:17" x14ac:dyDescent="0.25">
      <c r="A231" s="20">
        <v>44517</v>
      </c>
      <c r="B231" s="1">
        <f>B230</f>
        <v>20</v>
      </c>
      <c r="C231" s="1" t="s">
        <v>103</v>
      </c>
      <c r="D231" s="1" t="s">
        <v>58</v>
      </c>
      <c r="E231" s="26">
        <f>+E230</f>
        <v>27.7</v>
      </c>
      <c r="F231" s="28">
        <f>+(F230-E230)/E230</f>
        <v>2.7075812274367589E-2</v>
      </c>
      <c r="G231" s="17">
        <v>2</v>
      </c>
      <c r="H231" s="17" t="s">
        <v>9</v>
      </c>
      <c r="I231" s="30" t="s">
        <v>57</v>
      </c>
      <c r="J231" s="22">
        <f>8.95+9</f>
        <v>17.95</v>
      </c>
      <c r="K231" s="22">
        <f>8.3+8.5</f>
        <v>16.8</v>
      </c>
      <c r="L231" s="8">
        <f t="shared" ref="L231:L241" si="195">+J231-K231</f>
        <v>1.1499999999999986</v>
      </c>
      <c r="M231" s="24">
        <f t="shared" ref="M231" si="196">+L231/SUMIF(C:C,C231,L:L)</f>
        <v>4.0421792618629153E-2</v>
      </c>
      <c r="N231" s="14"/>
      <c r="O231" t="s">
        <v>108</v>
      </c>
    </row>
    <row r="232" spans="1:17" x14ac:dyDescent="0.25">
      <c r="A232" s="20">
        <v>44517</v>
      </c>
      <c r="B232" s="1">
        <f>B230</f>
        <v>20</v>
      </c>
      <c r="C232" s="1" t="s">
        <v>103</v>
      </c>
      <c r="D232" s="1" t="s">
        <v>58</v>
      </c>
      <c r="E232" s="26" t="e">
        <f>+#REF!</f>
        <v>#REF!</v>
      </c>
      <c r="F232" s="26" t="e">
        <f>+#REF!</f>
        <v>#REF!</v>
      </c>
      <c r="G232" s="17">
        <v>3</v>
      </c>
      <c r="H232" s="17" t="s">
        <v>9</v>
      </c>
      <c r="I232" s="30" t="s">
        <v>58</v>
      </c>
      <c r="J232" s="22">
        <f>12.7+12.85+9.15+12.45+11.4</f>
        <v>58.54999999999999</v>
      </c>
      <c r="K232" s="22">
        <f>8.5+8.55+8.5+8.3+8.3</f>
        <v>42.150000000000006</v>
      </c>
      <c r="L232" s="8">
        <f t="shared" si="195"/>
        <v>16.399999999999984</v>
      </c>
      <c r="M232" s="24">
        <f>+L232/SUMIF(C:C,C232,L:L)</f>
        <v>0.57644991212653762</v>
      </c>
      <c r="N232" s="14"/>
    </row>
    <row r="233" spans="1:17" x14ac:dyDescent="0.25">
      <c r="A233" s="20">
        <v>44517</v>
      </c>
      <c r="B233" s="1">
        <f>B230</f>
        <v>20</v>
      </c>
      <c r="C233" s="1" t="s">
        <v>103</v>
      </c>
      <c r="D233" s="1" t="s">
        <v>58</v>
      </c>
      <c r="E233" s="26" t="e">
        <f t="shared" ref="E233:F233" si="197">+E232</f>
        <v>#REF!</v>
      </c>
      <c r="F233" s="26" t="e">
        <f t="shared" si="197"/>
        <v>#REF!</v>
      </c>
      <c r="G233" s="17">
        <v>4</v>
      </c>
      <c r="H233" s="17" t="s">
        <v>9</v>
      </c>
      <c r="I233" s="30" t="s">
        <v>22</v>
      </c>
      <c r="J233" s="22">
        <f>1.35+1.7</f>
        <v>3.05</v>
      </c>
      <c r="K233" s="22">
        <f>0.55+0.55</f>
        <v>1.1000000000000001</v>
      </c>
      <c r="L233" s="8">
        <f t="shared" si="195"/>
        <v>1.9499999999999997</v>
      </c>
      <c r="M233" s="24">
        <f t="shared" ref="M233:M240" si="198">+L233/SUMIF(C:C,C233,L:L)</f>
        <v>6.8541300527240806E-2</v>
      </c>
      <c r="N233" s="14" t="s">
        <v>112</v>
      </c>
    </row>
    <row r="234" spans="1:17" x14ac:dyDescent="0.25">
      <c r="A234" s="20">
        <v>44517</v>
      </c>
      <c r="B234" s="1">
        <f>B230</f>
        <v>20</v>
      </c>
      <c r="C234" s="1" t="s">
        <v>103</v>
      </c>
      <c r="D234" s="1" t="s">
        <v>58</v>
      </c>
      <c r="E234" s="26" t="e">
        <f t="shared" ref="E234:F234" si="199">+E233</f>
        <v>#REF!</v>
      </c>
      <c r="F234" s="26" t="e">
        <f t="shared" si="199"/>
        <v>#REF!</v>
      </c>
      <c r="G234" s="17">
        <v>5</v>
      </c>
      <c r="H234" s="17" t="s">
        <v>9</v>
      </c>
      <c r="I234" s="30" t="s">
        <v>34</v>
      </c>
      <c r="J234" s="22">
        <v>0.65</v>
      </c>
      <c r="K234" s="22">
        <v>0.5</v>
      </c>
      <c r="L234" s="8">
        <f t="shared" si="195"/>
        <v>0.15000000000000002</v>
      </c>
      <c r="M234" s="24">
        <f t="shared" si="198"/>
        <v>5.2724077328646793E-3</v>
      </c>
      <c r="N234" s="14"/>
    </row>
    <row r="235" spans="1:17" x14ac:dyDescent="0.25">
      <c r="A235" s="20">
        <v>44517</v>
      </c>
      <c r="B235" s="1">
        <f>B230</f>
        <v>20</v>
      </c>
      <c r="C235" s="1" t="s">
        <v>103</v>
      </c>
      <c r="D235" s="1" t="s">
        <v>58</v>
      </c>
      <c r="E235" s="26" t="e">
        <f t="shared" ref="E235:F235" si="200">+E234</f>
        <v>#REF!</v>
      </c>
      <c r="F235" s="26" t="e">
        <f t="shared" si="200"/>
        <v>#REF!</v>
      </c>
      <c r="G235" s="17">
        <v>6</v>
      </c>
      <c r="H235" s="17" t="s">
        <v>9</v>
      </c>
      <c r="I235" s="30" t="s">
        <v>35</v>
      </c>
      <c r="J235" s="22"/>
      <c r="K235" s="22"/>
      <c r="L235" s="8">
        <f t="shared" si="195"/>
        <v>0</v>
      </c>
      <c r="M235" s="24">
        <f t="shared" si="198"/>
        <v>0</v>
      </c>
      <c r="N235" s="14"/>
    </row>
    <row r="236" spans="1:17" x14ac:dyDescent="0.25">
      <c r="A236" s="20">
        <v>44517</v>
      </c>
      <c r="B236" s="1">
        <f>B230</f>
        <v>20</v>
      </c>
      <c r="C236" s="1" t="s">
        <v>103</v>
      </c>
      <c r="D236" s="1" t="s">
        <v>58</v>
      </c>
      <c r="E236" s="26" t="e">
        <f t="shared" ref="E236:F236" si="201">+E235</f>
        <v>#REF!</v>
      </c>
      <c r="F236" s="26" t="e">
        <f t="shared" si="201"/>
        <v>#REF!</v>
      </c>
      <c r="G236" s="17">
        <v>7</v>
      </c>
      <c r="H236" s="17" t="s">
        <v>9</v>
      </c>
      <c r="I236" s="30" t="s">
        <v>36</v>
      </c>
      <c r="J236" s="22">
        <v>0.7</v>
      </c>
      <c r="K236" s="22">
        <v>0.55000000000000004</v>
      </c>
      <c r="L236" s="8">
        <f t="shared" si="195"/>
        <v>0.14999999999999991</v>
      </c>
      <c r="M236" s="24">
        <f t="shared" si="198"/>
        <v>5.272407732864675E-3</v>
      </c>
      <c r="N236" s="14"/>
    </row>
    <row r="237" spans="1:17" x14ac:dyDescent="0.25">
      <c r="A237" s="20">
        <v>44517</v>
      </c>
      <c r="B237" s="1">
        <f>B230</f>
        <v>20</v>
      </c>
      <c r="C237" s="1" t="s">
        <v>103</v>
      </c>
      <c r="D237" s="1" t="s">
        <v>58</v>
      </c>
      <c r="E237" s="26" t="e">
        <f>+E236</f>
        <v>#REF!</v>
      </c>
      <c r="F237" s="26" t="e">
        <f>+F236</f>
        <v>#REF!</v>
      </c>
      <c r="G237" s="17">
        <v>8</v>
      </c>
      <c r="H237" s="17" t="s">
        <v>9</v>
      </c>
      <c r="I237" s="30" t="s">
        <v>59</v>
      </c>
      <c r="J237" s="22">
        <f>9.35</f>
        <v>9.35</v>
      </c>
      <c r="K237" s="22">
        <f>8.55</f>
        <v>8.5500000000000007</v>
      </c>
      <c r="L237" s="8">
        <f t="shared" si="195"/>
        <v>0.79999999999999893</v>
      </c>
      <c r="M237" s="24">
        <f t="shared" si="198"/>
        <v>2.811950790861158E-2</v>
      </c>
      <c r="N237" s="14"/>
    </row>
    <row r="238" spans="1:17" x14ac:dyDescent="0.25">
      <c r="A238" s="20">
        <v>44517</v>
      </c>
      <c r="B238" s="1">
        <f>B230</f>
        <v>20</v>
      </c>
      <c r="C238" s="1" t="s">
        <v>103</v>
      </c>
      <c r="D238" s="1" t="s">
        <v>58</v>
      </c>
      <c r="E238" s="26" t="e">
        <f t="shared" ref="E238:F238" si="202">+E237</f>
        <v>#REF!</v>
      </c>
      <c r="F238" s="26" t="e">
        <f t="shared" si="202"/>
        <v>#REF!</v>
      </c>
      <c r="G238" s="17">
        <v>9</v>
      </c>
      <c r="H238" s="17" t="s">
        <v>9</v>
      </c>
      <c r="I238" s="30" t="s">
        <v>38</v>
      </c>
      <c r="J238" s="22"/>
      <c r="K238" s="22"/>
      <c r="L238" s="8">
        <f t="shared" si="195"/>
        <v>0</v>
      </c>
      <c r="M238" s="24">
        <f t="shared" si="198"/>
        <v>0</v>
      </c>
      <c r="N238" s="14"/>
    </row>
    <row r="239" spans="1:17" x14ac:dyDescent="0.25">
      <c r="A239" s="20">
        <v>44517</v>
      </c>
      <c r="B239" s="1">
        <f>B230</f>
        <v>20</v>
      </c>
      <c r="C239" s="1" t="s">
        <v>103</v>
      </c>
      <c r="D239" s="1" t="s">
        <v>58</v>
      </c>
      <c r="E239" s="26" t="e">
        <f t="shared" ref="E239:F239" si="203">+E238</f>
        <v>#REF!</v>
      </c>
      <c r="F239" s="26" t="e">
        <f t="shared" si="203"/>
        <v>#REF!</v>
      </c>
      <c r="G239" s="17">
        <v>10</v>
      </c>
      <c r="H239" s="17" t="s">
        <v>9</v>
      </c>
      <c r="I239" s="30" t="s">
        <v>23</v>
      </c>
      <c r="J239" s="22">
        <f>10.8+8.95</f>
        <v>19.75</v>
      </c>
      <c r="K239" s="22">
        <f>8.55+8.5</f>
        <v>17.05</v>
      </c>
      <c r="L239" s="8">
        <f t="shared" si="195"/>
        <v>2.6999999999999993</v>
      </c>
      <c r="M239" s="24">
        <f t="shared" si="198"/>
        <v>9.4903339191564184E-2</v>
      </c>
      <c r="N239" s="14"/>
    </row>
    <row r="240" spans="1:17" x14ac:dyDescent="0.25">
      <c r="A240" s="20">
        <v>44517</v>
      </c>
      <c r="B240" s="1">
        <f>B230</f>
        <v>20</v>
      </c>
      <c r="C240" s="1" t="s">
        <v>103</v>
      </c>
      <c r="D240" s="1" t="s">
        <v>58</v>
      </c>
      <c r="E240" s="26" t="e">
        <f t="shared" ref="E240:F240" si="204">+E239</f>
        <v>#REF!</v>
      </c>
      <c r="F240" s="26" t="e">
        <f t="shared" si="204"/>
        <v>#REF!</v>
      </c>
      <c r="G240" s="17">
        <v>11</v>
      </c>
      <c r="H240" s="17" t="s">
        <v>9</v>
      </c>
      <c r="I240" s="30" t="s">
        <v>60</v>
      </c>
      <c r="J240" s="22">
        <v>0.9</v>
      </c>
      <c r="K240" s="22">
        <v>0.55000000000000004</v>
      </c>
      <c r="L240" s="8">
        <f t="shared" si="195"/>
        <v>0.35</v>
      </c>
      <c r="M240" s="24">
        <f t="shared" si="198"/>
        <v>1.2302284710017581E-2</v>
      </c>
      <c r="N240" s="14"/>
    </row>
    <row r="241" spans="1:17" s="2" customFormat="1" ht="30.75" thickBot="1" x14ac:dyDescent="0.3">
      <c r="A241" s="60">
        <v>44517</v>
      </c>
      <c r="B241" s="57">
        <f>B230</f>
        <v>20</v>
      </c>
      <c r="C241" s="57" t="s">
        <v>103</v>
      </c>
      <c r="D241" s="57" t="s">
        <v>58</v>
      </c>
      <c r="E241" s="61" t="e">
        <f t="shared" ref="E241:F241" si="205">+E240</f>
        <v>#REF!</v>
      </c>
      <c r="F241" s="61" t="e">
        <f t="shared" si="205"/>
        <v>#REF!</v>
      </c>
      <c r="G241" s="62">
        <f>+G240+1</f>
        <v>12</v>
      </c>
      <c r="H241" s="62" t="s">
        <v>10</v>
      </c>
      <c r="I241" s="46" t="s">
        <v>10</v>
      </c>
      <c r="J241" s="63">
        <f>10.55+10.55</f>
        <v>21.1</v>
      </c>
      <c r="K241" s="63">
        <f>8.55+8.25</f>
        <v>16.8</v>
      </c>
      <c r="L241" s="64">
        <f t="shared" si="195"/>
        <v>4.3000000000000007</v>
      </c>
      <c r="M241" s="65">
        <f>+L241/SUMIF(C:C,C241,L:L)</f>
        <v>0.15114235500878748</v>
      </c>
      <c r="N241" s="66" t="s">
        <v>104</v>
      </c>
      <c r="Q241" s="5"/>
    </row>
    <row r="242" spans="1:17" x14ac:dyDescent="0.25">
      <c r="A242" s="19">
        <v>44517</v>
      </c>
      <c r="B242" s="15">
        <f>B230+1</f>
        <v>21</v>
      </c>
      <c r="C242" s="15" t="s">
        <v>105</v>
      </c>
      <c r="D242" s="15" t="s">
        <v>58</v>
      </c>
      <c r="E242" s="25">
        <f>29.8-1.2</f>
        <v>28.6</v>
      </c>
      <c r="F242" s="25">
        <f>+SUM(L242:L253)</f>
        <v>28.549999999999994</v>
      </c>
      <c r="G242" s="16">
        <v>1</v>
      </c>
      <c r="H242" s="16" t="s">
        <v>9</v>
      </c>
      <c r="I242" s="59" t="s">
        <v>56</v>
      </c>
      <c r="J242" s="21">
        <v>0.75</v>
      </c>
      <c r="K242" s="21">
        <v>0.55000000000000004</v>
      </c>
      <c r="L242" s="12">
        <f>+J242-K242</f>
        <v>0.19999999999999996</v>
      </c>
      <c r="M242" s="23">
        <f>+L242/SUMIF(C:C,C242,L:L)</f>
        <v>7.0052539404553416E-3</v>
      </c>
      <c r="N242" s="13"/>
      <c r="O242" t="s">
        <v>110</v>
      </c>
    </row>
    <row r="243" spans="1:17" x14ac:dyDescent="0.25">
      <c r="A243" s="20">
        <v>44517</v>
      </c>
      <c r="B243" s="1">
        <f>B242</f>
        <v>21</v>
      </c>
      <c r="C243" s="1" t="s">
        <v>105</v>
      </c>
      <c r="D243" s="1" t="s">
        <v>58</v>
      </c>
      <c r="E243" s="26">
        <f>+E242</f>
        <v>28.6</v>
      </c>
      <c r="F243" s="28">
        <f>+(F242-E242)/E242</f>
        <v>-1.7482517482520215E-3</v>
      </c>
      <c r="G243" s="17">
        <v>2</v>
      </c>
      <c r="H243" s="17" t="s">
        <v>9</v>
      </c>
      <c r="I243" s="30" t="s">
        <v>57</v>
      </c>
      <c r="J243" s="22">
        <v>8.9</v>
      </c>
      <c r="K243" s="22">
        <v>8.25</v>
      </c>
      <c r="L243" s="8">
        <f t="shared" ref="L243:L253" si="206">+J243-K243</f>
        <v>0.65000000000000036</v>
      </c>
      <c r="M243" s="24">
        <f t="shared" ref="M243" si="207">+L243/SUMIF(C:C,C243,L:L)</f>
        <v>2.2767075306479877E-2</v>
      </c>
      <c r="N243" s="14"/>
      <c r="O243" t="s">
        <v>111</v>
      </c>
    </row>
    <row r="244" spans="1:17" x14ac:dyDescent="0.25">
      <c r="A244" s="20">
        <v>44517</v>
      </c>
      <c r="B244" s="1">
        <f>B242</f>
        <v>21</v>
      </c>
      <c r="C244" s="1" t="s">
        <v>105</v>
      </c>
      <c r="D244" s="1" t="s">
        <v>58</v>
      </c>
      <c r="E244" s="26" t="e">
        <f>+#REF!</f>
        <v>#REF!</v>
      </c>
      <c r="F244" s="26" t="e">
        <f>+#REF!</f>
        <v>#REF!</v>
      </c>
      <c r="G244" s="17">
        <v>3</v>
      </c>
      <c r="H244" s="17" t="s">
        <v>9</v>
      </c>
      <c r="I244" s="30" t="s">
        <v>58</v>
      </c>
      <c r="J244" s="22">
        <f>12.75+12.8+13.15+9.05+10.75+12.75+11.6</f>
        <v>82.85</v>
      </c>
      <c r="K244" s="22">
        <f>8.55+8.3+8.55+8.55+8.55+8.5+8.3</f>
        <v>59.3</v>
      </c>
      <c r="L244" s="8">
        <f t="shared" si="206"/>
        <v>23.549999999999997</v>
      </c>
      <c r="M244" s="24">
        <f>+L244/SUMIF(C:C,C244,L:L)</f>
        <v>0.82486865148861654</v>
      </c>
      <c r="N244" s="14"/>
    </row>
    <row r="245" spans="1:17" x14ac:dyDescent="0.25">
      <c r="A245" s="20">
        <v>44517</v>
      </c>
      <c r="B245" s="1">
        <f>B242</f>
        <v>21</v>
      </c>
      <c r="C245" s="1" t="s">
        <v>105</v>
      </c>
      <c r="D245" s="1" t="s">
        <v>58</v>
      </c>
      <c r="E245" s="26" t="e">
        <f t="shared" ref="E245:F245" si="208">+E244</f>
        <v>#REF!</v>
      </c>
      <c r="F245" s="26" t="e">
        <f t="shared" si="208"/>
        <v>#REF!</v>
      </c>
      <c r="G245" s="17">
        <v>4</v>
      </c>
      <c r="H245" s="17" t="s">
        <v>9</v>
      </c>
      <c r="I245" s="30" t="s">
        <v>22</v>
      </c>
      <c r="J245" s="22">
        <v>0.95</v>
      </c>
      <c r="K245" s="22">
        <v>0.55000000000000004</v>
      </c>
      <c r="L245" s="8">
        <f t="shared" si="206"/>
        <v>0.39999999999999991</v>
      </c>
      <c r="M245" s="24">
        <f t="shared" ref="M245:M252" si="209">+L245/SUMIF(C:C,C245,L:L)</f>
        <v>1.4010507880910683E-2</v>
      </c>
      <c r="N245" s="14"/>
    </row>
    <row r="246" spans="1:17" x14ac:dyDescent="0.25">
      <c r="A246" s="20">
        <v>44517</v>
      </c>
      <c r="B246" s="1">
        <f>B242</f>
        <v>21</v>
      </c>
      <c r="C246" s="1" t="s">
        <v>105</v>
      </c>
      <c r="D246" s="1" t="s">
        <v>58</v>
      </c>
      <c r="E246" s="26" t="e">
        <f t="shared" ref="E246:F246" si="210">+E245</f>
        <v>#REF!</v>
      </c>
      <c r="F246" s="26" t="e">
        <f t="shared" si="210"/>
        <v>#REF!</v>
      </c>
      <c r="G246" s="17">
        <v>5</v>
      </c>
      <c r="H246" s="17" t="s">
        <v>9</v>
      </c>
      <c r="I246" s="30" t="s">
        <v>34</v>
      </c>
      <c r="J246" s="22">
        <v>0.7</v>
      </c>
      <c r="K246" s="22">
        <v>0.55000000000000004</v>
      </c>
      <c r="L246" s="8">
        <f t="shared" si="206"/>
        <v>0.14999999999999991</v>
      </c>
      <c r="M246" s="24">
        <f t="shared" si="209"/>
        <v>5.2539404553415044E-3</v>
      </c>
      <c r="N246" s="14"/>
    </row>
    <row r="247" spans="1:17" x14ac:dyDescent="0.25">
      <c r="A247" s="20">
        <v>44517</v>
      </c>
      <c r="B247" s="1">
        <f>B242</f>
        <v>21</v>
      </c>
      <c r="C247" s="1" t="s">
        <v>105</v>
      </c>
      <c r="D247" s="1" t="s">
        <v>58</v>
      </c>
      <c r="E247" s="26" t="e">
        <f t="shared" ref="E247:F247" si="211">+E246</f>
        <v>#REF!</v>
      </c>
      <c r="F247" s="26" t="e">
        <f t="shared" si="211"/>
        <v>#REF!</v>
      </c>
      <c r="G247" s="17">
        <v>6</v>
      </c>
      <c r="H247" s="17" t="s">
        <v>9</v>
      </c>
      <c r="I247" s="30" t="s">
        <v>35</v>
      </c>
      <c r="J247" s="22"/>
      <c r="K247" s="22"/>
      <c r="L247" s="8">
        <f t="shared" si="206"/>
        <v>0</v>
      </c>
      <c r="M247" s="24">
        <f t="shared" si="209"/>
        <v>0</v>
      </c>
      <c r="N247" s="14"/>
    </row>
    <row r="248" spans="1:17" x14ac:dyDescent="0.25">
      <c r="A248" s="20">
        <v>44517</v>
      </c>
      <c r="B248" s="1">
        <f>B242</f>
        <v>21</v>
      </c>
      <c r="C248" s="1" t="s">
        <v>105</v>
      </c>
      <c r="D248" s="1" t="s">
        <v>58</v>
      </c>
      <c r="E248" s="26" t="e">
        <f t="shared" ref="E248:F248" si="212">+E247</f>
        <v>#REF!</v>
      </c>
      <c r="F248" s="26" t="e">
        <f t="shared" si="212"/>
        <v>#REF!</v>
      </c>
      <c r="G248" s="17">
        <v>7</v>
      </c>
      <c r="H248" s="17" t="s">
        <v>9</v>
      </c>
      <c r="I248" s="30" t="s">
        <v>36</v>
      </c>
      <c r="J248" s="22"/>
      <c r="K248" s="22"/>
      <c r="L248" s="8">
        <f t="shared" si="206"/>
        <v>0</v>
      </c>
      <c r="M248" s="24">
        <f t="shared" si="209"/>
        <v>0</v>
      </c>
      <c r="N248" s="14"/>
    </row>
    <row r="249" spans="1:17" x14ac:dyDescent="0.25">
      <c r="A249" s="20">
        <v>44517</v>
      </c>
      <c r="B249" s="1">
        <f>B242</f>
        <v>21</v>
      </c>
      <c r="C249" s="1" t="s">
        <v>105</v>
      </c>
      <c r="D249" s="1" t="s">
        <v>58</v>
      </c>
      <c r="E249" s="26" t="e">
        <f>+E248</f>
        <v>#REF!</v>
      </c>
      <c r="F249" s="26" t="e">
        <f>+F248</f>
        <v>#REF!</v>
      </c>
      <c r="G249" s="17">
        <v>8</v>
      </c>
      <c r="H249" s="17" t="s">
        <v>9</v>
      </c>
      <c r="I249" s="30" t="s">
        <v>59</v>
      </c>
      <c r="J249" s="22">
        <v>0.8</v>
      </c>
      <c r="K249" s="22">
        <v>0.55000000000000004</v>
      </c>
      <c r="L249" s="8">
        <f t="shared" si="206"/>
        <v>0.25</v>
      </c>
      <c r="M249" s="24">
        <f t="shared" si="209"/>
        <v>8.7565674255691787E-3</v>
      </c>
      <c r="N249" s="14" t="s">
        <v>113</v>
      </c>
    </row>
    <row r="250" spans="1:17" x14ac:dyDescent="0.25">
      <c r="A250" s="20">
        <v>44517</v>
      </c>
      <c r="B250" s="1">
        <f>B242</f>
        <v>21</v>
      </c>
      <c r="C250" s="1" t="s">
        <v>105</v>
      </c>
      <c r="D250" s="1" t="s">
        <v>58</v>
      </c>
      <c r="E250" s="26" t="e">
        <f t="shared" ref="E250:F250" si="213">+E249</f>
        <v>#REF!</v>
      </c>
      <c r="F250" s="26" t="e">
        <f t="shared" si="213"/>
        <v>#REF!</v>
      </c>
      <c r="G250" s="17">
        <v>9</v>
      </c>
      <c r="H250" s="17" t="s">
        <v>9</v>
      </c>
      <c r="I250" s="30" t="s">
        <v>38</v>
      </c>
      <c r="J250" s="22"/>
      <c r="K250" s="22"/>
      <c r="L250" s="8">
        <f t="shared" si="206"/>
        <v>0</v>
      </c>
      <c r="M250" s="24">
        <f t="shared" si="209"/>
        <v>0</v>
      </c>
      <c r="N250" s="14"/>
    </row>
    <row r="251" spans="1:17" x14ac:dyDescent="0.25">
      <c r="A251" s="20">
        <v>44517</v>
      </c>
      <c r="B251" s="1">
        <f>B242</f>
        <v>21</v>
      </c>
      <c r="C251" s="1" t="s">
        <v>105</v>
      </c>
      <c r="D251" s="1" t="s">
        <v>58</v>
      </c>
      <c r="E251" s="26" t="e">
        <f t="shared" ref="E251:F251" si="214">+E250</f>
        <v>#REF!</v>
      </c>
      <c r="F251" s="26" t="e">
        <f t="shared" si="214"/>
        <v>#REF!</v>
      </c>
      <c r="G251" s="17">
        <v>10</v>
      </c>
      <c r="H251" s="17" t="s">
        <v>9</v>
      </c>
      <c r="I251" s="30" t="s">
        <v>23</v>
      </c>
      <c r="J251" s="22">
        <f>9.25</f>
        <v>9.25</v>
      </c>
      <c r="K251" s="22">
        <f>8.5</f>
        <v>8.5</v>
      </c>
      <c r="L251" s="8">
        <f t="shared" si="206"/>
        <v>0.75</v>
      </c>
      <c r="M251" s="24">
        <f t="shared" si="209"/>
        <v>2.6269702276707538E-2</v>
      </c>
      <c r="N251" s="14"/>
    </row>
    <row r="252" spans="1:17" x14ac:dyDescent="0.25">
      <c r="A252" s="20">
        <v>44517</v>
      </c>
      <c r="B252" s="1">
        <f>B242</f>
        <v>21</v>
      </c>
      <c r="C252" s="1" t="s">
        <v>105</v>
      </c>
      <c r="D252" s="1" t="s">
        <v>58</v>
      </c>
      <c r="E252" s="26" t="e">
        <f t="shared" ref="E252:F252" si="215">+E251</f>
        <v>#REF!</v>
      </c>
      <c r="F252" s="26" t="e">
        <f t="shared" si="215"/>
        <v>#REF!</v>
      </c>
      <c r="G252" s="17">
        <v>11</v>
      </c>
      <c r="H252" s="17" t="s">
        <v>9</v>
      </c>
      <c r="I252" s="30" t="s">
        <v>60</v>
      </c>
      <c r="J252" s="22"/>
      <c r="K252" s="22"/>
      <c r="L252" s="8">
        <f t="shared" si="206"/>
        <v>0</v>
      </c>
      <c r="M252" s="24">
        <f t="shared" si="209"/>
        <v>0</v>
      </c>
      <c r="N252" s="14"/>
    </row>
    <row r="253" spans="1:17" s="2" customFormat="1" ht="45.75" thickBot="1" x14ac:dyDescent="0.3">
      <c r="A253" s="60">
        <v>44517</v>
      </c>
      <c r="B253" s="57">
        <f>B242</f>
        <v>21</v>
      </c>
      <c r="C253" s="57" t="s">
        <v>105</v>
      </c>
      <c r="D253" s="57" t="s">
        <v>58</v>
      </c>
      <c r="E253" s="61" t="e">
        <f t="shared" ref="E253:F253" si="216">+E252</f>
        <v>#REF!</v>
      </c>
      <c r="F253" s="61" t="e">
        <f t="shared" si="216"/>
        <v>#REF!</v>
      </c>
      <c r="G253" s="62">
        <f>+G252+1</f>
        <v>12</v>
      </c>
      <c r="H253" s="62" t="s">
        <v>10</v>
      </c>
      <c r="I253" s="46" t="s">
        <v>10</v>
      </c>
      <c r="J253" s="63">
        <f>9.85+9.85</f>
        <v>19.7</v>
      </c>
      <c r="K253" s="63">
        <f>8.55+8.55</f>
        <v>17.100000000000001</v>
      </c>
      <c r="L253" s="64">
        <f t="shared" si="206"/>
        <v>2.5999999999999979</v>
      </c>
      <c r="M253" s="65">
        <f>+L253/SUMIF(C:C,C253,L:L)</f>
        <v>9.1068301225919385E-2</v>
      </c>
      <c r="N253" s="66" t="s">
        <v>114</v>
      </c>
      <c r="Q253" s="5"/>
    </row>
    <row r="254" spans="1:17" x14ac:dyDescent="0.25">
      <c r="A254" s="19">
        <v>44517</v>
      </c>
      <c r="B254" s="15">
        <f>B242+1</f>
        <v>22</v>
      </c>
      <c r="C254" s="15" t="s">
        <v>106</v>
      </c>
      <c r="D254" s="15" t="s">
        <v>58</v>
      </c>
      <c r="E254" s="25">
        <f>23.4-1.2</f>
        <v>22.2</v>
      </c>
      <c r="F254" s="25">
        <f>+SUM(L254:L265)</f>
        <v>22.749999999999993</v>
      </c>
      <c r="G254" s="16">
        <v>1</v>
      </c>
      <c r="H254" s="16" t="s">
        <v>9</v>
      </c>
      <c r="I254" s="59" t="s">
        <v>56</v>
      </c>
      <c r="J254" s="21">
        <v>0.55000000000000004</v>
      </c>
      <c r="K254" s="21">
        <v>0.5</v>
      </c>
      <c r="L254" s="12">
        <f>+J254-K254</f>
        <v>5.0000000000000044E-2</v>
      </c>
      <c r="M254" s="23">
        <f>+L254/SUMIF(C:C,C254,L:L)</f>
        <v>2.1978021978022004E-3</v>
      </c>
      <c r="N254" s="13"/>
      <c r="O254" t="s">
        <v>115</v>
      </c>
    </row>
    <row r="255" spans="1:17" x14ac:dyDescent="0.25">
      <c r="A255" s="20">
        <v>44517</v>
      </c>
      <c r="B255" s="1">
        <f>B254</f>
        <v>22</v>
      </c>
      <c r="C255" s="1" t="s">
        <v>106</v>
      </c>
      <c r="D255" s="1" t="s">
        <v>58</v>
      </c>
      <c r="E255" s="26">
        <f>+E254</f>
        <v>22.2</v>
      </c>
      <c r="F255" s="28">
        <f>+(F254-E254)/E254</f>
        <v>2.4774774774774487E-2</v>
      </c>
      <c r="G255" s="17">
        <v>2</v>
      </c>
      <c r="H255" s="17" t="s">
        <v>9</v>
      </c>
      <c r="I255" s="30" t="s">
        <v>57</v>
      </c>
      <c r="J255" s="22">
        <f>8.55+8.65</f>
        <v>17.200000000000003</v>
      </c>
      <c r="K255" s="22">
        <f>8.3+8.5</f>
        <v>16.8</v>
      </c>
      <c r="L255" s="8">
        <f t="shared" ref="L255:L265" si="217">+J255-K255</f>
        <v>0.40000000000000213</v>
      </c>
      <c r="M255" s="24">
        <f t="shared" ref="M255" si="218">+L255/SUMIF(C:C,C255,L:L)</f>
        <v>1.7582417582417683E-2</v>
      </c>
      <c r="N255" s="14"/>
      <c r="O255" t="s">
        <v>116</v>
      </c>
    </row>
    <row r="256" spans="1:17" x14ac:dyDescent="0.25">
      <c r="A256" s="20">
        <v>44517</v>
      </c>
      <c r="B256" s="1">
        <f>B254</f>
        <v>22</v>
      </c>
      <c r="C256" s="1" t="s">
        <v>106</v>
      </c>
      <c r="D256" s="1" t="s">
        <v>58</v>
      </c>
      <c r="E256" s="26" t="e">
        <f>+#REF!</f>
        <v>#REF!</v>
      </c>
      <c r="F256" s="26" t="e">
        <f>+#REF!</f>
        <v>#REF!</v>
      </c>
      <c r="G256" s="17">
        <v>3</v>
      </c>
      <c r="H256" s="17" t="s">
        <v>9</v>
      </c>
      <c r="I256" s="30" t="s">
        <v>58</v>
      </c>
      <c r="J256" s="22">
        <f>13+12.6+13.5+12.9+9.5</f>
        <v>61.5</v>
      </c>
      <c r="K256" s="22">
        <f>8.55+8.55+8.5+8.5+8.3</f>
        <v>42.400000000000006</v>
      </c>
      <c r="L256" s="8">
        <f t="shared" si="217"/>
        <v>19.099999999999994</v>
      </c>
      <c r="M256" s="24">
        <f>+L256/SUMIF(C:C,C256,L:L)</f>
        <v>0.83956043956043958</v>
      </c>
      <c r="N256" s="14"/>
    </row>
    <row r="257" spans="1:17" x14ac:dyDescent="0.25">
      <c r="A257" s="20">
        <v>44517</v>
      </c>
      <c r="B257" s="1">
        <f>B254</f>
        <v>22</v>
      </c>
      <c r="C257" s="1" t="s">
        <v>106</v>
      </c>
      <c r="D257" s="1" t="s">
        <v>58</v>
      </c>
      <c r="E257" s="26" t="e">
        <f t="shared" ref="E257:F257" si="219">+E256</f>
        <v>#REF!</v>
      </c>
      <c r="F257" s="26" t="e">
        <f t="shared" si="219"/>
        <v>#REF!</v>
      </c>
      <c r="G257" s="17">
        <v>4</v>
      </c>
      <c r="H257" s="17" t="s">
        <v>9</v>
      </c>
      <c r="I257" s="30" t="s">
        <v>22</v>
      </c>
      <c r="J257" s="22">
        <v>0.8</v>
      </c>
      <c r="K257" s="22">
        <v>0.55000000000000004</v>
      </c>
      <c r="L257" s="8">
        <f t="shared" si="217"/>
        <v>0.25</v>
      </c>
      <c r="M257" s="24">
        <f t="shared" ref="M257:M264" si="220">+L257/SUMIF(C:C,C257,L:L)</f>
        <v>1.0989010989010992E-2</v>
      </c>
      <c r="N257" s="14"/>
    </row>
    <row r="258" spans="1:17" x14ac:dyDescent="0.25">
      <c r="A258" s="20">
        <v>44517</v>
      </c>
      <c r="B258" s="1">
        <f>B254</f>
        <v>22</v>
      </c>
      <c r="C258" s="1" t="s">
        <v>106</v>
      </c>
      <c r="D258" s="1" t="s">
        <v>58</v>
      </c>
      <c r="E258" s="26" t="e">
        <f t="shared" ref="E258:F258" si="221">+E257</f>
        <v>#REF!</v>
      </c>
      <c r="F258" s="26" t="e">
        <f t="shared" si="221"/>
        <v>#REF!</v>
      </c>
      <c r="G258" s="17">
        <v>5</v>
      </c>
      <c r="H258" s="17" t="s">
        <v>9</v>
      </c>
      <c r="I258" s="30" t="s">
        <v>34</v>
      </c>
      <c r="J258" s="22">
        <v>0.6</v>
      </c>
      <c r="K258" s="22">
        <v>0.55000000000000004</v>
      </c>
      <c r="L258" s="8">
        <f t="shared" si="217"/>
        <v>4.9999999999999933E-2</v>
      </c>
      <c r="M258" s="24">
        <f t="shared" si="220"/>
        <v>2.1978021978021956E-3</v>
      </c>
      <c r="N258" s="14"/>
    </row>
    <row r="259" spans="1:17" x14ac:dyDescent="0.25">
      <c r="A259" s="20">
        <v>44517</v>
      </c>
      <c r="B259" s="1">
        <f>B254</f>
        <v>22</v>
      </c>
      <c r="C259" s="1" t="s">
        <v>106</v>
      </c>
      <c r="D259" s="1" t="s">
        <v>58</v>
      </c>
      <c r="E259" s="26" t="e">
        <f t="shared" ref="E259:F259" si="222">+E258</f>
        <v>#REF!</v>
      </c>
      <c r="F259" s="26" t="e">
        <f t="shared" si="222"/>
        <v>#REF!</v>
      </c>
      <c r="G259" s="17">
        <v>6</v>
      </c>
      <c r="H259" s="17" t="s">
        <v>9</v>
      </c>
      <c r="I259" s="30" t="s">
        <v>35</v>
      </c>
      <c r="J259" s="22"/>
      <c r="K259" s="22"/>
      <c r="L259" s="8">
        <f t="shared" si="217"/>
        <v>0</v>
      </c>
      <c r="M259" s="24">
        <f t="shared" si="220"/>
        <v>0</v>
      </c>
      <c r="N259" s="14"/>
    </row>
    <row r="260" spans="1:17" x14ac:dyDescent="0.25">
      <c r="A260" s="20">
        <v>44517</v>
      </c>
      <c r="B260" s="1">
        <f>B254</f>
        <v>22</v>
      </c>
      <c r="C260" s="1" t="s">
        <v>106</v>
      </c>
      <c r="D260" s="1" t="s">
        <v>58</v>
      </c>
      <c r="E260" s="26" t="e">
        <f t="shared" ref="E260:F260" si="223">+E259</f>
        <v>#REF!</v>
      </c>
      <c r="F260" s="26" t="e">
        <f t="shared" si="223"/>
        <v>#REF!</v>
      </c>
      <c r="G260" s="17">
        <v>7</v>
      </c>
      <c r="H260" s="17" t="s">
        <v>9</v>
      </c>
      <c r="I260" s="30" t="s">
        <v>36</v>
      </c>
      <c r="J260" s="22"/>
      <c r="K260" s="22"/>
      <c r="L260" s="8">
        <f t="shared" si="217"/>
        <v>0</v>
      </c>
      <c r="M260" s="24">
        <f t="shared" si="220"/>
        <v>0</v>
      </c>
      <c r="N260" s="14"/>
    </row>
    <row r="261" spans="1:17" x14ac:dyDescent="0.25">
      <c r="A261" s="20">
        <v>44517</v>
      </c>
      <c r="B261" s="1">
        <f>B254</f>
        <v>22</v>
      </c>
      <c r="C261" s="1" t="s">
        <v>106</v>
      </c>
      <c r="D261" s="1" t="s">
        <v>58</v>
      </c>
      <c r="E261" s="26" t="e">
        <f>+E260</f>
        <v>#REF!</v>
      </c>
      <c r="F261" s="26" t="e">
        <f>+F260</f>
        <v>#REF!</v>
      </c>
      <c r="G261" s="17">
        <v>8</v>
      </c>
      <c r="H261" s="17" t="s">
        <v>9</v>
      </c>
      <c r="I261" s="30" t="s">
        <v>59</v>
      </c>
      <c r="J261" s="22">
        <f>0.6</f>
        <v>0.6</v>
      </c>
      <c r="K261" s="22">
        <v>0.55000000000000004</v>
      </c>
      <c r="L261" s="8">
        <f t="shared" si="217"/>
        <v>4.9999999999999933E-2</v>
      </c>
      <c r="M261" s="24">
        <f t="shared" si="220"/>
        <v>2.1978021978021956E-3</v>
      </c>
      <c r="N261" s="14"/>
    </row>
    <row r="262" spans="1:17" x14ac:dyDescent="0.25">
      <c r="A262" s="20">
        <v>44517</v>
      </c>
      <c r="B262" s="1">
        <f>B254</f>
        <v>22</v>
      </c>
      <c r="C262" s="1" t="s">
        <v>106</v>
      </c>
      <c r="D262" s="1" t="s">
        <v>58</v>
      </c>
      <c r="E262" s="26" t="e">
        <f t="shared" ref="E262:F262" si="224">+E261</f>
        <v>#REF!</v>
      </c>
      <c r="F262" s="26" t="e">
        <f t="shared" si="224"/>
        <v>#REF!</v>
      </c>
      <c r="G262" s="17">
        <v>9</v>
      </c>
      <c r="H262" s="17" t="s">
        <v>9</v>
      </c>
      <c r="I262" s="30" t="s">
        <v>38</v>
      </c>
      <c r="J262" s="22"/>
      <c r="K262" s="22"/>
      <c r="L262" s="8">
        <f t="shared" si="217"/>
        <v>0</v>
      </c>
      <c r="M262" s="24">
        <f t="shared" si="220"/>
        <v>0</v>
      </c>
      <c r="N262" s="14"/>
    </row>
    <row r="263" spans="1:17" x14ac:dyDescent="0.25">
      <c r="A263" s="20">
        <v>44517</v>
      </c>
      <c r="B263" s="1">
        <f>B254</f>
        <v>22</v>
      </c>
      <c r="C263" s="1" t="s">
        <v>106</v>
      </c>
      <c r="D263" s="1" t="s">
        <v>58</v>
      </c>
      <c r="E263" s="26" t="e">
        <f t="shared" ref="E263:F263" si="225">+E262</f>
        <v>#REF!</v>
      </c>
      <c r="F263" s="26" t="e">
        <f t="shared" si="225"/>
        <v>#REF!</v>
      </c>
      <c r="G263" s="17">
        <v>10</v>
      </c>
      <c r="H263" s="17" t="s">
        <v>9</v>
      </c>
      <c r="I263" s="30" t="s">
        <v>23</v>
      </c>
      <c r="J263" s="22">
        <f>9.15+8.5</f>
        <v>17.649999999999999</v>
      </c>
      <c r="K263" s="22">
        <f>8.55+8.3</f>
        <v>16.850000000000001</v>
      </c>
      <c r="L263" s="8">
        <f t="shared" si="217"/>
        <v>0.79999999999999716</v>
      </c>
      <c r="M263" s="24">
        <f t="shared" si="220"/>
        <v>3.5164835164835054E-2</v>
      </c>
      <c r="N263" s="14"/>
    </row>
    <row r="264" spans="1:17" x14ac:dyDescent="0.25">
      <c r="A264" s="20">
        <v>44517</v>
      </c>
      <c r="B264" s="1">
        <f>B254</f>
        <v>22</v>
      </c>
      <c r="C264" s="1" t="s">
        <v>106</v>
      </c>
      <c r="D264" s="1" t="s">
        <v>58</v>
      </c>
      <c r="E264" s="26" t="e">
        <f t="shared" ref="E264:F264" si="226">+E263</f>
        <v>#REF!</v>
      </c>
      <c r="F264" s="26" t="e">
        <f t="shared" si="226"/>
        <v>#REF!</v>
      </c>
      <c r="G264" s="17">
        <v>11</v>
      </c>
      <c r="H264" s="17" t="s">
        <v>9</v>
      </c>
      <c r="I264" s="30" t="s">
        <v>60</v>
      </c>
      <c r="J264" s="22"/>
      <c r="K264" s="22"/>
      <c r="L264" s="8">
        <f t="shared" si="217"/>
        <v>0</v>
      </c>
      <c r="M264" s="24">
        <f t="shared" si="220"/>
        <v>0</v>
      </c>
      <c r="N264" s="14"/>
    </row>
    <row r="265" spans="1:17" s="2" customFormat="1" ht="15.75" thickBot="1" x14ac:dyDescent="0.3">
      <c r="A265" s="60">
        <v>44517</v>
      </c>
      <c r="B265" s="57">
        <f>B254</f>
        <v>22</v>
      </c>
      <c r="C265" s="57" t="s">
        <v>106</v>
      </c>
      <c r="D265" s="57" t="s">
        <v>58</v>
      </c>
      <c r="E265" s="61" t="e">
        <f t="shared" ref="E265:F265" si="227">+E264</f>
        <v>#REF!</v>
      </c>
      <c r="F265" s="61" t="e">
        <f t="shared" si="227"/>
        <v>#REF!</v>
      </c>
      <c r="G265" s="62">
        <f>+G264+1</f>
        <v>12</v>
      </c>
      <c r="H265" s="62" t="s">
        <v>10</v>
      </c>
      <c r="I265" s="46" t="s">
        <v>10</v>
      </c>
      <c r="J265" s="63">
        <f>9.35+9.8</f>
        <v>19.149999999999999</v>
      </c>
      <c r="K265" s="63">
        <f>8.55+8.55</f>
        <v>17.100000000000001</v>
      </c>
      <c r="L265" s="64">
        <f t="shared" si="217"/>
        <v>2.0499999999999972</v>
      </c>
      <c r="M265" s="65">
        <f>+L265/SUMIF(C:C,C265,L:L)</f>
        <v>9.0109890109890012E-2</v>
      </c>
      <c r="N265" s="66"/>
      <c r="Q265" s="5"/>
    </row>
    <row r="266" spans="1:17" x14ac:dyDescent="0.25">
      <c r="A266" s="19">
        <v>44517</v>
      </c>
      <c r="B266" s="15">
        <f>B254+1</f>
        <v>23</v>
      </c>
      <c r="C266" s="15" t="s">
        <v>117</v>
      </c>
      <c r="D266" s="15" t="s">
        <v>182</v>
      </c>
      <c r="E266" s="25">
        <f>23.6-1.2</f>
        <v>22.400000000000002</v>
      </c>
      <c r="F266" s="25">
        <f>+SUM(L266:L277)</f>
        <v>22.699999999999989</v>
      </c>
      <c r="G266" s="16">
        <v>1</v>
      </c>
      <c r="H266" s="16" t="s">
        <v>9</v>
      </c>
      <c r="I266" s="59" t="s">
        <v>56</v>
      </c>
      <c r="J266" s="21">
        <f>11+10.45</f>
        <v>21.45</v>
      </c>
      <c r="K266" s="21">
        <f>8.3+8.5</f>
        <v>16.8</v>
      </c>
      <c r="L266" s="12">
        <f>+J266-K266</f>
        <v>4.6499999999999986</v>
      </c>
      <c r="M266" s="23">
        <f>+L266/SUMIF(C:C,C266,L:L)</f>
        <v>0.20484581497797361</v>
      </c>
      <c r="N266" s="13"/>
      <c r="O266" t="s">
        <v>118</v>
      </c>
    </row>
    <row r="267" spans="1:17" x14ac:dyDescent="0.25">
      <c r="A267" s="20">
        <v>44517</v>
      </c>
      <c r="B267" s="1">
        <f>B266</f>
        <v>23</v>
      </c>
      <c r="C267" s="1" t="s">
        <v>117</v>
      </c>
      <c r="D267" s="1" t="s">
        <v>182</v>
      </c>
      <c r="E267" s="26">
        <f>+E266</f>
        <v>22.400000000000002</v>
      </c>
      <c r="F267" s="28">
        <f>+(F266-E266)/E266</f>
        <v>1.3392857142856538E-2</v>
      </c>
      <c r="G267" s="17">
        <v>2</v>
      </c>
      <c r="H267" s="17" t="s">
        <v>9</v>
      </c>
      <c r="I267" s="30" t="s">
        <v>57</v>
      </c>
      <c r="J267" s="22">
        <f>12.65+12.5+11.15+11.6</f>
        <v>47.9</v>
      </c>
      <c r="K267" s="22">
        <f>8.3+8.55+8.25+8.55</f>
        <v>33.650000000000006</v>
      </c>
      <c r="L267" s="8">
        <f t="shared" ref="L267:L277" si="228">+J267-K267</f>
        <v>14.249999999999993</v>
      </c>
      <c r="M267" s="24">
        <f t="shared" ref="M267" si="229">+L267/SUMIF(C:C,C267,L:L)</f>
        <v>0.6277533039647577</v>
      </c>
      <c r="N267" s="14"/>
      <c r="O267" t="s">
        <v>119</v>
      </c>
    </row>
    <row r="268" spans="1:17" x14ac:dyDescent="0.25">
      <c r="A268" s="20">
        <v>44517</v>
      </c>
      <c r="B268" s="1">
        <f>B266</f>
        <v>23</v>
      </c>
      <c r="C268" s="1" t="s">
        <v>117</v>
      </c>
      <c r="D268" s="1" t="s">
        <v>182</v>
      </c>
      <c r="E268" s="26" t="e">
        <f>+#REF!</f>
        <v>#REF!</v>
      </c>
      <c r="F268" s="26" t="e">
        <f>+#REF!</f>
        <v>#REF!</v>
      </c>
      <c r="G268" s="17">
        <v>3</v>
      </c>
      <c r="H268" s="17" t="s">
        <v>9</v>
      </c>
      <c r="I268" s="30" t="s">
        <v>58</v>
      </c>
      <c r="J268" s="22">
        <f>8.7+9.55</f>
        <v>18.25</v>
      </c>
      <c r="K268" s="22">
        <f>8.55+8.55</f>
        <v>17.100000000000001</v>
      </c>
      <c r="L268" s="8">
        <f t="shared" si="228"/>
        <v>1.1499999999999986</v>
      </c>
      <c r="M268" s="24">
        <f>+L268/SUMIF(C:C,C268,L:L)</f>
        <v>5.0660792951541814E-2</v>
      </c>
      <c r="N268" s="14"/>
    </row>
    <row r="269" spans="1:17" x14ac:dyDescent="0.25">
      <c r="A269" s="20">
        <v>44517</v>
      </c>
      <c r="B269" s="1">
        <f>B266</f>
        <v>23</v>
      </c>
      <c r="C269" s="1" t="s">
        <v>117</v>
      </c>
      <c r="D269" s="1" t="s">
        <v>182</v>
      </c>
      <c r="E269" s="26" t="e">
        <f t="shared" ref="E269:F269" si="230">+E268</f>
        <v>#REF!</v>
      </c>
      <c r="F269" s="26" t="e">
        <f t="shared" si="230"/>
        <v>#REF!</v>
      </c>
      <c r="G269" s="17">
        <v>4</v>
      </c>
      <c r="H269" s="17" t="s">
        <v>9</v>
      </c>
      <c r="I269" s="30" t="s">
        <v>22</v>
      </c>
      <c r="J269" s="22"/>
      <c r="K269" s="22"/>
      <c r="L269" s="8">
        <f t="shared" si="228"/>
        <v>0</v>
      </c>
      <c r="M269" s="24">
        <f t="shared" ref="M269:M276" si="231">+L269/SUMIF(C:C,C269,L:L)</f>
        <v>0</v>
      </c>
      <c r="N269" s="14"/>
    </row>
    <row r="270" spans="1:17" x14ac:dyDescent="0.25">
      <c r="A270" s="20">
        <v>44517</v>
      </c>
      <c r="B270" s="1">
        <f>B266</f>
        <v>23</v>
      </c>
      <c r="C270" s="1" t="s">
        <v>117</v>
      </c>
      <c r="D270" s="1" t="s">
        <v>182</v>
      </c>
      <c r="E270" s="26" t="e">
        <f t="shared" ref="E270:F270" si="232">+E269</f>
        <v>#REF!</v>
      </c>
      <c r="F270" s="26" t="e">
        <f t="shared" si="232"/>
        <v>#REF!</v>
      </c>
      <c r="G270" s="17">
        <v>5</v>
      </c>
      <c r="H270" s="17" t="s">
        <v>9</v>
      </c>
      <c r="I270" s="30" t="s">
        <v>34</v>
      </c>
      <c r="J270" s="22">
        <v>0.7</v>
      </c>
      <c r="K270" s="22">
        <v>0.5</v>
      </c>
      <c r="L270" s="8">
        <f t="shared" si="228"/>
        <v>0.19999999999999996</v>
      </c>
      <c r="M270" s="24">
        <f t="shared" si="231"/>
        <v>8.8105726872246722E-3</v>
      </c>
      <c r="N270" s="14"/>
    </row>
    <row r="271" spans="1:17" x14ac:dyDescent="0.25">
      <c r="A271" s="20">
        <v>44517</v>
      </c>
      <c r="B271" s="1">
        <f>B266</f>
        <v>23</v>
      </c>
      <c r="C271" s="1" t="s">
        <v>117</v>
      </c>
      <c r="D271" s="1" t="s">
        <v>182</v>
      </c>
      <c r="E271" s="26" t="e">
        <f t="shared" ref="E271:F271" si="233">+E270</f>
        <v>#REF!</v>
      </c>
      <c r="F271" s="26" t="e">
        <f t="shared" si="233"/>
        <v>#REF!</v>
      </c>
      <c r="G271" s="17">
        <v>6</v>
      </c>
      <c r="H271" s="17" t="s">
        <v>9</v>
      </c>
      <c r="I271" s="30" t="s">
        <v>35</v>
      </c>
      <c r="J271" s="22"/>
      <c r="K271" s="22"/>
      <c r="L271" s="8">
        <f t="shared" si="228"/>
        <v>0</v>
      </c>
      <c r="M271" s="24">
        <f t="shared" si="231"/>
        <v>0</v>
      </c>
      <c r="N271" s="14"/>
    </row>
    <row r="272" spans="1:17" x14ac:dyDescent="0.25">
      <c r="A272" s="20">
        <v>44517</v>
      </c>
      <c r="B272" s="1">
        <f>B266</f>
        <v>23</v>
      </c>
      <c r="C272" s="1" t="s">
        <v>117</v>
      </c>
      <c r="D272" s="1" t="s">
        <v>182</v>
      </c>
      <c r="E272" s="26" t="e">
        <f t="shared" ref="E272:F272" si="234">+E271</f>
        <v>#REF!</v>
      </c>
      <c r="F272" s="26" t="e">
        <f t="shared" si="234"/>
        <v>#REF!</v>
      </c>
      <c r="G272" s="17">
        <v>7</v>
      </c>
      <c r="H272" s="17" t="s">
        <v>9</v>
      </c>
      <c r="I272" s="30" t="s">
        <v>36</v>
      </c>
      <c r="J272" s="22"/>
      <c r="K272" s="22"/>
      <c r="L272" s="8">
        <f t="shared" si="228"/>
        <v>0</v>
      </c>
      <c r="M272" s="24">
        <f t="shared" si="231"/>
        <v>0</v>
      </c>
      <c r="N272" s="14"/>
    </row>
    <row r="273" spans="1:17" x14ac:dyDescent="0.25">
      <c r="A273" s="20">
        <v>44517</v>
      </c>
      <c r="B273" s="1">
        <f>B266</f>
        <v>23</v>
      </c>
      <c r="C273" s="1" t="s">
        <v>117</v>
      </c>
      <c r="D273" s="1" t="s">
        <v>182</v>
      </c>
      <c r="E273" s="26" t="e">
        <f>+E272</f>
        <v>#REF!</v>
      </c>
      <c r="F273" s="26" t="e">
        <f>+F272</f>
        <v>#REF!</v>
      </c>
      <c r="G273" s="17">
        <v>8</v>
      </c>
      <c r="H273" s="17" t="s">
        <v>9</v>
      </c>
      <c r="I273" s="30" t="s">
        <v>59</v>
      </c>
      <c r="J273" s="22">
        <v>0.95</v>
      </c>
      <c r="K273" s="22">
        <v>0.55000000000000004</v>
      </c>
      <c r="L273" s="8">
        <f t="shared" si="228"/>
        <v>0.39999999999999991</v>
      </c>
      <c r="M273" s="24">
        <f t="shared" si="231"/>
        <v>1.7621145374449344E-2</v>
      </c>
      <c r="N273" s="14"/>
    </row>
    <row r="274" spans="1:17" x14ac:dyDescent="0.25">
      <c r="A274" s="20">
        <v>44517</v>
      </c>
      <c r="B274" s="1">
        <f>B266</f>
        <v>23</v>
      </c>
      <c r="C274" s="1" t="s">
        <v>117</v>
      </c>
      <c r="D274" s="1" t="s">
        <v>182</v>
      </c>
      <c r="E274" s="26" t="e">
        <f t="shared" ref="E274:F274" si="235">+E273</f>
        <v>#REF!</v>
      </c>
      <c r="F274" s="26" t="e">
        <f t="shared" si="235"/>
        <v>#REF!</v>
      </c>
      <c r="G274" s="17">
        <v>9</v>
      </c>
      <c r="H274" s="17" t="s">
        <v>9</v>
      </c>
      <c r="I274" s="30" t="s">
        <v>38</v>
      </c>
      <c r="J274" s="22"/>
      <c r="K274" s="22"/>
      <c r="L274" s="8">
        <f t="shared" si="228"/>
        <v>0</v>
      </c>
      <c r="M274" s="24">
        <f t="shared" si="231"/>
        <v>0</v>
      </c>
      <c r="N274" s="14"/>
    </row>
    <row r="275" spans="1:17" x14ac:dyDescent="0.25">
      <c r="A275" s="20">
        <v>44517</v>
      </c>
      <c r="B275" s="1">
        <f>B266</f>
        <v>23</v>
      </c>
      <c r="C275" s="1" t="s">
        <v>117</v>
      </c>
      <c r="D275" s="1" t="s">
        <v>182</v>
      </c>
      <c r="E275" s="26" t="e">
        <f t="shared" ref="E275:F275" si="236">+E274</f>
        <v>#REF!</v>
      </c>
      <c r="F275" s="26" t="e">
        <f t="shared" si="236"/>
        <v>#REF!</v>
      </c>
      <c r="G275" s="17">
        <v>10</v>
      </c>
      <c r="H275" s="17" t="s">
        <v>9</v>
      </c>
      <c r="I275" s="30" t="s">
        <v>23</v>
      </c>
      <c r="J275" s="22">
        <v>0.8</v>
      </c>
      <c r="K275" s="22">
        <v>0.55000000000000004</v>
      </c>
      <c r="L275" s="8">
        <f t="shared" si="228"/>
        <v>0.25</v>
      </c>
      <c r="M275" s="24">
        <f t="shared" si="231"/>
        <v>1.1013215859030843E-2</v>
      </c>
      <c r="N275" s="14"/>
    </row>
    <row r="276" spans="1:17" x14ac:dyDescent="0.25">
      <c r="A276" s="20">
        <v>44517</v>
      </c>
      <c r="B276" s="1">
        <f>B266</f>
        <v>23</v>
      </c>
      <c r="C276" s="1" t="s">
        <v>117</v>
      </c>
      <c r="D276" s="1" t="s">
        <v>182</v>
      </c>
      <c r="E276" s="26" t="e">
        <f t="shared" ref="E276:F276" si="237">+E275</f>
        <v>#REF!</v>
      </c>
      <c r="F276" s="26" t="e">
        <f t="shared" si="237"/>
        <v>#REF!</v>
      </c>
      <c r="G276" s="17">
        <v>11</v>
      </c>
      <c r="H276" s="17" t="s">
        <v>9</v>
      </c>
      <c r="I276" s="30" t="s">
        <v>60</v>
      </c>
      <c r="J276" s="22">
        <v>0.55000000000000004</v>
      </c>
      <c r="K276" s="22">
        <v>0.5</v>
      </c>
      <c r="L276" s="8">
        <f t="shared" si="228"/>
        <v>5.0000000000000044E-2</v>
      </c>
      <c r="M276" s="24">
        <f t="shared" si="231"/>
        <v>2.2026431718061706E-3</v>
      </c>
      <c r="N276" s="14"/>
    </row>
    <row r="277" spans="1:17" s="2" customFormat="1" ht="30.75" thickBot="1" x14ac:dyDescent="0.3">
      <c r="A277" s="60">
        <v>44517</v>
      </c>
      <c r="B277" s="57">
        <f>B266</f>
        <v>23</v>
      </c>
      <c r="C277" s="57" t="s">
        <v>117</v>
      </c>
      <c r="D277" s="57" t="s">
        <v>182</v>
      </c>
      <c r="E277" s="61" t="e">
        <f t="shared" ref="E277:F277" si="238">+E276</f>
        <v>#REF!</v>
      </c>
      <c r="F277" s="61" t="e">
        <f t="shared" si="238"/>
        <v>#REF!</v>
      </c>
      <c r="G277" s="62">
        <f>+G276+1</f>
        <v>12</v>
      </c>
      <c r="H277" s="62" t="s">
        <v>10</v>
      </c>
      <c r="I277" s="46" t="s">
        <v>10</v>
      </c>
      <c r="J277" s="63">
        <f>9.3+9.5</f>
        <v>18.8</v>
      </c>
      <c r="K277" s="63">
        <f>8.5+8.55</f>
        <v>17.05</v>
      </c>
      <c r="L277" s="64">
        <f t="shared" si="228"/>
        <v>1.75</v>
      </c>
      <c r="M277" s="65">
        <f>+L277/SUMIF(C:C,C277,L:L)</f>
        <v>7.7092511013215903E-2</v>
      </c>
      <c r="N277" s="66" t="s">
        <v>120</v>
      </c>
      <c r="Q277" s="5"/>
    </row>
    <row r="278" spans="1:17" x14ac:dyDescent="0.25">
      <c r="A278" s="19">
        <v>44517</v>
      </c>
      <c r="B278" s="15">
        <f>B266+1</f>
        <v>24</v>
      </c>
      <c r="C278" s="15" t="s">
        <v>121</v>
      </c>
      <c r="D278" s="15" t="s">
        <v>182</v>
      </c>
      <c r="E278" s="25">
        <f>22.4-1.2</f>
        <v>21.2</v>
      </c>
      <c r="F278" s="25">
        <f>+SUM(L278:L289)</f>
        <v>20.999999999999993</v>
      </c>
      <c r="G278" s="16">
        <v>1</v>
      </c>
      <c r="H278" s="16" t="s">
        <v>9</v>
      </c>
      <c r="I278" s="59" t="s">
        <v>56</v>
      </c>
      <c r="J278" s="21">
        <f>10.4+10.3</f>
        <v>20.700000000000003</v>
      </c>
      <c r="K278" s="21">
        <f>8.5+8.5</f>
        <v>17</v>
      </c>
      <c r="L278" s="12">
        <f>+J278-K278</f>
        <v>3.7000000000000028</v>
      </c>
      <c r="M278" s="23">
        <f>+L278/SUMIF(C:C,C278,L:L)</f>
        <v>0.1761904761904764</v>
      </c>
      <c r="N278" s="13"/>
      <c r="O278" t="s">
        <v>122</v>
      </c>
    </row>
    <row r="279" spans="1:17" x14ac:dyDescent="0.25">
      <c r="A279" s="20">
        <v>44517</v>
      </c>
      <c r="B279" s="1">
        <f>B278</f>
        <v>24</v>
      </c>
      <c r="C279" s="1" t="s">
        <v>121</v>
      </c>
      <c r="D279" s="1" t="s">
        <v>182</v>
      </c>
      <c r="E279" s="26">
        <f>+E278</f>
        <v>21.2</v>
      </c>
      <c r="F279" s="28">
        <f>+(F278-E278)/E278</f>
        <v>-9.4339622641512449E-3</v>
      </c>
      <c r="G279" s="17">
        <v>2</v>
      </c>
      <c r="H279" s="17" t="s">
        <v>9</v>
      </c>
      <c r="I279" s="30" t="s">
        <v>57</v>
      </c>
      <c r="J279" s="22">
        <f>11.05+11.25+12+11.2</f>
        <v>45.5</v>
      </c>
      <c r="K279" s="22">
        <f>8.25+8.3+8.55+8.3</f>
        <v>33.400000000000006</v>
      </c>
      <c r="L279" s="8">
        <f t="shared" ref="L279:L289" si="239">+J279-K279</f>
        <v>12.099999999999994</v>
      </c>
      <c r="M279" s="24">
        <f t="shared" ref="M279" si="240">+L279/SUMIF(C:C,C279,L:L)</f>
        <v>0.57619047619047614</v>
      </c>
      <c r="N279" s="14"/>
      <c r="O279" t="s">
        <v>123</v>
      </c>
    </row>
    <row r="280" spans="1:17" x14ac:dyDescent="0.25">
      <c r="A280" s="20">
        <v>44517</v>
      </c>
      <c r="B280" s="1">
        <f>B278</f>
        <v>24</v>
      </c>
      <c r="C280" s="1" t="s">
        <v>121</v>
      </c>
      <c r="D280" s="1" t="s">
        <v>182</v>
      </c>
      <c r="E280" s="26" t="e">
        <f>+#REF!</f>
        <v>#REF!</v>
      </c>
      <c r="F280" s="26" t="e">
        <f>+#REF!</f>
        <v>#REF!</v>
      </c>
      <c r="G280" s="17">
        <v>3</v>
      </c>
      <c r="H280" s="17" t="s">
        <v>9</v>
      </c>
      <c r="I280" s="30" t="s">
        <v>58</v>
      </c>
      <c r="J280" s="22">
        <f>8.8</f>
        <v>8.8000000000000007</v>
      </c>
      <c r="K280" s="22">
        <f>8.55</f>
        <v>8.5500000000000007</v>
      </c>
      <c r="L280" s="8">
        <f t="shared" si="239"/>
        <v>0.25</v>
      </c>
      <c r="M280" s="24">
        <f>+L280/SUMIF(C:C,C280,L:L)</f>
        <v>1.1904761904761909E-2</v>
      </c>
      <c r="N280" s="14"/>
    </row>
    <row r="281" spans="1:17" x14ac:dyDescent="0.25">
      <c r="A281" s="20">
        <v>44517</v>
      </c>
      <c r="B281" s="1">
        <f>B278</f>
        <v>24</v>
      </c>
      <c r="C281" s="1" t="s">
        <v>121</v>
      </c>
      <c r="D281" s="1" t="s">
        <v>182</v>
      </c>
      <c r="E281" s="26" t="e">
        <f t="shared" ref="E281:F281" si="241">+E280</f>
        <v>#REF!</v>
      </c>
      <c r="F281" s="26" t="e">
        <f t="shared" si="241"/>
        <v>#REF!</v>
      </c>
      <c r="G281" s="17">
        <v>4</v>
      </c>
      <c r="H281" s="17" t="s">
        <v>9</v>
      </c>
      <c r="I281" s="30" t="s">
        <v>22</v>
      </c>
      <c r="J281" s="22">
        <v>0.75</v>
      </c>
      <c r="K281" s="22">
        <v>0.5</v>
      </c>
      <c r="L281" s="8">
        <f t="shared" si="239"/>
        <v>0.25</v>
      </c>
      <c r="M281" s="24">
        <f t="shared" ref="M281:M288" si="242">+L281/SUMIF(C:C,C281,L:L)</f>
        <v>1.1904761904761909E-2</v>
      </c>
      <c r="N281" s="14"/>
    </row>
    <row r="282" spans="1:17" x14ac:dyDescent="0.25">
      <c r="A282" s="20">
        <v>44517</v>
      </c>
      <c r="B282" s="1">
        <f>B278</f>
        <v>24</v>
      </c>
      <c r="C282" s="1" t="s">
        <v>121</v>
      </c>
      <c r="D282" s="1" t="s">
        <v>182</v>
      </c>
      <c r="E282" s="26" t="e">
        <f t="shared" ref="E282:F282" si="243">+E281</f>
        <v>#REF!</v>
      </c>
      <c r="F282" s="26" t="e">
        <f t="shared" si="243"/>
        <v>#REF!</v>
      </c>
      <c r="G282" s="17">
        <v>5</v>
      </c>
      <c r="H282" s="17" t="s">
        <v>9</v>
      </c>
      <c r="I282" s="30" t="s">
        <v>34</v>
      </c>
      <c r="J282" s="22">
        <f>0.75+0.85</f>
        <v>1.6</v>
      </c>
      <c r="K282" s="22">
        <f>0.55*2</f>
        <v>1.1000000000000001</v>
      </c>
      <c r="L282" s="8">
        <f t="shared" si="239"/>
        <v>0.5</v>
      </c>
      <c r="M282" s="24">
        <f t="shared" si="242"/>
        <v>2.3809523809523819E-2</v>
      </c>
      <c r="N282" s="14"/>
    </row>
    <row r="283" spans="1:17" x14ac:dyDescent="0.25">
      <c r="A283" s="20">
        <v>44517</v>
      </c>
      <c r="B283" s="1">
        <f>B278</f>
        <v>24</v>
      </c>
      <c r="C283" s="1" t="s">
        <v>121</v>
      </c>
      <c r="D283" s="1" t="s">
        <v>182</v>
      </c>
      <c r="E283" s="26" t="e">
        <f t="shared" ref="E283:F283" si="244">+E282</f>
        <v>#REF!</v>
      </c>
      <c r="F283" s="26" t="e">
        <f t="shared" si="244"/>
        <v>#REF!</v>
      </c>
      <c r="G283" s="17">
        <v>6</v>
      </c>
      <c r="H283" s="17" t="s">
        <v>9</v>
      </c>
      <c r="I283" s="30" t="s">
        <v>35</v>
      </c>
      <c r="J283" s="22"/>
      <c r="K283" s="22"/>
      <c r="L283" s="8">
        <f t="shared" si="239"/>
        <v>0</v>
      </c>
      <c r="M283" s="24">
        <f t="shared" si="242"/>
        <v>0</v>
      </c>
      <c r="N283" s="14"/>
    </row>
    <row r="284" spans="1:17" x14ac:dyDescent="0.25">
      <c r="A284" s="20">
        <v>44517</v>
      </c>
      <c r="B284" s="1">
        <f>B278</f>
        <v>24</v>
      </c>
      <c r="C284" s="1" t="s">
        <v>121</v>
      </c>
      <c r="D284" s="1" t="s">
        <v>182</v>
      </c>
      <c r="E284" s="26" t="e">
        <f t="shared" ref="E284:F284" si="245">+E283</f>
        <v>#REF!</v>
      </c>
      <c r="F284" s="26" t="e">
        <f t="shared" si="245"/>
        <v>#REF!</v>
      </c>
      <c r="G284" s="17">
        <v>7</v>
      </c>
      <c r="H284" s="17" t="s">
        <v>9</v>
      </c>
      <c r="I284" s="30" t="s">
        <v>36</v>
      </c>
      <c r="J284" s="22"/>
      <c r="K284" s="22"/>
      <c r="L284" s="8">
        <f t="shared" si="239"/>
        <v>0</v>
      </c>
      <c r="M284" s="24">
        <f t="shared" si="242"/>
        <v>0</v>
      </c>
      <c r="N284" s="14"/>
    </row>
    <row r="285" spans="1:17" x14ac:dyDescent="0.25">
      <c r="A285" s="20">
        <v>44517</v>
      </c>
      <c r="B285" s="1">
        <f>B278</f>
        <v>24</v>
      </c>
      <c r="C285" s="1" t="s">
        <v>121</v>
      </c>
      <c r="D285" s="1" t="s">
        <v>182</v>
      </c>
      <c r="E285" s="26" t="e">
        <f>+E284</f>
        <v>#REF!</v>
      </c>
      <c r="F285" s="26" t="e">
        <f>+F284</f>
        <v>#REF!</v>
      </c>
      <c r="G285" s="17">
        <v>8</v>
      </c>
      <c r="H285" s="17" t="s">
        <v>9</v>
      </c>
      <c r="I285" s="30" t="s">
        <v>59</v>
      </c>
      <c r="J285" s="22">
        <f>1.1+0.75</f>
        <v>1.85</v>
      </c>
      <c r="K285" s="22">
        <f>0.55+0.55</f>
        <v>1.1000000000000001</v>
      </c>
      <c r="L285" s="8">
        <f t="shared" si="239"/>
        <v>0.75</v>
      </c>
      <c r="M285" s="24">
        <f t="shared" si="242"/>
        <v>3.5714285714285726E-2</v>
      </c>
      <c r="N285" s="14"/>
    </row>
    <row r="286" spans="1:17" x14ac:dyDescent="0.25">
      <c r="A286" s="20">
        <v>44517</v>
      </c>
      <c r="B286" s="1">
        <f>B278</f>
        <v>24</v>
      </c>
      <c r="C286" s="1" t="s">
        <v>121</v>
      </c>
      <c r="D286" s="1" t="s">
        <v>182</v>
      </c>
      <c r="E286" s="26" t="e">
        <f t="shared" ref="E286:F286" si="246">+E285</f>
        <v>#REF!</v>
      </c>
      <c r="F286" s="26" t="e">
        <f t="shared" si="246"/>
        <v>#REF!</v>
      </c>
      <c r="G286" s="17">
        <v>9</v>
      </c>
      <c r="H286" s="17" t="s">
        <v>9</v>
      </c>
      <c r="I286" s="30" t="s">
        <v>38</v>
      </c>
      <c r="J286" s="22"/>
      <c r="K286" s="22"/>
      <c r="L286" s="8">
        <f t="shared" si="239"/>
        <v>0</v>
      </c>
      <c r="M286" s="24">
        <f t="shared" si="242"/>
        <v>0</v>
      </c>
      <c r="N286" s="14"/>
    </row>
    <row r="287" spans="1:17" x14ac:dyDescent="0.25">
      <c r="A287" s="20">
        <v>44517</v>
      </c>
      <c r="B287" s="1">
        <f>B278</f>
        <v>24</v>
      </c>
      <c r="C287" s="1" t="s">
        <v>121</v>
      </c>
      <c r="D287" s="1" t="s">
        <v>182</v>
      </c>
      <c r="E287" s="26" t="e">
        <f t="shared" ref="E287:F287" si="247">+E286</f>
        <v>#REF!</v>
      </c>
      <c r="F287" s="26" t="e">
        <f t="shared" si="247"/>
        <v>#REF!</v>
      </c>
      <c r="G287" s="17">
        <v>10</v>
      </c>
      <c r="H287" s="17" t="s">
        <v>9</v>
      </c>
      <c r="I287" s="30" t="s">
        <v>23</v>
      </c>
      <c r="J287" s="22">
        <f>1.05+0.7</f>
        <v>1.75</v>
      </c>
      <c r="K287" s="22">
        <f>0.5+0.55</f>
        <v>1.05</v>
      </c>
      <c r="L287" s="8">
        <f t="shared" si="239"/>
        <v>0.7</v>
      </c>
      <c r="M287" s="24">
        <f t="shared" si="242"/>
        <v>3.333333333333334E-2</v>
      </c>
      <c r="N287" s="14"/>
    </row>
    <row r="288" spans="1:17" x14ac:dyDescent="0.25">
      <c r="A288" s="20">
        <v>44517</v>
      </c>
      <c r="B288" s="1">
        <f>B278</f>
        <v>24</v>
      </c>
      <c r="C288" s="1" t="s">
        <v>121</v>
      </c>
      <c r="D288" s="1" t="s">
        <v>182</v>
      </c>
      <c r="E288" s="26" t="e">
        <f t="shared" ref="E288:F288" si="248">+E287</f>
        <v>#REF!</v>
      </c>
      <c r="F288" s="26" t="e">
        <f t="shared" si="248"/>
        <v>#REF!</v>
      </c>
      <c r="G288" s="17">
        <v>11</v>
      </c>
      <c r="H288" s="17" t="s">
        <v>9</v>
      </c>
      <c r="I288" s="30" t="s">
        <v>60</v>
      </c>
      <c r="J288" s="22">
        <f>0.7</f>
        <v>0.7</v>
      </c>
      <c r="K288" s="22">
        <v>0.55000000000000004</v>
      </c>
      <c r="L288" s="8">
        <f t="shared" si="239"/>
        <v>0.14999999999999991</v>
      </c>
      <c r="M288" s="24">
        <f t="shared" si="242"/>
        <v>7.1428571428571409E-3</v>
      </c>
      <c r="N288" s="14"/>
    </row>
    <row r="289" spans="1:17" s="2" customFormat="1" ht="15.75" thickBot="1" x14ac:dyDescent="0.3">
      <c r="A289" s="60">
        <v>44517</v>
      </c>
      <c r="B289" s="57">
        <f>B278</f>
        <v>24</v>
      </c>
      <c r="C289" s="57" t="s">
        <v>121</v>
      </c>
      <c r="D289" s="57" t="s">
        <v>182</v>
      </c>
      <c r="E289" s="61" t="e">
        <f t="shared" ref="E289:F289" si="249">+E288</f>
        <v>#REF!</v>
      </c>
      <c r="F289" s="61" t="e">
        <f t="shared" si="249"/>
        <v>#REF!</v>
      </c>
      <c r="G289" s="62">
        <f>+G288+1</f>
        <v>12</v>
      </c>
      <c r="H289" s="62" t="s">
        <v>10</v>
      </c>
      <c r="I289" s="46" t="s">
        <v>10</v>
      </c>
      <c r="J289" s="63">
        <f>9.7+9.95</f>
        <v>19.649999999999999</v>
      </c>
      <c r="K289" s="63">
        <f>8.55+8.5</f>
        <v>17.05</v>
      </c>
      <c r="L289" s="64">
        <f t="shared" si="239"/>
        <v>2.5999999999999979</v>
      </c>
      <c r="M289" s="65">
        <f>+L289/SUMIF(C:C,C289,L:L)</f>
        <v>0.12380952380952374</v>
      </c>
      <c r="N289" s="66"/>
      <c r="Q289" s="5"/>
    </row>
    <row r="290" spans="1:17" x14ac:dyDescent="0.25">
      <c r="A290" s="19">
        <v>44518</v>
      </c>
      <c r="B290" s="15">
        <f>B278+1</f>
        <v>25</v>
      </c>
      <c r="C290" s="15" t="s">
        <v>124</v>
      </c>
      <c r="D290" s="15" t="s">
        <v>182</v>
      </c>
      <c r="E290" s="25">
        <f>24-1.2</f>
        <v>22.8</v>
      </c>
      <c r="F290" s="25">
        <f>+SUM(L290:L301)</f>
        <v>23.599999999999998</v>
      </c>
      <c r="G290" s="16">
        <v>1</v>
      </c>
      <c r="H290" s="16" t="s">
        <v>9</v>
      </c>
      <c r="I290" s="59" t="s">
        <v>56</v>
      </c>
      <c r="J290" s="21">
        <f>12.2+11.4</f>
        <v>23.6</v>
      </c>
      <c r="K290" s="21">
        <f>8.55+8.5</f>
        <v>17.05</v>
      </c>
      <c r="L290" s="12">
        <f>+J290-K290</f>
        <v>6.5500000000000007</v>
      </c>
      <c r="M290" s="23">
        <f>+L290/SUMIF(C:C,C290,L:L)</f>
        <v>0.27754237288135597</v>
      </c>
      <c r="N290" s="13"/>
      <c r="O290" t="s">
        <v>125</v>
      </c>
    </row>
    <row r="291" spans="1:17" x14ac:dyDescent="0.25">
      <c r="A291" s="20">
        <v>44518</v>
      </c>
      <c r="B291" s="1">
        <f>B290</f>
        <v>25</v>
      </c>
      <c r="C291" s="1" t="s">
        <v>124</v>
      </c>
      <c r="D291" s="1" t="s">
        <v>182</v>
      </c>
      <c r="E291" s="26">
        <f>+E290</f>
        <v>22.8</v>
      </c>
      <c r="F291" s="28">
        <f>+(F290-E290)/E290</f>
        <v>3.5087719298245487E-2</v>
      </c>
      <c r="G291" s="17">
        <v>2</v>
      </c>
      <c r="H291" s="17" t="s">
        <v>9</v>
      </c>
      <c r="I291" s="30" t="s">
        <v>57</v>
      </c>
      <c r="J291" s="22">
        <f>12.3+11.85+10.75+12.05</f>
        <v>46.95</v>
      </c>
      <c r="K291" s="22">
        <f>8.55+8.25+8.55+8.3</f>
        <v>33.650000000000006</v>
      </c>
      <c r="L291" s="8">
        <f t="shared" ref="L291:L301" si="250">+J291-K291</f>
        <v>13.299999999999997</v>
      </c>
      <c r="M291" s="24">
        <f t="shared" ref="M291" si="251">+L291/SUMIF(C:C,C291,L:L)</f>
        <v>0.56355932203389825</v>
      </c>
      <c r="N291" s="14"/>
      <c r="O291" t="s">
        <v>126</v>
      </c>
    </row>
    <row r="292" spans="1:17" x14ac:dyDescent="0.25">
      <c r="A292" s="20">
        <v>44518</v>
      </c>
      <c r="B292" s="1">
        <f>B290</f>
        <v>25</v>
      </c>
      <c r="C292" s="1" t="s">
        <v>124</v>
      </c>
      <c r="D292" s="1" t="s">
        <v>182</v>
      </c>
      <c r="E292" s="26" t="e">
        <f>+#REF!</f>
        <v>#REF!</v>
      </c>
      <c r="F292" s="26" t="e">
        <f>+#REF!</f>
        <v>#REF!</v>
      </c>
      <c r="G292" s="17">
        <v>3</v>
      </c>
      <c r="H292" s="17" t="s">
        <v>9</v>
      </c>
      <c r="I292" s="30" t="s">
        <v>58</v>
      </c>
      <c r="J292" s="22">
        <f>8.85+8.8</f>
        <v>17.649999999999999</v>
      </c>
      <c r="K292" s="22">
        <f>8.55+8.5</f>
        <v>17.05</v>
      </c>
      <c r="L292" s="8">
        <f t="shared" si="250"/>
        <v>0.59999999999999787</v>
      </c>
      <c r="M292" s="24">
        <f>+L292/SUMIF(C:C,C292,L:L)</f>
        <v>2.5423728813559233E-2</v>
      </c>
      <c r="N292" s="14"/>
    </row>
    <row r="293" spans="1:17" x14ac:dyDescent="0.25">
      <c r="A293" s="20">
        <v>44518</v>
      </c>
      <c r="B293" s="1">
        <f>B290</f>
        <v>25</v>
      </c>
      <c r="C293" s="1" t="s">
        <v>124</v>
      </c>
      <c r="D293" s="1" t="s">
        <v>182</v>
      </c>
      <c r="E293" s="26" t="e">
        <f t="shared" ref="E293:F293" si="252">+E292</f>
        <v>#REF!</v>
      </c>
      <c r="F293" s="26" t="e">
        <f t="shared" si="252"/>
        <v>#REF!</v>
      </c>
      <c r="G293" s="17">
        <v>4</v>
      </c>
      <c r="H293" s="17" t="s">
        <v>9</v>
      </c>
      <c r="I293" s="30" t="s">
        <v>22</v>
      </c>
      <c r="J293" s="22">
        <v>0.8</v>
      </c>
      <c r="K293" s="22">
        <v>0.55000000000000004</v>
      </c>
      <c r="L293" s="8">
        <f t="shared" si="250"/>
        <v>0.25</v>
      </c>
      <c r="M293" s="24">
        <f t="shared" ref="M293:M300" si="253">+L293/SUMIF(C:C,C293,L:L)</f>
        <v>1.0593220338983052E-2</v>
      </c>
      <c r="N293" s="14"/>
    </row>
    <row r="294" spans="1:17" x14ac:dyDescent="0.25">
      <c r="A294" s="20">
        <v>44518</v>
      </c>
      <c r="B294" s="1">
        <f>B290</f>
        <v>25</v>
      </c>
      <c r="C294" s="1" t="s">
        <v>124</v>
      </c>
      <c r="D294" s="1" t="s">
        <v>182</v>
      </c>
      <c r="E294" s="26" t="e">
        <f t="shared" ref="E294:F294" si="254">+E293</f>
        <v>#REF!</v>
      </c>
      <c r="F294" s="26" t="e">
        <f t="shared" si="254"/>
        <v>#REF!</v>
      </c>
      <c r="G294" s="17">
        <v>5</v>
      </c>
      <c r="H294" s="17" t="s">
        <v>9</v>
      </c>
      <c r="I294" s="30" t="s">
        <v>34</v>
      </c>
      <c r="J294" s="22">
        <v>1.05</v>
      </c>
      <c r="K294" s="22">
        <v>0.5</v>
      </c>
      <c r="L294" s="8">
        <f t="shared" si="250"/>
        <v>0.55000000000000004</v>
      </c>
      <c r="M294" s="24">
        <f t="shared" si="253"/>
        <v>2.3305084745762716E-2</v>
      </c>
      <c r="N294" s="14"/>
    </row>
    <row r="295" spans="1:17" x14ac:dyDescent="0.25">
      <c r="A295" s="20">
        <v>44518</v>
      </c>
      <c r="B295" s="1">
        <f>B290</f>
        <v>25</v>
      </c>
      <c r="C295" s="1" t="s">
        <v>124</v>
      </c>
      <c r="D295" s="1" t="s">
        <v>182</v>
      </c>
      <c r="E295" s="26" t="e">
        <f t="shared" ref="E295:F295" si="255">+E294</f>
        <v>#REF!</v>
      </c>
      <c r="F295" s="26" t="e">
        <f t="shared" si="255"/>
        <v>#REF!</v>
      </c>
      <c r="G295" s="17">
        <v>6</v>
      </c>
      <c r="H295" s="17" t="s">
        <v>9</v>
      </c>
      <c r="I295" s="30" t="s">
        <v>35</v>
      </c>
      <c r="J295" s="22"/>
      <c r="K295" s="22"/>
      <c r="L295" s="8">
        <f t="shared" si="250"/>
        <v>0</v>
      </c>
      <c r="M295" s="24">
        <f t="shared" si="253"/>
        <v>0</v>
      </c>
      <c r="N295" s="14"/>
    </row>
    <row r="296" spans="1:17" x14ac:dyDescent="0.25">
      <c r="A296" s="20">
        <v>44518</v>
      </c>
      <c r="B296" s="1">
        <f>B290</f>
        <v>25</v>
      </c>
      <c r="C296" s="1" t="s">
        <v>124</v>
      </c>
      <c r="D296" s="1" t="s">
        <v>182</v>
      </c>
      <c r="E296" s="26" t="e">
        <f t="shared" ref="E296:F296" si="256">+E295</f>
        <v>#REF!</v>
      </c>
      <c r="F296" s="26" t="e">
        <f t="shared" si="256"/>
        <v>#REF!</v>
      </c>
      <c r="G296" s="17">
        <v>7</v>
      </c>
      <c r="H296" s="17" t="s">
        <v>9</v>
      </c>
      <c r="I296" s="30" t="s">
        <v>36</v>
      </c>
      <c r="J296" s="22"/>
      <c r="K296" s="22"/>
      <c r="L296" s="8">
        <f t="shared" si="250"/>
        <v>0</v>
      </c>
      <c r="M296" s="24">
        <f t="shared" si="253"/>
        <v>0</v>
      </c>
      <c r="N296" s="14"/>
    </row>
    <row r="297" spans="1:17" x14ac:dyDescent="0.25">
      <c r="A297" s="20">
        <v>44518</v>
      </c>
      <c r="B297" s="1">
        <f>B290</f>
        <v>25</v>
      </c>
      <c r="C297" s="1" t="s">
        <v>124</v>
      </c>
      <c r="D297" s="1" t="s">
        <v>182</v>
      </c>
      <c r="E297" s="26" t="e">
        <f>+E296</f>
        <v>#REF!</v>
      </c>
      <c r="F297" s="26" t="e">
        <f>+F296</f>
        <v>#REF!</v>
      </c>
      <c r="G297" s="17">
        <v>8</v>
      </c>
      <c r="H297" s="17" t="s">
        <v>9</v>
      </c>
      <c r="I297" s="30" t="s">
        <v>59</v>
      </c>
      <c r="J297" s="22">
        <v>0.85</v>
      </c>
      <c r="K297" s="22">
        <v>0.55000000000000004</v>
      </c>
      <c r="L297" s="8">
        <f t="shared" si="250"/>
        <v>0.29999999999999993</v>
      </c>
      <c r="M297" s="24">
        <f t="shared" si="253"/>
        <v>1.271186440677966E-2</v>
      </c>
      <c r="N297" s="14"/>
    </row>
    <row r="298" spans="1:17" x14ac:dyDescent="0.25">
      <c r="A298" s="20">
        <v>44518</v>
      </c>
      <c r="B298" s="1">
        <f>B290</f>
        <v>25</v>
      </c>
      <c r="C298" s="1" t="s">
        <v>124</v>
      </c>
      <c r="D298" s="1" t="s">
        <v>182</v>
      </c>
      <c r="E298" s="26" t="e">
        <f t="shared" ref="E298:F298" si="257">+E297</f>
        <v>#REF!</v>
      </c>
      <c r="F298" s="26" t="e">
        <f t="shared" si="257"/>
        <v>#REF!</v>
      </c>
      <c r="G298" s="17">
        <v>9</v>
      </c>
      <c r="H298" s="17" t="s">
        <v>9</v>
      </c>
      <c r="I298" s="30" t="s">
        <v>38</v>
      </c>
      <c r="J298" s="22"/>
      <c r="K298" s="22"/>
      <c r="L298" s="8">
        <f t="shared" si="250"/>
        <v>0</v>
      </c>
      <c r="M298" s="24">
        <f t="shared" si="253"/>
        <v>0</v>
      </c>
      <c r="N298" s="14"/>
    </row>
    <row r="299" spans="1:17" x14ac:dyDescent="0.25">
      <c r="A299" s="20">
        <v>44518</v>
      </c>
      <c r="B299" s="1">
        <f>B290</f>
        <v>25</v>
      </c>
      <c r="C299" s="1" t="s">
        <v>124</v>
      </c>
      <c r="D299" s="1" t="s">
        <v>182</v>
      </c>
      <c r="E299" s="26" t="e">
        <f t="shared" ref="E299:F299" si="258">+E298</f>
        <v>#REF!</v>
      </c>
      <c r="F299" s="26" t="e">
        <f t="shared" si="258"/>
        <v>#REF!</v>
      </c>
      <c r="G299" s="17">
        <v>10</v>
      </c>
      <c r="H299" s="17" t="s">
        <v>9</v>
      </c>
      <c r="I299" s="30" t="s">
        <v>23</v>
      </c>
      <c r="J299" s="22">
        <v>1.1000000000000001</v>
      </c>
      <c r="K299" s="22">
        <v>0.55000000000000004</v>
      </c>
      <c r="L299" s="8">
        <f t="shared" si="250"/>
        <v>0.55000000000000004</v>
      </c>
      <c r="M299" s="24">
        <f t="shared" si="253"/>
        <v>2.3305084745762716E-2</v>
      </c>
      <c r="N299" s="14"/>
    </row>
    <row r="300" spans="1:17" x14ac:dyDescent="0.25">
      <c r="A300" s="20">
        <v>44518</v>
      </c>
      <c r="B300" s="1">
        <f>B290</f>
        <v>25</v>
      </c>
      <c r="C300" s="1" t="s">
        <v>124</v>
      </c>
      <c r="D300" s="1" t="s">
        <v>182</v>
      </c>
      <c r="E300" s="26" t="e">
        <f t="shared" ref="E300:F300" si="259">+E299</f>
        <v>#REF!</v>
      </c>
      <c r="F300" s="26" t="e">
        <f t="shared" si="259"/>
        <v>#REF!</v>
      </c>
      <c r="G300" s="17">
        <v>11</v>
      </c>
      <c r="H300" s="17" t="s">
        <v>9</v>
      </c>
      <c r="I300" s="30" t="s">
        <v>60</v>
      </c>
      <c r="J300" s="22">
        <v>0.75</v>
      </c>
      <c r="K300" s="22">
        <v>0.5</v>
      </c>
      <c r="L300" s="8">
        <f t="shared" si="250"/>
        <v>0.25</v>
      </c>
      <c r="M300" s="24">
        <f t="shared" si="253"/>
        <v>1.0593220338983052E-2</v>
      </c>
      <c r="N300" s="14"/>
    </row>
    <row r="301" spans="1:17" s="2" customFormat="1" ht="15.75" thickBot="1" x14ac:dyDescent="0.3">
      <c r="A301" s="60">
        <v>44518</v>
      </c>
      <c r="B301" s="57">
        <f>B290</f>
        <v>25</v>
      </c>
      <c r="C301" s="57" t="s">
        <v>124</v>
      </c>
      <c r="D301" s="57" t="s">
        <v>182</v>
      </c>
      <c r="E301" s="61" t="e">
        <f t="shared" ref="E301:F301" si="260">+E300</f>
        <v>#REF!</v>
      </c>
      <c r="F301" s="61" t="e">
        <f t="shared" si="260"/>
        <v>#REF!</v>
      </c>
      <c r="G301" s="62">
        <f>+G300+1</f>
        <v>12</v>
      </c>
      <c r="H301" s="62" t="s">
        <v>10</v>
      </c>
      <c r="I301" s="46" t="s">
        <v>10</v>
      </c>
      <c r="J301" s="63">
        <f>9.05+9</f>
        <v>18.05</v>
      </c>
      <c r="K301" s="63">
        <f>8.5+8.3</f>
        <v>16.8</v>
      </c>
      <c r="L301" s="64">
        <f t="shared" si="250"/>
        <v>1.25</v>
      </c>
      <c r="M301" s="65">
        <f>+L301/SUMIF(C:C,C301,L:L)</f>
        <v>5.2966101694915259E-2</v>
      </c>
      <c r="N301" s="66"/>
      <c r="Q301" s="5"/>
    </row>
    <row r="302" spans="1:17" x14ac:dyDescent="0.25">
      <c r="A302" s="19">
        <v>44518</v>
      </c>
      <c r="B302" s="15">
        <f>B290+1</f>
        <v>26</v>
      </c>
      <c r="C302" s="15" t="s">
        <v>127</v>
      </c>
      <c r="D302" s="15" t="s">
        <v>183</v>
      </c>
      <c r="E302" s="25">
        <f>9.4-1.2</f>
        <v>8.2000000000000011</v>
      </c>
      <c r="F302" s="25">
        <f>+SUM(L302:L313)</f>
        <v>10.499999999999998</v>
      </c>
      <c r="G302" s="16">
        <v>1</v>
      </c>
      <c r="H302" s="16" t="s">
        <v>9</v>
      </c>
      <c r="I302" s="59" t="s">
        <v>56</v>
      </c>
      <c r="J302" s="21"/>
      <c r="K302" s="21"/>
      <c r="L302" s="12">
        <f>+J302-K302</f>
        <v>0</v>
      </c>
      <c r="M302" s="23">
        <f>+L302/SUMIF(C:C,C302,L:L)</f>
        <v>0</v>
      </c>
      <c r="N302" s="13"/>
      <c r="O302" t="s">
        <v>128</v>
      </c>
    </row>
    <row r="303" spans="1:17" x14ac:dyDescent="0.25">
      <c r="A303" s="20">
        <v>44518</v>
      </c>
      <c r="B303" s="1">
        <f>B302</f>
        <v>26</v>
      </c>
      <c r="C303" s="1" t="s">
        <v>127</v>
      </c>
      <c r="D303" s="1" t="s">
        <v>183</v>
      </c>
      <c r="E303" s="26">
        <f>+E302</f>
        <v>8.2000000000000011</v>
      </c>
      <c r="F303" s="28">
        <f>+(F302-E302)/E302</f>
        <v>0.28048780487804842</v>
      </c>
      <c r="G303" s="17">
        <v>2</v>
      </c>
      <c r="H303" s="17" t="s">
        <v>9</v>
      </c>
      <c r="I303" s="30" t="s">
        <v>57</v>
      </c>
      <c r="J303" s="22">
        <f>9.2+8.7</f>
        <v>17.899999999999999</v>
      </c>
      <c r="K303" s="22">
        <f>8.55+8.3</f>
        <v>16.850000000000001</v>
      </c>
      <c r="L303" s="8">
        <f t="shared" ref="L303:L313" si="261">+J303-K303</f>
        <v>1.0499999999999972</v>
      </c>
      <c r="M303" s="24">
        <f t="shared" ref="M303" si="262">+L303/SUMIF(C:C,C303,L:L)</f>
        <v>9.9999999999999742E-2</v>
      </c>
      <c r="N303" s="14"/>
      <c r="O303" t="s">
        <v>129</v>
      </c>
    </row>
    <row r="304" spans="1:17" x14ac:dyDescent="0.25">
      <c r="A304" s="20">
        <v>44518</v>
      </c>
      <c r="B304" s="1">
        <f>B302</f>
        <v>26</v>
      </c>
      <c r="C304" s="1" t="s">
        <v>127</v>
      </c>
      <c r="D304" s="1" t="s">
        <v>183</v>
      </c>
      <c r="E304" s="26" t="e">
        <f>+#REF!</f>
        <v>#REF!</v>
      </c>
      <c r="F304" s="26" t="e">
        <f>+#REF!</f>
        <v>#REF!</v>
      </c>
      <c r="G304" s="17">
        <v>3</v>
      </c>
      <c r="H304" s="17" t="s">
        <v>9</v>
      </c>
      <c r="I304" s="30" t="s">
        <v>58</v>
      </c>
      <c r="J304" s="22">
        <v>0.75</v>
      </c>
      <c r="K304" s="22">
        <v>0.6</v>
      </c>
      <c r="L304" s="8">
        <f t="shared" si="261"/>
        <v>0.15000000000000002</v>
      </c>
      <c r="M304" s="24">
        <f>+L304/SUMIF(C:C,C304,L:L)</f>
        <v>1.428571428571429E-2</v>
      </c>
      <c r="N304" s="14"/>
    </row>
    <row r="305" spans="1:17" x14ac:dyDescent="0.25">
      <c r="A305" s="20">
        <v>44518</v>
      </c>
      <c r="B305" s="1">
        <f>B302</f>
        <v>26</v>
      </c>
      <c r="C305" s="1" t="s">
        <v>127</v>
      </c>
      <c r="D305" s="1" t="s">
        <v>183</v>
      </c>
      <c r="E305" s="26" t="e">
        <f t="shared" ref="E305:F305" si="263">+E304</f>
        <v>#REF!</v>
      </c>
      <c r="F305" s="26" t="e">
        <f t="shared" si="263"/>
        <v>#REF!</v>
      </c>
      <c r="G305" s="17">
        <v>4</v>
      </c>
      <c r="H305" s="17" t="s">
        <v>9</v>
      </c>
      <c r="I305" s="30" t="s">
        <v>22</v>
      </c>
      <c r="J305" s="22"/>
      <c r="K305" s="22"/>
      <c r="L305" s="8">
        <f t="shared" si="261"/>
        <v>0</v>
      </c>
      <c r="M305" s="24">
        <f t="shared" ref="M305:M312" si="264">+L305/SUMIF(C:C,C305,L:L)</f>
        <v>0</v>
      </c>
      <c r="N305" s="14"/>
    </row>
    <row r="306" spans="1:17" x14ac:dyDescent="0.25">
      <c r="A306" s="20">
        <v>44518</v>
      </c>
      <c r="B306" s="1">
        <f>B302</f>
        <v>26</v>
      </c>
      <c r="C306" s="1" t="s">
        <v>127</v>
      </c>
      <c r="D306" s="1" t="s">
        <v>183</v>
      </c>
      <c r="E306" s="26" t="e">
        <f t="shared" ref="E306:F306" si="265">+E305</f>
        <v>#REF!</v>
      </c>
      <c r="F306" s="26" t="e">
        <f t="shared" si="265"/>
        <v>#REF!</v>
      </c>
      <c r="G306" s="17">
        <v>5</v>
      </c>
      <c r="H306" s="17" t="s">
        <v>9</v>
      </c>
      <c r="I306" s="30" t="s">
        <v>34</v>
      </c>
      <c r="J306" s="22">
        <v>0.7</v>
      </c>
      <c r="K306" s="22">
        <v>0.5</v>
      </c>
      <c r="L306" s="8">
        <f t="shared" si="261"/>
        <v>0.19999999999999996</v>
      </c>
      <c r="M306" s="24">
        <f t="shared" si="264"/>
        <v>1.9047619047619046E-2</v>
      </c>
      <c r="N306" s="14"/>
    </row>
    <row r="307" spans="1:17" x14ac:dyDescent="0.25">
      <c r="A307" s="20">
        <v>44518</v>
      </c>
      <c r="B307" s="1">
        <f>B302</f>
        <v>26</v>
      </c>
      <c r="C307" s="1" t="s">
        <v>127</v>
      </c>
      <c r="D307" s="1" t="s">
        <v>183</v>
      </c>
      <c r="E307" s="26" t="e">
        <f t="shared" ref="E307:F307" si="266">+E306</f>
        <v>#REF!</v>
      </c>
      <c r="F307" s="26" t="e">
        <f t="shared" si="266"/>
        <v>#REF!</v>
      </c>
      <c r="G307" s="17">
        <v>6</v>
      </c>
      <c r="H307" s="17" t="s">
        <v>9</v>
      </c>
      <c r="I307" s="30" t="s">
        <v>35</v>
      </c>
      <c r="J307" s="22"/>
      <c r="K307" s="22"/>
      <c r="L307" s="8">
        <f t="shared" si="261"/>
        <v>0</v>
      </c>
      <c r="M307" s="24">
        <f t="shared" si="264"/>
        <v>0</v>
      </c>
      <c r="N307" s="14"/>
    </row>
    <row r="308" spans="1:17" x14ac:dyDescent="0.25">
      <c r="A308" s="20">
        <v>44518</v>
      </c>
      <c r="B308" s="1">
        <f>B302</f>
        <v>26</v>
      </c>
      <c r="C308" s="1" t="s">
        <v>127</v>
      </c>
      <c r="D308" s="1" t="s">
        <v>183</v>
      </c>
      <c r="E308" s="26" t="e">
        <f t="shared" ref="E308:F308" si="267">+E307</f>
        <v>#REF!</v>
      </c>
      <c r="F308" s="26" t="e">
        <f t="shared" si="267"/>
        <v>#REF!</v>
      </c>
      <c r="G308" s="17">
        <v>7</v>
      </c>
      <c r="H308" s="17" t="s">
        <v>9</v>
      </c>
      <c r="I308" s="30" t="s">
        <v>36</v>
      </c>
      <c r="J308" s="22"/>
      <c r="K308" s="22"/>
      <c r="L308" s="8">
        <f t="shared" si="261"/>
        <v>0</v>
      </c>
      <c r="M308" s="24">
        <f t="shared" si="264"/>
        <v>0</v>
      </c>
      <c r="N308" s="14"/>
    </row>
    <row r="309" spans="1:17" x14ac:dyDescent="0.25">
      <c r="A309" s="20">
        <v>44518</v>
      </c>
      <c r="B309" s="1">
        <f>B302</f>
        <v>26</v>
      </c>
      <c r="C309" s="1" t="s">
        <v>127</v>
      </c>
      <c r="D309" s="1" t="s">
        <v>183</v>
      </c>
      <c r="E309" s="26" t="e">
        <f>+E308</f>
        <v>#REF!</v>
      </c>
      <c r="F309" s="26" t="e">
        <f>+F308</f>
        <v>#REF!</v>
      </c>
      <c r="G309" s="17">
        <v>8</v>
      </c>
      <c r="H309" s="17" t="s">
        <v>9</v>
      </c>
      <c r="I309" s="30" t="s">
        <v>59</v>
      </c>
      <c r="J309" s="22">
        <v>0.8</v>
      </c>
      <c r="K309" s="22">
        <v>0.55000000000000004</v>
      </c>
      <c r="L309" s="8">
        <f t="shared" si="261"/>
        <v>0.25</v>
      </c>
      <c r="M309" s="24">
        <f t="shared" si="264"/>
        <v>2.3809523809523815E-2</v>
      </c>
      <c r="N309" s="14"/>
    </row>
    <row r="310" spans="1:17" x14ac:dyDescent="0.25">
      <c r="A310" s="20">
        <v>44518</v>
      </c>
      <c r="B310" s="1">
        <f>B302</f>
        <v>26</v>
      </c>
      <c r="C310" s="1" t="s">
        <v>127</v>
      </c>
      <c r="D310" s="1" t="s">
        <v>183</v>
      </c>
      <c r="E310" s="26" t="e">
        <f t="shared" ref="E310:F310" si="268">+E309</f>
        <v>#REF!</v>
      </c>
      <c r="F310" s="26" t="e">
        <f t="shared" si="268"/>
        <v>#REF!</v>
      </c>
      <c r="G310" s="17">
        <v>9</v>
      </c>
      <c r="H310" s="17" t="s">
        <v>9</v>
      </c>
      <c r="I310" s="30" t="s">
        <v>38</v>
      </c>
      <c r="J310" s="22"/>
      <c r="K310" s="22"/>
      <c r="L310" s="8">
        <f t="shared" si="261"/>
        <v>0</v>
      </c>
      <c r="M310" s="24">
        <f t="shared" si="264"/>
        <v>0</v>
      </c>
      <c r="N310" s="14"/>
    </row>
    <row r="311" spans="1:17" x14ac:dyDescent="0.25">
      <c r="A311" s="20">
        <v>44518</v>
      </c>
      <c r="B311" s="1">
        <f>B302</f>
        <v>26</v>
      </c>
      <c r="C311" s="1" t="s">
        <v>127</v>
      </c>
      <c r="D311" s="1" t="s">
        <v>183</v>
      </c>
      <c r="E311" s="26" t="e">
        <f t="shared" ref="E311:F311" si="269">+E310</f>
        <v>#REF!</v>
      </c>
      <c r="F311" s="26" t="e">
        <f t="shared" si="269"/>
        <v>#REF!</v>
      </c>
      <c r="G311" s="17">
        <v>10</v>
      </c>
      <c r="H311" s="17" t="s">
        <v>9</v>
      </c>
      <c r="I311" s="30" t="s">
        <v>23</v>
      </c>
      <c r="J311" s="22">
        <v>0.8</v>
      </c>
      <c r="K311" s="22">
        <v>0.5</v>
      </c>
      <c r="L311" s="8">
        <f t="shared" si="261"/>
        <v>0.30000000000000004</v>
      </c>
      <c r="M311" s="24">
        <f t="shared" si="264"/>
        <v>2.8571428571428581E-2</v>
      </c>
      <c r="N311" s="14"/>
    </row>
    <row r="312" spans="1:17" x14ac:dyDescent="0.25">
      <c r="A312" s="20">
        <v>44518</v>
      </c>
      <c r="B312" s="1">
        <f>B302</f>
        <v>26</v>
      </c>
      <c r="C312" s="1" t="s">
        <v>127</v>
      </c>
      <c r="D312" s="1" t="s">
        <v>183</v>
      </c>
      <c r="E312" s="26" t="e">
        <f t="shared" ref="E312:F312" si="270">+E311</f>
        <v>#REF!</v>
      </c>
      <c r="F312" s="26" t="e">
        <f t="shared" si="270"/>
        <v>#REF!</v>
      </c>
      <c r="G312" s="17">
        <v>11</v>
      </c>
      <c r="H312" s="17" t="s">
        <v>9</v>
      </c>
      <c r="I312" s="30" t="s">
        <v>60</v>
      </c>
      <c r="J312" s="22">
        <f>10.15+10.4+10.55+9.55</f>
        <v>40.650000000000006</v>
      </c>
      <c r="K312" s="22">
        <f>8.55+8.55+8.25+8.3</f>
        <v>33.650000000000006</v>
      </c>
      <c r="L312" s="8">
        <f t="shared" si="261"/>
        <v>7</v>
      </c>
      <c r="M312" s="24">
        <f t="shared" si="264"/>
        <v>0.66666666666666674</v>
      </c>
      <c r="N312" s="14"/>
    </row>
    <row r="313" spans="1:17" s="2" customFormat="1" ht="15.75" thickBot="1" x14ac:dyDescent="0.3">
      <c r="A313" s="60">
        <v>44518</v>
      </c>
      <c r="B313" s="57">
        <f>B302</f>
        <v>26</v>
      </c>
      <c r="C313" s="57" t="s">
        <v>127</v>
      </c>
      <c r="D313" s="57" t="s">
        <v>183</v>
      </c>
      <c r="E313" s="61" t="e">
        <f t="shared" ref="E313:F313" si="271">+E312</f>
        <v>#REF!</v>
      </c>
      <c r="F313" s="61" t="e">
        <f t="shared" si="271"/>
        <v>#REF!</v>
      </c>
      <c r="G313" s="62">
        <f>+G312+1</f>
        <v>12</v>
      </c>
      <c r="H313" s="62" t="s">
        <v>10</v>
      </c>
      <c r="I313" s="46" t="s">
        <v>10</v>
      </c>
      <c r="J313" s="63">
        <f>9.35+9.25</f>
        <v>18.600000000000001</v>
      </c>
      <c r="K313" s="63">
        <f>8.55+8.5</f>
        <v>17.05</v>
      </c>
      <c r="L313" s="64">
        <f t="shared" si="261"/>
        <v>1.5500000000000007</v>
      </c>
      <c r="M313" s="65">
        <f>+L313/SUMIF(C:C,C313,L:L)</f>
        <v>0.14761904761904771</v>
      </c>
      <c r="N313" s="66"/>
      <c r="Q313" s="5"/>
    </row>
    <row r="314" spans="1:17" x14ac:dyDescent="0.25">
      <c r="A314" s="19">
        <v>44518</v>
      </c>
      <c r="B314" s="15">
        <f>B302+1</f>
        <v>27</v>
      </c>
      <c r="C314" s="15" t="s">
        <v>130</v>
      </c>
      <c r="D314" s="15" t="s">
        <v>183</v>
      </c>
      <c r="E314" s="25">
        <f>10.8-1.2</f>
        <v>9.6000000000000014</v>
      </c>
      <c r="F314" s="25">
        <f>+SUM(L314:L325)</f>
        <v>10.599999999999984</v>
      </c>
      <c r="G314" s="16">
        <v>1</v>
      </c>
      <c r="H314" s="16" t="s">
        <v>9</v>
      </c>
      <c r="I314" s="59" t="s">
        <v>56</v>
      </c>
      <c r="J314" s="21"/>
      <c r="K314" s="21"/>
      <c r="L314" s="12">
        <f>+J314-K314</f>
        <v>0</v>
      </c>
      <c r="M314" s="23">
        <f>+L314/SUMIF(C:C,C314,L:L)</f>
        <v>0</v>
      </c>
      <c r="N314" s="13"/>
      <c r="O314" t="s">
        <v>131</v>
      </c>
    </row>
    <row r="315" spans="1:17" x14ac:dyDescent="0.25">
      <c r="A315" s="20">
        <v>44518</v>
      </c>
      <c r="B315" s="1">
        <f>B314</f>
        <v>27</v>
      </c>
      <c r="C315" s="1" t="s">
        <v>130</v>
      </c>
      <c r="D315" s="1" t="s">
        <v>183</v>
      </c>
      <c r="E315" s="26">
        <f>+E314</f>
        <v>9.6000000000000014</v>
      </c>
      <c r="F315" s="28">
        <f>+(F314-E314)/E314</f>
        <v>0.1041666666666648</v>
      </c>
      <c r="G315" s="17">
        <v>2</v>
      </c>
      <c r="H315" s="17" t="s">
        <v>9</v>
      </c>
      <c r="I315" s="30" t="s">
        <v>57</v>
      </c>
      <c r="J315" s="22">
        <f>8.6+0.6</f>
        <v>9.1999999999999993</v>
      </c>
      <c r="K315" s="22">
        <f>8.3+0.55</f>
        <v>8.8500000000000014</v>
      </c>
      <c r="L315" s="8">
        <f t="shared" ref="L315:L325" si="272">+J315-K315</f>
        <v>0.34999999999999787</v>
      </c>
      <c r="M315" s="24">
        <f t="shared" ref="M315" si="273">+L315/SUMIF(C:C,C315,L:L)</f>
        <v>3.3018867924528149E-2</v>
      </c>
      <c r="N315" s="14"/>
      <c r="O315" t="s">
        <v>132</v>
      </c>
    </row>
    <row r="316" spans="1:17" x14ac:dyDescent="0.25">
      <c r="A316" s="20">
        <v>44518</v>
      </c>
      <c r="B316" s="1">
        <f>B314</f>
        <v>27</v>
      </c>
      <c r="C316" s="1" t="s">
        <v>130</v>
      </c>
      <c r="D316" s="1" t="s">
        <v>183</v>
      </c>
      <c r="E316" s="26" t="e">
        <f>+#REF!</f>
        <v>#REF!</v>
      </c>
      <c r="F316" s="26" t="e">
        <f>+#REF!</f>
        <v>#REF!</v>
      </c>
      <c r="G316" s="17">
        <v>3</v>
      </c>
      <c r="H316" s="17" t="s">
        <v>9</v>
      </c>
      <c r="I316" s="30" t="s">
        <v>58</v>
      </c>
      <c r="J316" s="22"/>
      <c r="K316" s="22"/>
      <c r="L316" s="8">
        <f t="shared" si="272"/>
        <v>0</v>
      </c>
      <c r="M316" s="24">
        <f>+L316/SUMIF(C:C,C316,L:L)</f>
        <v>0</v>
      </c>
      <c r="N316" s="14"/>
    </row>
    <row r="317" spans="1:17" x14ac:dyDescent="0.25">
      <c r="A317" s="20">
        <v>44518</v>
      </c>
      <c r="B317" s="1">
        <f>B314</f>
        <v>27</v>
      </c>
      <c r="C317" s="1" t="s">
        <v>130</v>
      </c>
      <c r="D317" s="1" t="s">
        <v>183</v>
      </c>
      <c r="E317" s="26" t="e">
        <f t="shared" ref="E317:F317" si="274">+E316</f>
        <v>#REF!</v>
      </c>
      <c r="F317" s="26" t="e">
        <f t="shared" si="274"/>
        <v>#REF!</v>
      </c>
      <c r="G317" s="17">
        <v>4</v>
      </c>
      <c r="H317" s="17" t="s">
        <v>9</v>
      </c>
      <c r="I317" s="30" t="s">
        <v>22</v>
      </c>
      <c r="J317" s="22">
        <v>0.55000000000000004</v>
      </c>
      <c r="K317" s="22">
        <v>0.5</v>
      </c>
      <c r="L317" s="8">
        <f t="shared" si="272"/>
        <v>5.0000000000000044E-2</v>
      </c>
      <c r="M317" s="24">
        <f t="shared" ref="M317:M324" si="275">+L317/SUMIF(C:C,C317,L:L)</f>
        <v>4.7169811320754828E-3</v>
      </c>
      <c r="N317" s="14"/>
    </row>
    <row r="318" spans="1:17" x14ac:dyDescent="0.25">
      <c r="A318" s="20">
        <v>44518</v>
      </c>
      <c r="B318" s="1">
        <f>B314</f>
        <v>27</v>
      </c>
      <c r="C318" s="1" t="s">
        <v>130</v>
      </c>
      <c r="D318" s="1" t="s">
        <v>183</v>
      </c>
      <c r="E318" s="26" t="e">
        <f t="shared" ref="E318:F318" si="276">+E317</f>
        <v>#REF!</v>
      </c>
      <c r="F318" s="26" t="e">
        <f t="shared" si="276"/>
        <v>#REF!</v>
      </c>
      <c r="G318" s="17">
        <v>5</v>
      </c>
      <c r="H318" s="17" t="s">
        <v>9</v>
      </c>
      <c r="I318" s="30" t="s">
        <v>34</v>
      </c>
      <c r="J318" s="22">
        <v>0.55000000000000004</v>
      </c>
      <c r="K318" s="22">
        <v>0.5</v>
      </c>
      <c r="L318" s="8">
        <f t="shared" si="272"/>
        <v>5.0000000000000044E-2</v>
      </c>
      <c r="M318" s="24">
        <f t="shared" si="275"/>
        <v>4.7169811320754828E-3</v>
      </c>
      <c r="N318" s="14"/>
    </row>
    <row r="319" spans="1:17" x14ac:dyDescent="0.25">
      <c r="A319" s="20">
        <v>44518</v>
      </c>
      <c r="B319" s="1">
        <f>B314</f>
        <v>27</v>
      </c>
      <c r="C319" s="1" t="s">
        <v>130</v>
      </c>
      <c r="D319" s="1" t="s">
        <v>183</v>
      </c>
      <c r="E319" s="26" t="e">
        <f t="shared" ref="E319:F319" si="277">+E318</f>
        <v>#REF!</v>
      </c>
      <c r="F319" s="26" t="e">
        <f t="shared" si="277"/>
        <v>#REF!</v>
      </c>
      <c r="G319" s="17">
        <v>6</v>
      </c>
      <c r="H319" s="17" t="s">
        <v>9</v>
      </c>
      <c r="I319" s="30" t="s">
        <v>35</v>
      </c>
      <c r="J319" s="22"/>
      <c r="K319" s="22"/>
      <c r="L319" s="8">
        <f t="shared" si="272"/>
        <v>0</v>
      </c>
      <c r="M319" s="24">
        <f t="shared" si="275"/>
        <v>0</v>
      </c>
      <c r="N319" s="14"/>
    </row>
    <row r="320" spans="1:17" x14ac:dyDescent="0.25">
      <c r="A320" s="20">
        <v>44518</v>
      </c>
      <c r="B320" s="1">
        <f>B314</f>
        <v>27</v>
      </c>
      <c r="C320" s="1" t="s">
        <v>130</v>
      </c>
      <c r="D320" s="1" t="s">
        <v>183</v>
      </c>
      <c r="E320" s="26" t="e">
        <f t="shared" ref="E320:F320" si="278">+E319</f>
        <v>#REF!</v>
      </c>
      <c r="F320" s="26" t="e">
        <f t="shared" si="278"/>
        <v>#REF!</v>
      </c>
      <c r="G320" s="17">
        <v>7</v>
      </c>
      <c r="H320" s="17" t="s">
        <v>9</v>
      </c>
      <c r="I320" s="30" t="s">
        <v>36</v>
      </c>
      <c r="J320" s="22"/>
      <c r="K320" s="22"/>
      <c r="L320" s="8">
        <f t="shared" si="272"/>
        <v>0</v>
      </c>
      <c r="M320" s="24">
        <f t="shared" si="275"/>
        <v>0</v>
      </c>
      <c r="N320" s="14"/>
    </row>
    <row r="321" spans="1:17" x14ac:dyDescent="0.25">
      <c r="A321" s="20">
        <v>44518</v>
      </c>
      <c r="B321" s="1">
        <f>B314</f>
        <v>27</v>
      </c>
      <c r="C321" s="1" t="s">
        <v>130</v>
      </c>
      <c r="D321" s="1" t="s">
        <v>183</v>
      </c>
      <c r="E321" s="26" t="e">
        <f>+E320</f>
        <v>#REF!</v>
      </c>
      <c r="F321" s="26" t="e">
        <f>+F320</f>
        <v>#REF!</v>
      </c>
      <c r="G321" s="17">
        <v>8</v>
      </c>
      <c r="H321" s="17" t="s">
        <v>9</v>
      </c>
      <c r="I321" s="30" t="s">
        <v>59</v>
      </c>
      <c r="J321" s="22">
        <v>0.65</v>
      </c>
      <c r="K321" s="22">
        <v>0.55000000000000004</v>
      </c>
      <c r="L321" s="8">
        <f t="shared" si="272"/>
        <v>9.9999999999999978E-2</v>
      </c>
      <c r="M321" s="24">
        <f t="shared" si="275"/>
        <v>9.4339622641509552E-3</v>
      </c>
      <c r="N321" s="14"/>
    </row>
    <row r="322" spans="1:17" x14ac:dyDescent="0.25">
      <c r="A322" s="20">
        <v>44518</v>
      </c>
      <c r="B322" s="1">
        <f>B314</f>
        <v>27</v>
      </c>
      <c r="C322" s="1" t="s">
        <v>130</v>
      </c>
      <c r="D322" s="1" t="s">
        <v>183</v>
      </c>
      <c r="E322" s="26" t="e">
        <f t="shared" ref="E322:F322" si="279">+E321</f>
        <v>#REF!</v>
      </c>
      <c r="F322" s="26" t="e">
        <f t="shared" si="279"/>
        <v>#REF!</v>
      </c>
      <c r="G322" s="17">
        <v>9</v>
      </c>
      <c r="H322" s="17" t="s">
        <v>9</v>
      </c>
      <c r="I322" s="30" t="s">
        <v>38</v>
      </c>
      <c r="J322" s="22"/>
      <c r="K322" s="22"/>
      <c r="L322" s="8">
        <f t="shared" si="272"/>
        <v>0</v>
      </c>
      <c r="M322" s="24">
        <f t="shared" si="275"/>
        <v>0</v>
      </c>
      <c r="N322" s="14"/>
    </row>
    <row r="323" spans="1:17" x14ac:dyDescent="0.25">
      <c r="A323" s="20">
        <v>44518</v>
      </c>
      <c r="B323" s="1">
        <f>B314</f>
        <v>27</v>
      </c>
      <c r="C323" s="1" t="s">
        <v>130</v>
      </c>
      <c r="D323" s="1" t="s">
        <v>183</v>
      </c>
      <c r="E323" s="26" t="e">
        <f t="shared" ref="E323:F323" si="280">+E322</f>
        <v>#REF!</v>
      </c>
      <c r="F323" s="26" t="e">
        <f t="shared" si="280"/>
        <v>#REF!</v>
      </c>
      <c r="G323" s="17">
        <v>10</v>
      </c>
      <c r="H323" s="17" t="s">
        <v>9</v>
      </c>
      <c r="I323" s="30" t="s">
        <v>23</v>
      </c>
      <c r="J323" s="22">
        <v>0.55000000000000004</v>
      </c>
      <c r="K323" s="22">
        <v>0.5</v>
      </c>
      <c r="L323" s="8">
        <f t="shared" si="272"/>
        <v>5.0000000000000044E-2</v>
      </c>
      <c r="M323" s="24">
        <f t="shared" si="275"/>
        <v>4.7169811320754828E-3</v>
      </c>
      <c r="N323" s="14"/>
    </row>
    <row r="324" spans="1:17" x14ac:dyDescent="0.25">
      <c r="A324" s="20">
        <v>44518</v>
      </c>
      <c r="B324" s="1">
        <f>B314</f>
        <v>27</v>
      </c>
      <c r="C324" s="1" t="s">
        <v>130</v>
      </c>
      <c r="D324" s="1" t="s">
        <v>183</v>
      </c>
      <c r="E324" s="26" t="e">
        <f t="shared" ref="E324:F324" si="281">+E323</f>
        <v>#REF!</v>
      </c>
      <c r="F324" s="26" t="e">
        <f t="shared" si="281"/>
        <v>#REF!</v>
      </c>
      <c r="G324" s="17">
        <v>11</v>
      </c>
      <c r="H324" s="17" t="s">
        <v>9</v>
      </c>
      <c r="I324" s="30" t="s">
        <v>60</v>
      </c>
      <c r="J324" s="22">
        <f>10.9+10.5+9.65+11.3</f>
        <v>42.349999999999994</v>
      </c>
      <c r="K324" s="22">
        <f>8.55+8.3+8.25+8.55</f>
        <v>33.650000000000006</v>
      </c>
      <c r="L324" s="8">
        <f t="shared" si="272"/>
        <v>8.6999999999999886</v>
      </c>
      <c r="M324" s="24">
        <f t="shared" si="275"/>
        <v>0.82075471698113223</v>
      </c>
      <c r="N324" s="14"/>
    </row>
    <row r="325" spans="1:17" s="2" customFormat="1" ht="15.75" thickBot="1" x14ac:dyDescent="0.3">
      <c r="A325" s="60">
        <v>44518</v>
      </c>
      <c r="B325" s="57">
        <f>B314</f>
        <v>27</v>
      </c>
      <c r="C325" s="57" t="s">
        <v>130</v>
      </c>
      <c r="D325" s="57" t="s">
        <v>183</v>
      </c>
      <c r="E325" s="61" t="e">
        <f t="shared" ref="E325:F325" si="282">+E324</f>
        <v>#REF!</v>
      </c>
      <c r="F325" s="61" t="e">
        <f t="shared" si="282"/>
        <v>#REF!</v>
      </c>
      <c r="G325" s="62">
        <f>+G324+1</f>
        <v>12</v>
      </c>
      <c r="H325" s="62" t="s">
        <v>10</v>
      </c>
      <c r="I325" s="46" t="s">
        <v>10</v>
      </c>
      <c r="J325" s="63">
        <f>9.2+9.2</f>
        <v>18.399999999999999</v>
      </c>
      <c r="K325" s="63">
        <f>8.55+8.55</f>
        <v>17.100000000000001</v>
      </c>
      <c r="L325" s="64">
        <f t="shared" si="272"/>
        <v>1.2999999999999972</v>
      </c>
      <c r="M325" s="65">
        <f>+L325/SUMIF(C:C,C325,L:L)</f>
        <v>0.12264150943396218</v>
      </c>
      <c r="N325" s="66"/>
      <c r="Q325" s="5"/>
    </row>
    <row r="326" spans="1:17" x14ac:dyDescent="0.25">
      <c r="A326" s="19">
        <v>44518</v>
      </c>
      <c r="B326" s="15">
        <f>B314+1</f>
        <v>28</v>
      </c>
      <c r="C326" s="15" t="s">
        <v>133</v>
      </c>
      <c r="D326" s="15" t="s">
        <v>183</v>
      </c>
      <c r="E326" s="25">
        <f>12.6-1.2</f>
        <v>11.4</v>
      </c>
      <c r="F326" s="25">
        <f>+SUM(L326:L337)</f>
        <v>11.850000000000007</v>
      </c>
      <c r="G326" s="16">
        <v>1</v>
      </c>
      <c r="H326" s="16" t="s">
        <v>9</v>
      </c>
      <c r="I326" s="59" t="s">
        <v>56</v>
      </c>
      <c r="J326" s="21">
        <v>0.1</v>
      </c>
      <c r="K326" s="21">
        <v>0</v>
      </c>
      <c r="L326" s="12">
        <f>+J326-K326</f>
        <v>0.1</v>
      </c>
      <c r="M326" s="23">
        <f>+L326/SUMIF(C:C,C326,L:L)</f>
        <v>8.4388185654008397E-3</v>
      </c>
      <c r="N326" s="13"/>
      <c r="O326" t="s">
        <v>134</v>
      </c>
    </row>
    <row r="327" spans="1:17" x14ac:dyDescent="0.25">
      <c r="A327" s="20">
        <v>44518</v>
      </c>
      <c r="B327" s="1">
        <f>B326</f>
        <v>28</v>
      </c>
      <c r="C327" s="1" t="s">
        <v>133</v>
      </c>
      <c r="D327" s="1" t="s">
        <v>183</v>
      </c>
      <c r="E327" s="26">
        <f>+E326</f>
        <v>11.4</v>
      </c>
      <c r="F327" s="28">
        <f>+(F326-E326)/E326</f>
        <v>3.9473684210526876E-2</v>
      </c>
      <c r="G327" s="17">
        <v>2</v>
      </c>
      <c r="H327" s="17" t="s">
        <v>9</v>
      </c>
      <c r="I327" s="30" t="s">
        <v>57</v>
      </c>
      <c r="J327" s="22">
        <f>8.65+0.75</f>
        <v>9.4</v>
      </c>
      <c r="K327" s="22">
        <f>8.5+0.55</f>
        <v>9.0500000000000007</v>
      </c>
      <c r="L327" s="8">
        <f t="shared" ref="L327:L337" si="283">+J327-K327</f>
        <v>0.34999999999999964</v>
      </c>
      <c r="M327" s="24">
        <f t="shared" ref="M327" si="284">+L327/SUMIF(C:C,C327,L:L)</f>
        <v>2.9535864978902905E-2</v>
      </c>
      <c r="N327" s="14"/>
      <c r="O327" t="s">
        <v>135</v>
      </c>
    </row>
    <row r="328" spans="1:17" x14ac:dyDescent="0.25">
      <c r="A328" s="20">
        <v>44518</v>
      </c>
      <c r="B328" s="1">
        <f>B326</f>
        <v>28</v>
      </c>
      <c r="C328" s="1" t="s">
        <v>133</v>
      </c>
      <c r="D328" s="1" t="s">
        <v>183</v>
      </c>
      <c r="E328" s="26" t="e">
        <f>+#REF!</f>
        <v>#REF!</v>
      </c>
      <c r="F328" s="26" t="e">
        <f>+#REF!</f>
        <v>#REF!</v>
      </c>
      <c r="G328" s="17">
        <v>3</v>
      </c>
      <c r="H328" s="17" t="s">
        <v>9</v>
      </c>
      <c r="I328" s="30" t="s">
        <v>58</v>
      </c>
      <c r="J328" s="22"/>
      <c r="K328" s="22"/>
      <c r="L328" s="8">
        <f t="shared" si="283"/>
        <v>0</v>
      </c>
      <c r="M328" s="24">
        <f>+L328/SUMIF(C:C,C328,L:L)</f>
        <v>0</v>
      </c>
      <c r="N328" s="14"/>
    </row>
    <row r="329" spans="1:17" x14ac:dyDescent="0.25">
      <c r="A329" s="20">
        <v>44518</v>
      </c>
      <c r="B329" s="1">
        <f>B326</f>
        <v>28</v>
      </c>
      <c r="C329" s="1" t="s">
        <v>133</v>
      </c>
      <c r="D329" s="1" t="s">
        <v>183</v>
      </c>
      <c r="E329" s="26" t="e">
        <f t="shared" ref="E329:F329" si="285">+E328</f>
        <v>#REF!</v>
      </c>
      <c r="F329" s="26" t="e">
        <f t="shared" si="285"/>
        <v>#REF!</v>
      </c>
      <c r="G329" s="17">
        <v>4</v>
      </c>
      <c r="H329" s="17" t="s">
        <v>9</v>
      </c>
      <c r="I329" s="30" t="s">
        <v>22</v>
      </c>
      <c r="J329" s="22"/>
      <c r="K329" s="22"/>
      <c r="L329" s="8">
        <f t="shared" si="283"/>
        <v>0</v>
      </c>
      <c r="M329" s="24">
        <f t="shared" ref="M329:M336" si="286">+L329/SUMIF(C:C,C329,L:L)</f>
        <v>0</v>
      </c>
      <c r="N329" s="14"/>
    </row>
    <row r="330" spans="1:17" x14ac:dyDescent="0.25">
      <c r="A330" s="20">
        <v>44518</v>
      </c>
      <c r="B330" s="1">
        <f>B326</f>
        <v>28</v>
      </c>
      <c r="C330" s="1" t="s">
        <v>133</v>
      </c>
      <c r="D330" s="1" t="s">
        <v>183</v>
      </c>
      <c r="E330" s="26" t="e">
        <f t="shared" ref="E330:F330" si="287">+E329</f>
        <v>#REF!</v>
      </c>
      <c r="F330" s="26" t="e">
        <f t="shared" si="287"/>
        <v>#REF!</v>
      </c>
      <c r="G330" s="17">
        <v>5</v>
      </c>
      <c r="H330" s="17" t="s">
        <v>9</v>
      </c>
      <c r="I330" s="30" t="s">
        <v>34</v>
      </c>
      <c r="J330" s="22">
        <v>0.6</v>
      </c>
      <c r="K330" s="22">
        <v>0.5</v>
      </c>
      <c r="L330" s="8">
        <f t="shared" si="283"/>
        <v>9.9999999999999978E-2</v>
      </c>
      <c r="M330" s="24">
        <f t="shared" si="286"/>
        <v>8.438818565400838E-3</v>
      </c>
      <c r="N330" s="14"/>
    </row>
    <row r="331" spans="1:17" x14ac:dyDescent="0.25">
      <c r="A331" s="20">
        <v>44518</v>
      </c>
      <c r="B331" s="1">
        <f>B326</f>
        <v>28</v>
      </c>
      <c r="C331" s="1" t="s">
        <v>133</v>
      </c>
      <c r="D331" s="1" t="s">
        <v>183</v>
      </c>
      <c r="E331" s="26" t="e">
        <f t="shared" ref="E331:F331" si="288">+E330</f>
        <v>#REF!</v>
      </c>
      <c r="F331" s="26" t="e">
        <f t="shared" si="288"/>
        <v>#REF!</v>
      </c>
      <c r="G331" s="17">
        <v>6</v>
      </c>
      <c r="H331" s="17" t="s">
        <v>9</v>
      </c>
      <c r="I331" s="30" t="s">
        <v>35</v>
      </c>
      <c r="J331" s="22"/>
      <c r="K331" s="22"/>
      <c r="L331" s="8">
        <f t="shared" si="283"/>
        <v>0</v>
      </c>
      <c r="M331" s="24">
        <f t="shared" si="286"/>
        <v>0</v>
      </c>
      <c r="N331" s="14"/>
    </row>
    <row r="332" spans="1:17" x14ac:dyDescent="0.25">
      <c r="A332" s="20">
        <v>44518</v>
      </c>
      <c r="B332" s="1">
        <f>B326</f>
        <v>28</v>
      </c>
      <c r="C332" s="1" t="s">
        <v>133</v>
      </c>
      <c r="D332" s="1" t="s">
        <v>183</v>
      </c>
      <c r="E332" s="26" t="e">
        <f t="shared" ref="E332:F332" si="289">+E331</f>
        <v>#REF!</v>
      </c>
      <c r="F332" s="26" t="e">
        <f t="shared" si="289"/>
        <v>#REF!</v>
      </c>
      <c r="G332" s="17">
        <v>7</v>
      </c>
      <c r="H332" s="17" t="s">
        <v>9</v>
      </c>
      <c r="I332" s="30" t="s">
        <v>36</v>
      </c>
      <c r="J332" s="22"/>
      <c r="K332" s="22"/>
      <c r="L332" s="8">
        <f t="shared" si="283"/>
        <v>0</v>
      </c>
      <c r="M332" s="24">
        <f t="shared" si="286"/>
        <v>0</v>
      </c>
      <c r="N332" s="14"/>
    </row>
    <row r="333" spans="1:17" x14ac:dyDescent="0.25">
      <c r="A333" s="20">
        <v>44518</v>
      </c>
      <c r="B333" s="1">
        <f>B326</f>
        <v>28</v>
      </c>
      <c r="C333" s="1" t="s">
        <v>133</v>
      </c>
      <c r="D333" s="1" t="s">
        <v>183</v>
      </c>
      <c r="E333" s="26" t="e">
        <f>+E332</f>
        <v>#REF!</v>
      </c>
      <c r="F333" s="26" t="e">
        <f>+F332</f>
        <v>#REF!</v>
      </c>
      <c r="G333" s="17">
        <v>8</v>
      </c>
      <c r="H333" s="17" t="s">
        <v>9</v>
      </c>
      <c r="I333" s="30" t="s">
        <v>59</v>
      </c>
      <c r="J333" s="22"/>
      <c r="K333" s="22"/>
      <c r="L333" s="8">
        <f t="shared" si="283"/>
        <v>0</v>
      </c>
      <c r="M333" s="24">
        <f t="shared" si="286"/>
        <v>0</v>
      </c>
      <c r="N333" s="14"/>
    </row>
    <row r="334" spans="1:17" x14ac:dyDescent="0.25">
      <c r="A334" s="20">
        <v>44518</v>
      </c>
      <c r="B334" s="1">
        <f>B326</f>
        <v>28</v>
      </c>
      <c r="C334" s="1" t="s">
        <v>133</v>
      </c>
      <c r="D334" s="1" t="s">
        <v>183</v>
      </c>
      <c r="E334" s="26" t="e">
        <f t="shared" ref="E334:F334" si="290">+E333</f>
        <v>#REF!</v>
      </c>
      <c r="F334" s="26" t="e">
        <f t="shared" si="290"/>
        <v>#REF!</v>
      </c>
      <c r="G334" s="17">
        <v>9</v>
      </c>
      <c r="H334" s="17" t="s">
        <v>9</v>
      </c>
      <c r="I334" s="30" t="s">
        <v>38</v>
      </c>
      <c r="J334" s="22"/>
      <c r="K334" s="22"/>
      <c r="L334" s="8">
        <f t="shared" si="283"/>
        <v>0</v>
      </c>
      <c r="M334" s="24">
        <f t="shared" si="286"/>
        <v>0</v>
      </c>
      <c r="N334" s="14"/>
    </row>
    <row r="335" spans="1:17" x14ac:dyDescent="0.25">
      <c r="A335" s="20">
        <v>44518</v>
      </c>
      <c r="B335" s="1">
        <f>B326</f>
        <v>28</v>
      </c>
      <c r="C335" s="1" t="s">
        <v>133</v>
      </c>
      <c r="D335" s="1" t="s">
        <v>183</v>
      </c>
      <c r="E335" s="26" t="e">
        <f t="shared" ref="E335:F335" si="291">+E334</f>
        <v>#REF!</v>
      </c>
      <c r="F335" s="26" t="e">
        <f t="shared" si="291"/>
        <v>#REF!</v>
      </c>
      <c r="G335" s="17">
        <v>10</v>
      </c>
      <c r="H335" s="17" t="s">
        <v>9</v>
      </c>
      <c r="I335" s="30" t="s">
        <v>23</v>
      </c>
      <c r="J335" s="22">
        <v>0.6</v>
      </c>
      <c r="K335" s="22">
        <v>0.55000000000000004</v>
      </c>
      <c r="L335" s="8">
        <f t="shared" si="283"/>
        <v>4.9999999999999933E-2</v>
      </c>
      <c r="M335" s="24">
        <f t="shared" si="286"/>
        <v>4.2194092827004138E-3</v>
      </c>
      <c r="N335" s="14"/>
    </row>
    <row r="336" spans="1:17" x14ac:dyDescent="0.25">
      <c r="A336" s="20">
        <v>44518</v>
      </c>
      <c r="B336" s="1">
        <f>B326</f>
        <v>28</v>
      </c>
      <c r="C336" s="1" t="s">
        <v>133</v>
      </c>
      <c r="D336" s="1" t="s">
        <v>183</v>
      </c>
      <c r="E336" s="26" t="e">
        <f t="shared" ref="E336:F336" si="292">+E335</f>
        <v>#REF!</v>
      </c>
      <c r="F336" s="26" t="e">
        <f t="shared" si="292"/>
        <v>#REF!</v>
      </c>
      <c r="G336" s="17">
        <v>11</v>
      </c>
      <c r="H336" s="17" t="s">
        <v>9</v>
      </c>
      <c r="I336" s="30" t="s">
        <v>60</v>
      </c>
      <c r="J336" s="22">
        <f>12.55+10.15+10.95+10.1</f>
        <v>43.750000000000007</v>
      </c>
      <c r="K336" s="22">
        <f>8.2+8.55+8.25+8.55</f>
        <v>33.549999999999997</v>
      </c>
      <c r="L336" s="8">
        <f t="shared" si="283"/>
        <v>10.20000000000001</v>
      </c>
      <c r="M336" s="24">
        <f t="shared" si="286"/>
        <v>0.86075949367088644</v>
      </c>
      <c r="N336" s="14"/>
    </row>
    <row r="337" spans="1:17" s="2" customFormat="1" ht="15.75" thickBot="1" x14ac:dyDescent="0.3">
      <c r="A337" s="60">
        <v>44518</v>
      </c>
      <c r="B337" s="57">
        <f>B326</f>
        <v>28</v>
      </c>
      <c r="C337" s="57" t="s">
        <v>133</v>
      </c>
      <c r="D337" s="57" t="s">
        <v>183</v>
      </c>
      <c r="E337" s="61" t="e">
        <f t="shared" ref="E337:F337" si="293">+E336</f>
        <v>#REF!</v>
      </c>
      <c r="F337" s="61" t="e">
        <f t="shared" si="293"/>
        <v>#REF!</v>
      </c>
      <c r="G337" s="62">
        <f>+G336+1</f>
        <v>12</v>
      </c>
      <c r="H337" s="62" t="s">
        <v>10</v>
      </c>
      <c r="I337" s="46" t="s">
        <v>10</v>
      </c>
      <c r="J337" s="63">
        <f>8.7+9.2</f>
        <v>17.899999999999999</v>
      </c>
      <c r="K337" s="63">
        <f>8.3+8.55</f>
        <v>16.850000000000001</v>
      </c>
      <c r="L337" s="64">
        <f t="shared" si="283"/>
        <v>1.0499999999999972</v>
      </c>
      <c r="M337" s="65">
        <f>+L337/SUMIF(C:C,C337,L:L)</f>
        <v>8.860759493670857E-2</v>
      </c>
      <c r="N337" s="66"/>
      <c r="Q337" s="5"/>
    </row>
    <row r="338" spans="1:17" x14ac:dyDescent="0.25">
      <c r="A338" s="19">
        <v>44518</v>
      </c>
      <c r="B338" s="15">
        <f>B326+1</f>
        <v>29</v>
      </c>
      <c r="C338" s="15" t="s">
        <v>136</v>
      </c>
      <c r="D338" s="15" t="s">
        <v>184</v>
      </c>
      <c r="E338" s="25">
        <f>20.4-1.2</f>
        <v>19.2</v>
      </c>
      <c r="F338" s="25">
        <f>+SUM(L338:L349)</f>
        <v>19.250000000000004</v>
      </c>
      <c r="G338" s="16">
        <v>1</v>
      </c>
      <c r="H338" s="16" t="s">
        <v>9</v>
      </c>
      <c r="I338" s="59" t="s">
        <v>56</v>
      </c>
      <c r="J338" s="21">
        <f>11.6+11.7+9.9+11.55+11.65+11.45</f>
        <v>67.849999999999994</v>
      </c>
      <c r="K338" s="21">
        <f>8.25+8.55+8.5+8.5+8.55+8.3</f>
        <v>50.649999999999991</v>
      </c>
      <c r="L338" s="12">
        <f>+J338-K338</f>
        <v>17.200000000000003</v>
      </c>
      <c r="M338" s="23">
        <f>+L338/SUMIF(C:C,C338,L:L)</f>
        <v>0.89350649350649347</v>
      </c>
      <c r="N338" s="13"/>
      <c r="O338" t="s">
        <v>138</v>
      </c>
    </row>
    <row r="339" spans="1:17" x14ac:dyDescent="0.25">
      <c r="A339" s="20">
        <v>44518</v>
      </c>
      <c r="B339" s="1">
        <f>B338</f>
        <v>29</v>
      </c>
      <c r="C339" s="1" t="s">
        <v>136</v>
      </c>
      <c r="D339" s="1" t="s">
        <v>184</v>
      </c>
      <c r="E339" s="26">
        <f>+E338</f>
        <v>19.2</v>
      </c>
      <c r="F339" s="28">
        <f>+(F338-E338)/E338</f>
        <v>2.604166666666889E-3</v>
      </c>
      <c r="G339" s="17">
        <v>2</v>
      </c>
      <c r="H339" s="17" t="s">
        <v>9</v>
      </c>
      <c r="I339" s="30" t="s">
        <v>57</v>
      </c>
      <c r="J339" s="22">
        <f>9.05+9.65</f>
        <v>18.700000000000003</v>
      </c>
      <c r="K339" s="22">
        <f>8.5+8.3</f>
        <v>16.8</v>
      </c>
      <c r="L339" s="8">
        <f t="shared" ref="L339:L349" si="294">+J339-K339</f>
        <v>1.9000000000000021</v>
      </c>
      <c r="M339" s="24">
        <f t="shared" ref="M339" si="295">+L339/SUMIF(C:C,C339,L:L)</f>
        <v>9.870129870129879E-2</v>
      </c>
      <c r="N339" s="14" t="s">
        <v>142</v>
      </c>
      <c r="O339" t="s">
        <v>139</v>
      </c>
    </row>
    <row r="340" spans="1:17" x14ac:dyDescent="0.25">
      <c r="A340" s="20">
        <v>44518</v>
      </c>
      <c r="B340" s="1">
        <f>B338</f>
        <v>29</v>
      </c>
      <c r="C340" s="1" t="s">
        <v>136</v>
      </c>
      <c r="D340" s="1" t="s">
        <v>184</v>
      </c>
      <c r="E340" s="26" t="e">
        <f>+#REF!</f>
        <v>#REF!</v>
      </c>
      <c r="F340" s="26" t="e">
        <f>+#REF!</f>
        <v>#REF!</v>
      </c>
      <c r="G340" s="17">
        <v>3</v>
      </c>
      <c r="H340" s="17" t="s">
        <v>9</v>
      </c>
      <c r="I340" s="30" t="s">
        <v>58</v>
      </c>
      <c r="J340" s="22"/>
      <c r="K340" s="22"/>
      <c r="L340" s="8">
        <f t="shared" si="294"/>
        <v>0</v>
      </c>
      <c r="M340" s="24">
        <f>+L340/SUMIF(C:C,C340,L:L)</f>
        <v>0</v>
      </c>
      <c r="N340" s="14"/>
    </row>
    <row r="341" spans="1:17" x14ac:dyDescent="0.25">
      <c r="A341" s="20">
        <v>44518</v>
      </c>
      <c r="B341" s="1">
        <f>B338</f>
        <v>29</v>
      </c>
      <c r="C341" s="1" t="s">
        <v>136</v>
      </c>
      <c r="D341" s="1" t="s">
        <v>184</v>
      </c>
      <c r="E341" s="26" t="e">
        <f t="shared" ref="E341:F341" si="296">+E340</f>
        <v>#REF!</v>
      </c>
      <c r="F341" s="26" t="e">
        <f t="shared" si="296"/>
        <v>#REF!</v>
      </c>
      <c r="G341" s="17">
        <v>4</v>
      </c>
      <c r="H341" s="17" t="s">
        <v>9</v>
      </c>
      <c r="I341" s="30" t="s">
        <v>22</v>
      </c>
      <c r="J341" s="22"/>
      <c r="K341" s="22"/>
      <c r="L341" s="8">
        <f t="shared" si="294"/>
        <v>0</v>
      </c>
      <c r="M341" s="24">
        <f t="shared" ref="M341:M348" si="297">+L341/SUMIF(C:C,C341,L:L)</f>
        <v>0</v>
      </c>
      <c r="N341" s="14"/>
    </row>
    <row r="342" spans="1:17" x14ac:dyDescent="0.25">
      <c r="A342" s="20">
        <v>44518</v>
      </c>
      <c r="B342" s="1">
        <f>B338</f>
        <v>29</v>
      </c>
      <c r="C342" s="1" t="s">
        <v>136</v>
      </c>
      <c r="D342" s="1" t="s">
        <v>184</v>
      </c>
      <c r="E342" s="26" t="e">
        <f t="shared" ref="E342:F342" si="298">+E341</f>
        <v>#REF!</v>
      </c>
      <c r="F342" s="26" t="e">
        <f t="shared" si="298"/>
        <v>#REF!</v>
      </c>
      <c r="G342" s="17">
        <v>5</v>
      </c>
      <c r="H342" s="17" t="s">
        <v>9</v>
      </c>
      <c r="I342" s="30" t="s">
        <v>34</v>
      </c>
      <c r="J342" s="22"/>
      <c r="K342" s="22"/>
      <c r="L342" s="8">
        <f t="shared" si="294"/>
        <v>0</v>
      </c>
      <c r="M342" s="24">
        <f t="shared" si="297"/>
        <v>0</v>
      </c>
      <c r="N342" s="14"/>
    </row>
    <row r="343" spans="1:17" x14ac:dyDescent="0.25">
      <c r="A343" s="20">
        <v>44518</v>
      </c>
      <c r="B343" s="1">
        <f>B338</f>
        <v>29</v>
      </c>
      <c r="C343" s="1" t="s">
        <v>136</v>
      </c>
      <c r="D343" s="1" t="s">
        <v>184</v>
      </c>
      <c r="E343" s="26" t="e">
        <f t="shared" ref="E343:F343" si="299">+E342</f>
        <v>#REF!</v>
      </c>
      <c r="F343" s="26" t="e">
        <f t="shared" si="299"/>
        <v>#REF!</v>
      </c>
      <c r="G343" s="17">
        <v>6</v>
      </c>
      <c r="H343" s="17" t="s">
        <v>9</v>
      </c>
      <c r="I343" s="30" t="s">
        <v>35</v>
      </c>
      <c r="J343" s="22"/>
      <c r="K343" s="22"/>
      <c r="L343" s="8">
        <f t="shared" si="294"/>
        <v>0</v>
      </c>
      <c r="M343" s="24">
        <f t="shared" si="297"/>
        <v>0</v>
      </c>
      <c r="N343" s="14"/>
    </row>
    <row r="344" spans="1:17" x14ac:dyDescent="0.25">
      <c r="A344" s="20">
        <v>44518</v>
      </c>
      <c r="B344" s="1">
        <f>B338</f>
        <v>29</v>
      </c>
      <c r="C344" s="1" t="s">
        <v>136</v>
      </c>
      <c r="D344" s="1" t="s">
        <v>184</v>
      </c>
      <c r="E344" s="26" t="e">
        <f t="shared" ref="E344:F344" si="300">+E343</f>
        <v>#REF!</v>
      </c>
      <c r="F344" s="26" t="e">
        <f t="shared" si="300"/>
        <v>#REF!</v>
      </c>
      <c r="G344" s="17">
        <v>7</v>
      </c>
      <c r="H344" s="17" t="s">
        <v>9</v>
      </c>
      <c r="I344" s="30" t="s">
        <v>36</v>
      </c>
      <c r="J344" s="22"/>
      <c r="K344" s="22"/>
      <c r="L344" s="8">
        <f t="shared" si="294"/>
        <v>0</v>
      </c>
      <c r="M344" s="24">
        <f t="shared" si="297"/>
        <v>0</v>
      </c>
      <c r="N344" s="14"/>
    </row>
    <row r="345" spans="1:17" x14ac:dyDescent="0.25">
      <c r="A345" s="20">
        <v>44518</v>
      </c>
      <c r="B345" s="1">
        <f>B338</f>
        <v>29</v>
      </c>
      <c r="C345" s="1" t="s">
        <v>136</v>
      </c>
      <c r="D345" s="1" t="s">
        <v>184</v>
      </c>
      <c r="E345" s="26" t="e">
        <f>+E344</f>
        <v>#REF!</v>
      </c>
      <c r="F345" s="26" t="e">
        <f>+F344</f>
        <v>#REF!</v>
      </c>
      <c r="G345" s="17">
        <v>8</v>
      </c>
      <c r="H345" s="17" t="s">
        <v>9</v>
      </c>
      <c r="I345" s="30" t="s">
        <v>59</v>
      </c>
      <c r="J345" s="22"/>
      <c r="K345" s="22"/>
      <c r="L345" s="8">
        <f t="shared" si="294"/>
        <v>0</v>
      </c>
      <c r="M345" s="24">
        <f t="shared" si="297"/>
        <v>0</v>
      </c>
      <c r="N345" s="14"/>
    </row>
    <row r="346" spans="1:17" x14ac:dyDescent="0.25">
      <c r="A346" s="20">
        <v>44518</v>
      </c>
      <c r="B346" s="1">
        <f>B338</f>
        <v>29</v>
      </c>
      <c r="C346" s="1" t="s">
        <v>136</v>
      </c>
      <c r="D346" s="1" t="s">
        <v>184</v>
      </c>
      <c r="E346" s="26" t="e">
        <f t="shared" ref="E346:F346" si="301">+E345</f>
        <v>#REF!</v>
      </c>
      <c r="F346" s="26" t="e">
        <f t="shared" si="301"/>
        <v>#REF!</v>
      </c>
      <c r="G346" s="17">
        <v>9</v>
      </c>
      <c r="H346" s="17" t="s">
        <v>9</v>
      </c>
      <c r="I346" s="30" t="s">
        <v>38</v>
      </c>
      <c r="J346" s="22"/>
      <c r="K346" s="22"/>
      <c r="L346" s="8">
        <f t="shared" si="294"/>
        <v>0</v>
      </c>
      <c r="M346" s="24">
        <f t="shared" si="297"/>
        <v>0</v>
      </c>
      <c r="N346" s="14"/>
    </row>
    <row r="347" spans="1:17" x14ac:dyDescent="0.25">
      <c r="A347" s="20">
        <v>44518</v>
      </c>
      <c r="B347" s="1">
        <f>B338</f>
        <v>29</v>
      </c>
      <c r="C347" s="1" t="s">
        <v>136</v>
      </c>
      <c r="D347" s="1" t="s">
        <v>184</v>
      </c>
      <c r="E347" s="26" t="e">
        <f t="shared" ref="E347:F347" si="302">+E346</f>
        <v>#REF!</v>
      </c>
      <c r="F347" s="26" t="e">
        <f t="shared" si="302"/>
        <v>#REF!</v>
      </c>
      <c r="G347" s="17">
        <v>10</v>
      </c>
      <c r="H347" s="17" t="s">
        <v>9</v>
      </c>
      <c r="I347" s="30" t="s">
        <v>23</v>
      </c>
      <c r="J347" s="22"/>
      <c r="K347" s="22"/>
      <c r="L347" s="8">
        <f t="shared" si="294"/>
        <v>0</v>
      </c>
      <c r="M347" s="24">
        <f t="shared" si="297"/>
        <v>0</v>
      </c>
      <c r="N347" s="14"/>
    </row>
    <row r="348" spans="1:17" x14ac:dyDescent="0.25">
      <c r="A348" s="20">
        <v>44518</v>
      </c>
      <c r="B348" s="1">
        <f>B338</f>
        <v>29</v>
      </c>
      <c r="C348" s="1" t="s">
        <v>136</v>
      </c>
      <c r="D348" s="1" t="s">
        <v>184</v>
      </c>
      <c r="E348" s="26" t="e">
        <f t="shared" ref="E348:F348" si="303">+E347</f>
        <v>#REF!</v>
      </c>
      <c r="F348" s="26" t="e">
        <f t="shared" si="303"/>
        <v>#REF!</v>
      </c>
      <c r="G348" s="17">
        <v>11</v>
      </c>
      <c r="H348" s="17" t="s">
        <v>9</v>
      </c>
      <c r="I348" s="30" t="s">
        <v>60</v>
      </c>
      <c r="J348" s="22"/>
      <c r="K348" s="22"/>
      <c r="L348" s="8">
        <f t="shared" si="294"/>
        <v>0</v>
      </c>
      <c r="M348" s="24">
        <f t="shared" si="297"/>
        <v>0</v>
      </c>
      <c r="N348" s="14"/>
    </row>
    <row r="349" spans="1:17" s="2" customFormat="1" ht="15.75" thickBot="1" x14ac:dyDescent="0.3">
      <c r="A349" s="60">
        <v>44518</v>
      </c>
      <c r="B349" s="57">
        <f>B338</f>
        <v>29</v>
      </c>
      <c r="C349" s="1" t="s">
        <v>136</v>
      </c>
      <c r="D349" s="1" t="s">
        <v>184</v>
      </c>
      <c r="E349" s="61" t="e">
        <f t="shared" ref="E349:F349" si="304">+E348</f>
        <v>#REF!</v>
      </c>
      <c r="F349" s="61" t="e">
        <f t="shared" si="304"/>
        <v>#REF!</v>
      </c>
      <c r="G349" s="62">
        <f>+G348+1</f>
        <v>12</v>
      </c>
      <c r="H349" s="62" t="s">
        <v>10</v>
      </c>
      <c r="I349" s="46" t="s">
        <v>10</v>
      </c>
      <c r="J349" s="63">
        <v>8.6999999999999993</v>
      </c>
      <c r="K349" s="63">
        <v>8.5500000000000007</v>
      </c>
      <c r="L349" s="64">
        <f t="shared" si="294"/>
        <v>0.14999999999999858</v>
      </c>
      <c r="M349" s="65">
        <f>+L349/SUMIF(C:C,C349,L:L)</f>
        <v>7.7922077922077167E-3</v>
      </c>
      <c r="N349" s="66"/>
      <c r="Q349" s="5"/>
    </row>
    <row r="350" spans="1:17" x14ac:dyDescent="0.25">
      <c r="A350" s="19">
        <v>44518</v>
      </c>
      <c r="B350" s="15">
        <f>B338+1</f>
        <v>30</v>
      </c>
      <c r="C350" s="15" t="s">
        <v>137</v>
      </c>
      <c r="D350" s="15" t="s">
        <v>184</v>
      </c>
      <c r="E350" s="25">
        <f>23.2-1.2</f>
        <v>22</v>
      </c>
      <c r="F350" s="25">
        <f>+SUM(L350:L361)</f>
        <v>22.149999999999991</v>
      </c>
      <c r="G350" s="16">
        <v>1</v>
      </c>
      <c r="H350" s="16" t="s">
        <v>9</v>
      </c>
      <c r="I350" s="59" t="s">
        <v>56</v>
      </c>
      <c r="J350" s="21">
        <f>11.05+11.9+9.1+11.4+11.35+11.2+11.55</f>
        <v>77.55</v>
      </c>
      <c r="K350" s="21">
        <f>8.3+8.55+8.3+8.5+8.25+8.5+8.3</f>
        <v>58.7</v>
      </c>
      <c r="L350" s="12">
        <f>+J350-K350</f>
        <v>18.849999999999994</v>
      </c>
      <c r="M350" s="23">
        <f>+L350/SUMIF(C:C,C350,L:L)</f>
        <v>0.85101580135440191</v>
      </c>
      <c r="N350" s="13"/>
      <c r="O350" t="s">
        <v>140</v>
      </c>
    </row>
    <row r="351" spans="1:17" x14ac:dyDescent="0.25">
      <c r="A351" s="20">
        <v>44518</v>
      </c>
      <c r="B351" s="1">
        <f>B350</f>
        <v>30</v>
      </c>
      <c r="C351" s="1" t="s">
        <v>137</v>
      </c>
      <c r="D351" s="1" t="s">
        <v>184</v>
      </c>
      <c r="E351" s="26">
        <f>+E350</f>
        <v>22</v>
      </c>
      <c r="F351" s="28">
        <f>+(F350-E350)/E350</f>
        <v>6.818181818181431E-3</v>
      </c>
      <c r="G351" s="17">
        <v>2</v>
      </c>
      <c r="H351" s="17" t="s">
        <v>9</v>
      </c>
      <c r="I351" s="30" t="s">
        <v>57</v>
      </c>
      <c r="J351" s="22">
        <f>9.55+10.7</f>
        <v>20.25</v>
      </c>
      <c r="K351" s="22">
        <f>8.55+8.55</f>
        <v>17.100000000000001</v>
      </c>
      <c r="L351" s="8">
        <f t="shared" ref="L351:L361" si="305">+J351-K351</f>
        <v>3.1499999999999986</v>
      </c>
      <c r="M351" s="24">
        <f t="shared" ref="M351" si="306">+L351/SUMIF(C:C,C351,L:L)</f>
        <v>0.14221218961625282</v>
      </c>
      <c r="N351" s="14" t="s">
        <v>142</v>
      </c>
      <c r="O351" t="s">
        <v>141</v>
      </c>
    </row>
    <row r="352" spans="1:17" x14ac:dyDescent="0.25">
      <c r="A352" s="20">
        <v>44518</v>
      </c>
      <c r="B352" s="1">
        <f>B350</f>
        <v>30</v>
      </c>
      <c r="C352" s="1" t="s">
        <v>137</v>
      </c>
      <c r="D352" s="1" t="s">
        <v>184</v>
      </c>
      <c r="E352" s="26" t="e">
        <f>+#REF!</f>
        <v>#REF!</v>
      </c>
      <c r="F352" s="26" t="e">
        <f>+#REF!</f>
        <v>#REF!</v>
      </c>
      <c r="G352" s="17">
        <v>3</v>
      </c>
      <c r="H352" s="17" t="s">
        <v>9</v>
      </c>
      <c r="I352" s="30" t="s">
        <v>58</v>
      </c>
      <c r="J352" s="22"/>
      <c r="K352" s="22"/>
      <c r="L352" s="8">
        <f t="shared" si="305"/>
        <v>0</v>
      </c>
      <c r="M352" s="24">
        <f>+L352/SUMIF(C:C,C352,L:L)</f>
        <v>0</v>
      </c>
      <c r="N352" s="14"/>
    </row>
    <row r="353" spans="1:17" x14ac:dyDescent="0.25">
      <c r="A353" s="20">
        <v>44518</v>
      </c>
      <c r="B353" s="1">
        <f>B350</f>
        <v>30</v>
      </c>
      <c r="C353" s="1" t="s">
        <v>137</v>
      </c>
      <c r="D353" s="1" t="s">
        <v>184</v>
      </c>
      <c r="E353" s="26" t="e">
        <f t="shared" ref="E353:F353" si="307">+E352</f>
        <v>#REF!</v>
      </c>
      <c r="F353" s="26" t="e">
        <f t="shared" si="307"/>
        <v>#REF!</v>
      </c>
      <c r="G353" s="17">
        <v>4</v>
      </c>
      <c r="H353" s="17" t="s">
        <v>9</v>
      </c>
      <c r="I353" s="30" t="s">
        <v>22</v>
      </c>
      <c r="J353" s="22"/>
      <c r="K353" s="22"/>
      <c r="L353" s="8">
        <f t="shared" si="305"/>
        <v>0</v>
      </c>
      <c r="M353" s="24">
        <f t="shared" ref="M353:M360" si="308">+L353/SUMIF(C:C,C353,L:L)</f>
        <v>0</v>
      </c>
      <c r="N353" s="14"/>
    </row>
    <row r="354" spans="1:17" x14ac:dyDescent="0.25">
      <c r="A354" s="20">
        <v>44518</v>
      </c>
      <c r="B354" s="1">
        <f>B350</f>
        <v>30</v>
      </c>
      <c r="C354" s="1" t="s">
        <v>137</v>
      </c>
      <c r="D354" s="1" t="s">
        <v>184</v>
      </c>
      <c r="E354" s="26" t="e">
        <f t="shared" ref="E354:F354" si="309">+E353</f>
        <v>#REF!</v>
      </c>
      <c r="F354" s="26" t="e">
        <f t="shared" si="309"/>
        <v>#REF!</v>
      </c>
      <c r="G354" s="17">
        <v>5</v>
      </c>
      <c r="H354" s="17" t="s">
        <v>9</v>
      </c>
      <c r="I354" s="30" t="s">
        <v>34</v>
      </c>
      <c r="J354" s="22">
        <v>0.05</v>
      </c>
      <c r="K354" s="22"/>
      <c r="L354" s="8">
        <f t="shared" si="305"/>
        <v>0.05</v>
      </c>
      <c r="M354" s="24">
        <f t="shared" si="308"/>
        <v>2.2573363431151253E-3</v>
      </c>
      <c r="N354" s="14"/>
    </row>
    <row r="355" spans="1:17" x14ac:dyDescent="0.25">
      <c r="A355" s="20">
        <v>44518</v>
      </c>
      <c r="B355" s="1">
        <f>B350</f>
        <v>30</v>
      </c>
      <c r="C355" s="1" t="s">
        <v>137</v>
      </c>
      <c r="D355" s="1" t="s">
        <v>184</v>
      </c>
      <c r="E355" s="26" t="e">
        <f t="shared" ref="E355:F355" si="310">+E354</f>
        <v>#REF!</v>
      </c>
      <c r="F355" s="26" t="e">
        <f t="shared" si="310"/>
        <v>#REF!</v>
      </c>
      <c r="G355" s="17">
        <v>6</v>
      </c>
      <c r="H355" s="17" t="s">
        <v>9</v>
      </c>
      <c r="I355" s="30" t="s">
        <v>35</v>
      </c>
      <c r="J355" s="22"/>
      <c r="K355" s="22"/>
      <c r="L355" s="8">
        <f t="shared" si="305"/>
        <v>0</v>
      </c>
      <c r="M355" s="24">
        <f t="shared" si="308"/>
        <v>0</v>
      </c>
      <c r="N355" s="14"/>
    </row>
    <row r="356" spans="1:17" x14ac:dyDescent="0.25">
      <c r="A356" s="20">
        <v>44518</v>
      </c>
      <c r="B356" s="1">
        <f>B350</f>
        <v>30</v>
      </c>
      <c r="C356" s="1" t="s">
        <v>137</v>
      </c>
      <c r="D356" s="1" t="s">
        <v>184</v>
      </c>
      <c r="E356" s="26" t="e">
        <f t="shared" ref="E356:F356" si="311">+E355</f>
        <v>#REF!</v>
      </c>
      <c r="F356" s="26" t="e">
        <f t="shared" si="311"/>
        <v>#REF!</v>
      </c>
      <c r="G356" s="17">
        <v>7</v>
      </c>
      <c r="H356" s="17" t="s">
        <v>9</v>
      </c>
      <c r="I356" s="30" t="s">
        <v>36</v>
      </c>
      <c r="J356" s="22"/>
      <c r="K356" s="22"/>
      <c r="L356" s="8">
        <f t="shared" si="305"/>
        <v>0</v>
      </c>
      <c r="M356" s="24">
        <f t="shared" si="308"/>
        <v>0</v>
      </c>
      <c r="N356" s="14"/>
    </row>
    <row r="357" spans="1:17" x14ac:dyDescent="0.25">
      <c r="A357" s="20">
        <v>44518</v>
      </c>
      <c r="B357" s="1">
        <f>B350</f>
        <v>30</v>
      </c>
      <c r="C357" s="1" t="s">
        <v>137</v>
      </c>
      <c r="D357" s="1" t="s">
        <v>184</v>
      </c>
      <c r="E357" s="26" t="e">
        <f>+E356</f>
        <v>#REF!</v>
      </c>
      <c r="F357" s="26" t="e">
        <f>+F356</f>
        <v>#REF!</v>
      </c>
      <c r="G357" s="17">
        <v>8</v>
      </c>
      <c r="H357" s="17" t="s">
        <v>9</v>
      </c>
      <c r="I357" s="30" t="s">
        <v>59</v>
      </c>
      <c r="J357" s="22"/>
      <c r="K357" s="22"/>
      <c r="L357" s="8">
        <f t="shared" si="305"/>
        <v>0</v>
      </c>
      <c r="M357" s="24">
        <f t="shared" si="308"/>
        <v>0</v>
      </c>
      <c r="N357" s="14"/>
    </row>
    <row r="358" spans="1:17" x14ac:dyDescent="0.25">
      <c r="A358" s="20">
        <v>44518</v>
      </c>
      <c r="B358" s="1">
        <f>B350</f>
        <v>30</v>
      </c>
      <c r="C358" s="1" t="s">
        <v>137</v>
      </c>
      <c r="D358" s="1" t="s">
        <v>184</v>
      </c>
      <c r="E358" s="26" t="e">
        <f t="shared" ref="E358:F358" si="312">+E357</f>
        <v>#REF!</v>
      </c>
      <c r="F358" s="26" t="e">
        <f t="shared" si="312"/>
        <v>#REF!</v>
      </c>
      <c r="G358" s="17">
        <v>9</v>
      </c>
      <c r="H358" s="17" t="s">
        <v>9</v>
      </c>
      <c r="I358" s="30" t="s">
        <v>38</v>
      </c>
      <c r="J358" s="22"/>
      <c r="K358" s="22"/>
      <c r="L358" s="8">
        <f t="shared" si="305"/>
        <v>0</v>
      </c>
      <c r="M358" s="24">
        <f t="shared" si="308"/>
        <v>0</v>
      </c>
      <c r="N358" s="14"/>
    </row>
    <row r="359" spans="1:17" x14ac:dyDescent="0.25">
      <c r="A359" s="20">
        <v>44518</v>
      </c>
      <c r="B359" s="1">
        <f>B350</f>
        <v>30</v>
      </c>
      <c r="C359" s="1" t="s">
        <v>137</v>
      </c>
      <c r="D359" s="1" t="s">
        <v>184</v>
      </c>
      <c r="E359" s="26" t="e">
        <f t="shared" ref="E359:F359" si="313">+E358</f>
        <v>#REF!</v>
      </c>
      <c r="F359" s="26" t="e">
        <f t="shared" si="313"/>
        <v>#REF!</v>
      </c>
      <c r="G359" s="17">
        <v>10</v>
      </c>
      <c r="H359" s="17" t="s">
        <v>9</v>
      </c>
      <c r="I359" s="30" t="s">
        <v>23</v>
      </c>
      <c r="J359" s="22"/>
      <c r="K359" s="22"/>
      <c r="L359" s="8">
        <f t="shared" si="305"/>
        <v>0</v>
      </c>
      <c r="M359" s="24">
        <f t="shared" si="308"/>
        <v>0</v>
      </c>
      <c r="N359" s="14"/>
    </row>
    <row r="360" spans="1:17" x14ac:dyDescent="0.25">
      <c r="A360" s="20">
        <v>44518</v>
      </c>
      <c r="B360" s="1">
        <f>B350</f>
        <v>30</v>
      </c>
      <c r="C360" s="1" t="s">
        <v>137</v>
      </c>
      <c r="D360" s="1" t="s">
        <v>184</v>
      </c>
      <c r="E360" s="26" t="e">
        <f t="shared" ref="E360:F360" si="314">+E359</f>
        <v>#REF!</v>
      </c>
      <c r="F360" s="26" t="e">
        <f t="shared" si="314"/>
        <v>#REF!</v>
      </c>
      <c r="G360" s="17">
        <v>11</v>
      </c>
      <c r="H360" s="17" t="s">
        <v>9</v>
      </c>
      <c r="I360" s="30" t="s">
        <v>60</v>
      </c>
      <c r="J360" s="22"/>
      <c r="K360" s="22"/>
      <c r="L360" s="8">
        <f t="shared" si="305"/>
        <v>0</v>
      </c>
      <c r="M360" s="24">
        <f t="shared" si="308"/>
        <v>0</v>
      </c>
      <c r="N360" s="14"/>
    </row>
    <row r="361" spans="1:17" s="2" customFormat="1" ht="15.75" thickBot="1" x14ac:dyDescent="0.3">
      <c r="A361" s="60">
        <v>44518</v>
      </c>
      <c r="B361" s="57">
        <f>B350</f>
        <v>30</v>
      </c>
      <c r="C361" s="1" t="s">
        <v>137</v>
      </c>
      <c r="D361" s="1" t="s">
        <v>184</v>
      </c>
      <c r="E361" s="61" t="e">
        <f t="shared" ref="E361:F361" si="315">+E360</f>
        <v>#REF!</v>
      </c>
      <c r="F361" s="61" t="e">
        <f t="shared" si="315"/>
        <v>#REF!</v>
      </c>
      <c r="G361" s="62">
        <f>+G360+1</f>
        <v>12</v>
      </c>
      <c r="H361" s="62" t="s">
        <v>10</v>
      </c>
      <c r="I361" s="46" t="s">
        <v>10</v>
      </c>
      <c r="J361" s="63">
        <f>8.65</f>
        <v>8.65</v>
      </c>
      <c r="K361" s="63">
        <f>8.55</f>
        <v>8.5500000000000007</v>
      </c>
      <c r="L361" s="64">
        <f t="shared" si="305"/>
        <v>9.9999999999999645E-2</v>
      </c>
      <c r="M361" s="65">
        <f>+L361/SUMIF(C:C,C361,L:L)</f>
        <v>4.5146726862302341E-3</v>
      </c>
      <c r="N361" s="66"/>
      <c r="Q361" s="5"/>
    </row>
    <row r="362" spans="1:17" x14ac:dyDescent="0.25">
      <c r="A362" s="19">
        <v>44518</v>
      </c>
      <c r="B362" s="15">
        <f>B350+1</f>
        <v>31</v>
      </c>
      <c r="C362" s="15" t="s">
        <v>143</v>
      </c>
      <c r="D362" s="15" t="s">
        <v>181</v>
      </c>
      <c r="E362" s="25">
        <f>30.4-1.2</f>
        <v>29.2</v>
      </c>
      <c r="F362" s="25">
        <f>+SUM(L362:L373)</f>
        <v>29.149999999999988</v>
      </c>
      <c r="G362" s="16">
        <v>1</v>
      </c>
      <c r="H362" s="16" t="s">
        <v>9</v>
      </c>
      <c r="I362" s="59" t="s">
        <v>56</v>
      </c>
      <c r="J362" s="21"/>
      <c r="K362" s="21"/>
      <c r="L362" s="12">
        <f>+J362-K362</f>
        <v>0</v>
      </c>
      <c r="M362" s="23">
        <f>+L362/SUMIF(C:C,C362,L:L)</f>
        <v>0</v>
      </c>
      <c r="N362" s="13"/>
      <c r="O362" t="s">
        <v>146</v>
      </c>
    </row>
    <row r="363" spans="1:17" x14ac:dyDescent="0.25">
      <c r="A363" s="20">
        <v>44518</v>
      </c>
      <c r="B363" s="1">
        <f>B362</f>
        <v>31</v>
      </c>
      <c r="C363" s="1" t="s">
        <v>143</v>
      </c>
      <c r="D363" s="1" t="s">
        <v>181</v>
      </c>
      <c r="E363" s="26">
        <f>+E362</f>
        <v>29.2</v>
      </c>
      <c r="F363" s="28">
        <f>+(F362-E362)/E362</f>
        <v>-1.712328767123677E-3</v>
      </c>
      <c r="G363" s="17">
        <v>2</v>
      </c>
      <c r="H363" s="17" t="s">
        <v>9</v>
      </c>
      <c r="I363" s="30" t="s">
        <v>57</v>
      </c>
      <c r="J363" s="22"/>
      <c r="K363" s="22"/>
      <c r="L363" s="8">
        <f t="shared" ref="L363:L373" si="316">+J363-K363</f>
        <v>0</v>
      </c>
      <c r="M363" s="24">
        <f t="shared" ref="M363" si="317">+L363/SUMIF(C:C,C363,L:L)</f>
        <v>0</v>
      </c>
      <c r="N363" s="14"/>
      <c r="O363" t="s">
        <v>147</v>
      </c>
    </row>
    <row r="364" spans="1:17" x14ac:dyDescent="0.25">
      <c r="A364" s="20">
        <v>44518</v>
      </c>
      <c r="B364" s="1">
        <f>B362</f>
        <v>31</v>
      </c>
      <c r="C364" s="1" t="s">
        <v>143</v>
      </c>
      <c r="D364" s="1" t="s">
        <v>181</v>
      </c>
      <c r="E364" s="26" t="e">
        <f>+#REF!</f>
        <v>#REF!</v>
      </c>
      <c r="F364" s="26" t="e">
        <f>+#REF!</f>
        <v>#REF!</v>
      </c>
      <c r="G364" s="17">
        <v>3</v>
      </c>
      <c r="H364" s="17" t="s">
        <v>9</v>
      </c>
      <c r="I364" s="30" t="s">
        <v>58</v>
      </c>
      <c r="J364" s="22"/>
      <c r="K364" s="22"/>
      <c r="L364" s="8">
        <f t="shared" si="316"/>
        <v>0</v>
      </c>
      <c r="M364" s="24">
        <f>+L364/SUMIF(C:C,C364,L:L)</f>
        <v>0</v>
      </c>
      <c r="N364" s="14"/>
    </row>
    <row r="365" spans="1:17" x14ac:dyDescent="0.25">
      <c r="A365" s="20">
        <v>44518</v>
      </c>
      <c r="B365" s="1">
        <f>B362</f>
        <v>31</v>
      </c>
      <c r="C365" s="1" t="s">
        <v>143</v>
      </c>
      <c r="D365" s="1" t="s">
        <v>181</v>
      </c>
      <c r="E365" s="26" t="e">
        <f t="shared" ref="E365:F365" si="318">+E364</f>
        <v>#REF!</v>
      </c>
      <c r="F365" s="26" t="e">
        <f t="shared" si="318"/>
        <v>#REF!</v>
      </c>
      <c r="G365" s="17">
        <v>4</v>
      </c>
      <c r="H365" s="17" t="s">
        <v>9</v>
      </c>
      <c r="I365" s="30" t="s">
        <v>22</v>
      </c>
      <c r="J365" s="22"/>
      <c r="K365" s="22"/>
      <c r="L365" s="8">
        <f t="shared" si="316"/>
        <v>0</v>
      </c>
      <c r="M365" s="24">
        <f t="shared" ref="M365:M372" si="319">+L365/SUMIF(C:C,C365,L:L)</f>
        <v>0</v>
      </c>
      <c r="N365" s="14"/>
    </row>
    <row r="366" spans="1:17" x14ac:dyDescent="0.25">
      <c r="A366" s="20">
        <v>44518</v>
      </c>
      <c r="B366" s="1">
        <f>B362</f>
        <v>31</v>
      </c>
      <c r="C366" s="1" t="s">
        <v>143</v>
      </c>
      <c r="D366" s="1" t="s">
        <v>181</v>
      </c>
      <c r="E366" s="26" t="e">
        <f t="shared" ref="E366:F366" si="320">+E365</f>
        <v>#REF!</v>
      </c>
      <c r="F366" s="26" t="e">
        <f t="shared" si="320"/>
        <v>#REF!</v>
      </c>
      <c r="G366" s="17">
        <v>5</v>
      </c>
      <c r="H366" s="17" t="s">
        <v>9</v>
      </c>
      <c r="I366" s="30" t="s">
        <v>34</v>
      </c>
      <c r="J366" s="22"/>
      <c r="K366" s="22"/>
      <c r="L366" s="8">
        <f t="shared" si="316"/>
        <v>0</v>
      </c>
      <c r="M366" s="24">
        <f t="shared" si="319"/>
        <v>0</v>
      </c>
      <c r="N366" s="14"/>
    </row>
    <row r="367" spans="1:17" x14ac:dyDescent="0.25">
      <c r="A367" s="20">
        <v>44518</v>
      </c>
      <c r="B367" s="1">
        <f>B362</f>
        <v>31</v>
      </c>
      <c r="C367" s="1" t="s">
        <v>143</v>
      </c>
      <c r="D367" s="1" t="s">
        <v>181</v>
      </c>
      <c r="E367" s="26" t="e">
        <f t="shared" ref="E367:F367" si="321">+E366</f>
        <v>#REF!</v>
      </c>
      <c r="F367" s="26" t="e">
        <f t="shared" si="321"/>
        <v>#REF!</v>
      </c>
      <c r="G367" s="17">
        <v>6</v>
      </c>
      <c r="H367" s="17" t="s">
        <v>9</v>
      </c>
      <c r="I367" s="30" t="s">
        <v>35</v>
      </c>
      <c r="J367" s="22"/>
      <c r="K367" s="22"/>
      <c r="L367" s="8">
        <f t="shared" si="316"/>
        <v>0</v>
      </c>
      <c r="M367" s="24">
        <f t="shared" si="319"/>
        <v>0</v>
      </c>
      <c r="N367" s="14"/>
    </row>
    <row r="368" spans="1:17" x14ac:dyDescent="0.25">
      <c r="A368" s="20">
        <v>44518</v>
      </c>
      <c r="B368" s="1">
        <f>B362</f>
        <v>31</v>
      </c>
      <c r="C368" s="1" t="s">
        <v>143</v>
      </c>
      <c r="D368" s="1" t="s">
        <v>181</v>
      </c>
      <c r="E368" s="26" t="e">
        <f t="shared" ref="E368:F368" si="322">+E367</f>
        <v>#REF!</v>
      </c>
      <c r="F368" s="26" t="e">
        <f t="shared" si="322"/>
        <v>#REF!</v>
      </c>
      <c r="G368" s="17">
        <v>7</v>
      </c>
      <c r="H368" s="17" t="s">
        <v>9</v>
      </c>
      <c r="I368" s="30" t="s">
        <v>36</v>
      </c>
      <c r="J368" s="22"/>
      <c r="K368" s="22"/>
      <c r="L368" s="8">
        <f t="shared" si="316"/>
        <v>0</v>
      </c>
      <c r="M368" s="24">
        <f t="shared" si="319"/>
        <v>0</v>
      </c>
      <c r="N368" s="14"/>
    </row>
    <row r="369" spans="1:17" x14ac:dyDescent="0.25">
      <c r="A369" s="20">
        <v>44518</v>
      </c>
      <c r="B369" s="1">
        <f>B362</f>
        <v>31</v>
      </c>
      <c r="C369" s="1" t="s">
        <v>143</v>
      </c>
      <c r="D369" s="1" t="s">
        <v>181</v>
      </c>
      <c r="E369" s="26" t="e">
        <f>+E368</f>
        <v>#REF!</v>
      </c>
      <c r="F369" s="26" t="e">
        <f>+F368</f>
        <v>#REF!</v>
      </c>
      <c r="G369" s="17">
        <v>8</v>
      </c>
      <c r="H369" s="17" t="s">
        <v>9</v>
      </c>
      <c r="I369" s="30" t="s">
        <v>59</v>
      </c>
      <c r="J369" s="22">
        <v>0.85</v>
      </c>
      <c r="K369" s="22">
        <v>0.55000000000000004</v>
      </c>
      <c r="L369" s="8">
        <f t="shared" si="316"/>
        <v>0.29999999999999993</v>
      </c>
      <c r="M369" s="24">
        <f t="shared" si="319"/>
        <v>1.0291595197255577E-2</v>
      </c>
      <c r="N369" s="14"/>
    </row>
    <row r="370" spans="1:17" x14ac:dyDescent="0.25">
      <c r="A370" s="20">
        <v>44518</v>
      </c>
      <c r="B370" s="1">
        <f>B362</f>
        <v>31</v>
      </c>
      <c r="C370" s="1" t="s">
        <v>143</v>
      </c>
      <c r="D370" s="1" t="s">
        <v>181</v>
      </c>
      <c r="E370" s="26" t="e">
        <f t="shared" ref="E370:F370" si="323">+E369</f>
        <v>#REF!</v>
      </c>
      <c r="F370" s="26" t="e">
        <f t="shared" si="323"/>
        <v>#REF!</v>
      </c>
      <c r="G370" s="17">
        <v>9</v>
      </c>
      <c r="H370" s="17" t="s">
        <v>9</v>
      </c>
      <c r="I370" s="30" t="s">
        <v>38</v>
      </c>
      <c r="J370" s="22"/>
      <c r="K370" s="22"/>
      <c r="L370" s="8">
        <f t="shared" si="316"/>
        <v>0</v>
      </c>
      <c r="M370" s="24">
        <f t="shared" si="319"/>
        <v>0</v>
      </c>
      <c r="N370" s="14"/>
    </row>
    <row r="371" spans="1:17" x14ac:dyDescent="0.25">
      <c r="A371" s="20">
        <v>44518</v>
      </c>
      <c r="B371" s="1">
        <f>B362</f>
        <v>31</v>
      </c>
      <c r="C371" s="1" t="s">
        <v>143</v>
      </c>
      <c r="D371" s="1" t="s">
        <v>181</v>
      </c>
      <c r="E371" s="26" t="e">
        <f t="shared" ref="E371:F371" si="324">+E370</f>
        <v>#REF!</v>
      </c>
      <c r="F371" s="26" t="e">
        <f t="shared" si="324"/>
        <v>#REF!</v>
      </c>
      <c r="G371" s="17">
        <v>10</v>
      </c>
      <c r="H371" s="17" t="s">
        <v>9</v>
      </c>
      <c r="I371" s="30" t="s">
        <v>23</v>
      </c>
      <c r="J371" s="22">
        <f>18.55+12.75+10.75+11.9+9.8+12.6</f>
        <v>76.349999999999994</v>
      </c>
      <c r="K371" s="22">
        <f>6.05+8.5+8.3+8.25+8.5+8.55</f>
        <v>48.150000000000006</v>
      </c>
      <c r="L371" s="8">
        <f t="shared" si="316"/>
        <v>28.199999999999989</v>
      </c>
      <c r="M371" s="24">
        <f t="shared" si="319"/>
        <v>0.967409948542024</v>
      </c>
      <c r="N371" s="14" t="s">
        <v>145</v>
      </c>
    </row>
    <row r="372" spans="1:17" x14ac:dyDescent="0.25">
      <c r="A372" s="20">
        <v>44518</v>
      </c>
      <c r="B372" s="1">
        <f>B362</f>
        <v>31</v>
      </c>
      <c r="C372" s="1" t="s">
        <v>143</v>
      </c>
      <c r="D372" s="1" t="s">
        <v>181</v>
      </c>
      <c r="E372" s="26" t="e">
        <f t="shared" ref="E372:F372" si="325">+E371</f>
        <v>#REF!</v>
      </c>
      <c r="F372" s="26" t="e">
        <f t="shared" si="325"/>
        <v>#REF!</v>
      </c>
      <c r="G372" s="17">
        <v>11</v>
      </c>
      <c r="H372" s="17" t="s">
        <v>9</v>
      </c>
      <c r="I372" s="30" t="s">
        <v>60</v>
      </c>
      <c r="J372" s="22"/>
      <c r="K372" s="22"/>
      <c r="L372" s="8">
        <f t="shared" si="316"/>
        <v>0</v>
      </c>
      <c r="M372" s="24">
        <f t="shared" si="319"/>
        <v>0</v>
      </c>
      <c r="N372" s="14"/>
    </row>
    <row r="373" spans="1:17" s="2" customFormat="1" ht="30.75" thickBot="1" x14ac:dyDescent="0.3">
      <c r="A373" s="60">
        <v>44518</v>
      </c>
      <c r="B373" s="57">
        <f>B362</f>
        <v>31</v>
      </c>
      <c r="C373" s="57" t="s">
        <v>143</v>
      </c>
      <c r="D373" s="57" t="s">
        <v>181</v>
      </c>
      <c r="E373" s="61" t="e">
        <f t="shared" ref="E373:F373" si="326">+E372</f>
        <v>#REF!</v>
      </c>
      <c r="F373" s="61" t="e">
        <f t="shared" si="326"/>
        <v>#REF!</v>
      </c>
      <c r="G373" s="62">
        <f>+G372+1</f>
        <v>12</v>
      </c>
      <c r="H373" s="62" t="s">
        <v>10</v>
      </c>
      <c r="I373" s="46" t="s">
        <v>10</v>
      </c>
      <c r="J373" s="63">
        <f>9.2</f>
        <v>9.1999999999999993</v>
      </c>
      <c r="K373" s="63">
        <f>8.55</f>
        <v>8.5500000000000007</v>
      </c>
      <c r="L373" s="64">
        <f t="shared" si="316"/>
        <v>0.64999999999999858</v>
      </c>
      <c r="M373" s="65">
        <f>+L373/SUMIF(C:C,C373,L:L)</f>
        <v>2.2298456260720374E-2</v>
      </c>
      <c r="N373" s="66" t="s">
        <v>144</v>
      </c>
      <c r="Q373" s="5"/>
    </row>
    <row r="374" spans="1:17" x14ac:dyDescent="0.25">
      <c r="A374" s="19">
        <v>44518</v>
      </c>
      <c r="B374" s="15">
        <f>B362+1</f>
        <v>32</v>
      </c>
      <c r="C374" s="15" t="s">
        <v>148</v>
      </c>
      <c r="D374" s="15" t="s">
        <v>178</v>
      </c>
      <c r="E374" s="25">
        <f>25-1.2</f>
        <v>23.8</v>
      </c>
      <c r="F374" s="25">
        <f>+SUM(L374:L385)</f>
        <v>23.599999999999994</v>
      </c>
      <c r="G374" s="16">
        <v>1</v>
      </c>
      <c r="H374" s="16" t="s">
        <v>9</v>
      </c>
      <c r="I374" s="59" t="s">
        <v>56</v>
      </c>
      <c r="J374" s="21">
        <v>0.15</v>
      </c>
      <c r="K374" s="21">
        <v>0</v>
      </c>
      <c r="L374" s="12">
        <f>+J374-K374</f>
        <v>0.15</v>
      </c>
      <c r="M374" s="23">
        <f>+L374/SUMIF(C:C,C374,L:L)</f>
        <v>6.3559322033898318E-3</v>
      </c>
      <c r="N374" s="13"/>
      <c r="O374" t="s">
        <v>150</v>
      </c>
    </row>
    <row r="375" spans="1:17" x14ac:dyDescent="0.25">
      <c r="A375" s="20">
        <v>44518</v>
      </c>
      <c r="B375" s="1">
        <f>B374</f>
        <v>32</v>
      </c>
      <c r="C375" s="1" t="s">
        <v>148</v>
      </c>
      <c r="D375" s="1" t="s">
        <v>178</v>
      </c>
      <c r="E375" s="26">
        <f>+E374</f>
        <v>23.8</v>
      </c>
      <c r="F375" s="28">
        <f>+(F374-E374)/E374</f>
        <v>-8.4033613445380836E-3</v>
      </c>
      <c r="G375" s="17">
        <v>2</v>
      </c>
      <c r="H375" s="17" t="s">
        <v>9</v>
      </c>
      <c r="I375" s="30" t="s">
        <v>57</v>
      </c>
      <c r="J375" s="22">
        <f>9.35+10.4</f>
        <v>19.75</v>
      </c>
      <c r="K375" s="22">
        <f>8.55+8.3</f>
        <v>16.850000000000001</v>
      </c>
      <c r="L375" s="8">
        <f t="shared" ref="L375:L385" si="327">+J375-K375</f>
        <v>2.8999999999999986</v>
      </c>
      <c r="M375" s="24">
        <f t="shared" ref="M375" si="328">+L375/SUMIF(C:C,C375,L:L)</f>
        <v>0.12288135593220335</v>
      </c>
      <c r="N375" s="14"/>
      <c r="O375" t="s">
        <v>151</v>
      </c>
    </row>
    <row r="376" spans="1:17" x14ac:dyDescent="0.25">
      <c r="A376" s="20">
        <v>44518</v>
      </c>
      <c r="B376" s="1">
        <f>B374</f>
        <v>32</v>
      </c>
      <c r="C376" s="1" t="s">
        <v>148</v>
      </c>
      <c r="D376" s="1" t="s">
        <v>178</v>
      </c>
      <c r="E376" s="26" t="e">
        <f>+#REF!</f>
        <v>#REF!</v>
      </c>
      <c r="F376" s="26" t="e">
        <f>+#REF!</f>
        <v>#REF!</v>
      </c>
      <c r="G376" s="17">
        <v>3</v>
      </c>
      <c r="H376" s="17" t="s">
        <v>9</v>
      </c>
      <c r="I376" s="30" t="s">
        <v>58</v>
      </c>
      <c r="J376" s="22">
        <v>0.8</v>
      </c>
      <c r="K376" s="22">
        <v>0.55000000000000004</v>
      </c>
      <c r="L376" s="8">
        <f t="shared" si="327"/>
        <v>0.25</v>
      </c>
      <c r="M376" s="24">
        <f>+L376/SUMIF(C:C,C376,L:L)</f>
        <v>1.0593220338983054E-2</v>
      </c>
      <c r="N376" s="14"/>
    </row>
    <row r="377" spans="1:17" x14ac:dyDescent="0.25">
      <c r="A377" s="20">
        <v>44518</v>
      </c>
      <c r="B377" s="1">
        <f>B374</f>
        <v>32</v>
      </c>
      <c r="C377" s="1" t="s">
        <v>148</v>
      </c>
      <c r="D377" s="1" t="s">
        <v>178</v>
      </c>
      <c r="E377" s="26" t="e">
        <f t="shared" ref="E377:F377" si="329">+E376</f>
        <v>#REF!</v>
      </c>
      <c r="F377" s="26" t="e">
        <f t="shared" si="329"/>
        <v>#REF!</v>
      </c>
      <c r="G377" s="17">
        <v>4</v>
      </c>
      <c r="H377" s="17" t="s">
        <v>9</v>
      </c>
      <c r="I377" s="30" t="s">
        <v>22</v>
      </c>
      <c r="J377" s="22">
        <v>0.65</v>
      </c>
      <c r="K377" s="22">
        <v>0.5</v>
      </c>
      <c r="L377" s="8">
        <f t="shared" si="327"/>
        <v>0.15000000000000002</v>
      </c>
      <c r="M377" s="24">
        <f t="shared" ref="M377:M384" si="330">+L377/SUMIF(C:C,C377,L:L)</f>
        <v>6.3559322033898327E-3</v>
      </c>
      <c r="N377" s="14"/>
    </row>
    <row r="378" spans="1:17" x14ac:dyDescent="0.25">
      <c r="A378" s="20">
        <v>44518</v>
      </c>
      <c r="B378" s="1">
        <f>B374</f>
        <v>32</v>
      </c>
      <c r="C378" s="1" t="s">
        <v>148</v>
      </c>
      <c r="D378" s="1" t="s">
        <v>178</v>
      </c>
      <c r="E378" s="26" t="e">
        <f t="shared" ref="E378:F378" si="331">+E377</f>
        <v>#REF!</v>
      </c>
      <c r="F378" s="26" t="e">
        <f t="shared" si="331"/>
        <v>#REF!</v>
      </c>
      <c r="G378" s="17">
        <v>5</v>
      </c>
      <c r="H378" s="17" t="s">
        <v>9</v>
      </c>
      <c r="I378" s="30" t="s">
        <v>34</v>
      </c>
      <c r="J378" s="22">
        <v>1.1000000000000001</v>
      </c>
      <c r="K378" s="22">
        <v>0.55000000000000004</v>
      </c>
      <c r="L378" s="8">
        <f t="shared" si="327"/>
        <v>0.55000000000000004</v>
      </c>
      <c r="M378" s="24">
        <f t="shared" si="330"/>
        <v>2.3305084745762719E-2</v>
      </c>
      <c r="N378" s="14"/>
    </row>
    <row r="379" spans="1:17" x14ac:dyDescent="0.25">
      <c r="A379" s="20">
        <v>44518</v>
      </c>
      <c r="B379" s="1">
        <f>B374</f>
        <v>32</v>
      </c>
      <c r="C379" s="1" t="s">
        <v>148</v>
      </c>
      <c r="D379" s="1" t="s">
        <v>178</v>
      </c>
      <c r="E379" s="26" t="e">
        <f t="shared" ref="E379:F379" si="332">+E378</f>
        <v>#REF!</v>
      </c>
      <c r="F379" s="26" t="e">
        <f t="shared" si="332"/>
        <v>#REF!</v>
      </c>
      <c r="G379" s="17">
        <v>6</v>
      </c>
      <c r="H379" s="17" t="s">
        <v>9</v>
      </c>
      <c r="I379" s="30" t="s">
        <v>35</v>
      </c>
      <c r="J379" s="22"/>
      <c r="K379" s="22"/>
      <c r="L379" s="8">
        <f t="shared" si="327"/>
        <v>0</v>
      </c>
      <c r="M379" s="24">
        <f t="shared" si="330"/>
        <v>0</v>
      </c>
      <c r="N379" s="14"/>
    </row>
    <row r="380" spans="1:17" x14ac:dyDescent="0.25">
      <c r="A380" s="20">
        <v>44518</v>
      </c>
      <c r="B380" s="1">
        <f>B374</f>
        <v>32</v>
      </c>
      <c r="C380" s="1" t="s">
        <v>148</v>
      </c>
      <c r="D380" s="1" t="s">
        <v>178</v>
      </c>
      <c r="E380" s="26" t="e">
        <f t="shared" ref="E380:F380" si="333">+E379</f>
        <v>#REF!</v>
      </c>
      <c r="F380" s="26" t="e">
        <f t="shared" si="333"/>
        <v>#REF!</v>
      </c>
      <c r="G380" s="17">
        <v>7</v>
      </c>
      <c r="H380" s="17" t="s">
        <v>9</v>
      </c>
      <c r="I380" s="30" t="s">
        <v>36</v>
      </c>
      <c r="J380" s="22"/>
      <c r="K380" s="22"/>
      <c r="L380" s="8">
        <f t="shared" si="327"/>
        <v>0</v>
      </c>
      <c r="M380" s="24">
        <f t="shared" si="330"/>
        <v>0</v>
      </c>
      <c r="N380" s="14"/>
    </row>
    <row r="381" spans="1:17" x14ac:dyDescent="0.25">
      <c r="A381" s="20">
        <v>44518</v>
      </c>
      <c r="B381" s="1">
        <f>B374</f>
        <v>32</v>
      </c>
      <c r="C381" s="1" t="s">
        <v>148</v>
      </c>
      <c r="D381" s="1" t="s">
        <v>178</v>
      </c>
      <c r="E381" s="26" t="e">
        <f>+E380</f>
        <v>#REF!</v>
      </c>
      <c r="F381" s="26" t="e">
        <f>+F380</f>
        <v>#REF!</v>
      </c>
      <c r="G381" s="17">
        <v>8</v>
      </c>
      <c r="H381" s="17" t="s">
        <v>9</v>
      </c>
      <c r="I381" s="30" t="s">
        <v>59</v>
      </c>
      <c r="J381" s="22">
        <v>9.8000000000000007</v>
      </c>
      <c r="K381" s="22">
        <v>8.5500000000000007</v>
      </c>
      <c r="L381" s="8">
        <f t="shared" si="327"/>
        <v>1.25</v>
      </c>
      <c r="M381" s="24">
        <f t="shared" si="330"/>
        <v>5.2966101694915266E-2</v>
      </c>
      <c r="N381" s="14"/>
    </row>
    <row r="382" spans="1:17" x14ac:dyDescent="0.25">
      <c r="A382" s="20">
        <v>44518</v>
      </c>
      <c r="B382" s="1">
        <f>B374</f>
        <v>32</v>
      </c>
      <c r="C382" s="1" t="s">
        <v>148</v>
      </c>
      <c r="D382" s="1" t="s">
        <v>178</v>
      </c>
      <c r="E382" s="26" t="e">
        <f t="shared" ref="E382:F382" si="334">+E381</f>
        <v>#REF!</v>
      </c>
      <c r="F382" s="26" t="e">
        <f t="shared" si="334"/>
        <v>#REF!</v>
      </c>
      <c r="G382" s="17">
        <v>9</v>
      </c>
      <c r="H382" s="17" t="s">
        <v>9</v>
      </c>
      <c r="I382" s="30" t="s">
        <v>38</v>
      </c>
      <c r="J382" s="22"/>
      <c r="K382" s="22"/>
      <c r="L382" s="8">
        <f t="shared" si="327"/>
        <v>0</v>
      </c>
      <c r="M382" s="24">
        <f t="shared" si="330"/>
        <v>0</v>
      </c>
      <c r="N382" s="14"/>
    </row>
    <row r="383" spans="1:17" x14ac:dyDescent="0.25">
      <c r="A383" s="20">
        <v>44518</v>
      </c>
      <c r="B383" s="1">
        <f>B374</f>
        <v>32</v>
      </c>
      <c r="C383" s="1" t="s">
        <v>148</v>
      </c>
      <c r="D383" s="1" t="s">
        <v>178</v>
      </c>
      <c r="E383" s="26" t="e">
        <f t="shared" ref="E383:F383" si="335">+E382</f>
        <v>#REF!</v>
      </c>
      <c r="F383" s="26" t="e">
        <f t="shared" si="335"/>
        <v>#REF!</v>
      </c>
      <c r="G383" s="17">
        <v>10</v>
      </c>
      <c r="H383" s="17" t="s">
        <v>9</v>
      </c>
      <c r="I383" s="30" t="s">
        <v>23</v>
      </c>
      <c r="J383" s="22">
        <f>8.8+10.25</f>
        <v>19.05</v>
      </c>
      <c r="K383" s="22">
        <f>8.55+8.55</f>
        <v>17.100000000000001</v>
      </c>
      <c r="L383" s="8">
        <f t="shared" si="327"/>
        <v>1.9499999999999993</v>
      </c>
      <c r="M383" s="24">
        <f t="shared" si="330"/>
        <v>8.2627118644067785E-2</v>
      </c>
      <c r="N383" s="14"/>
    </row>
    <row r="384" spans="1:17" x14ac:dyDescent="0.25">
      <c r="A384" s="20">
        <v>44518</v>
      </c>
      <c r="B384" s="1">
        <f>B374</f>
        <v>32</v>
      </c>
      <c r="C384" s="1" t="s">
        <v>148</v>
      </c>
      <c r="D384" s="1" t="s">
        <v>178</v>
      </c>
      <c r="E384" s="26" t="e">
        <f t="shared" ref="E384:F384" si="336">+E383</f>
        <v>#REF!</v>
      </c>
      <c r="F384" s="26" t="e">
        <f t="shared" si="336"/>
        <v>#REF!</v>
      </c>
      <c r="G384" s="17">
        <v>11</v>
      </c>
      <c r="H384" s="17" t="s">
        <v>9</v>
      </c>
      <c r="I384" s="30" t="s">
        <v>60</v>
      </c>
      <c r="J384" s="22">
        <v>0.9</v>
      </c>
      <c r="K384" s="22">
        <v>0.55000000000000004</v>
      </c>
      <c r="L384" s="8">
        <f t="shared" si="327"/>
        <v>0.35</v>
      </c>
      <c r="M384" s="24">
        <f t="shared" si="330"/>
        <v>1.4830508474576273E-2</v>
      </c>
      <c r="N384" s="14"/>
    </row>
    <row r="385" spans="1:17" s="2" customFormat="1" ht="15.75" thickBot="1" x14ac:dyDescent="0.3">
      <c r="A385" s="60">
        <v>44518</v>
      </c>
      <c r="B385" s="57">
        <f>B374</f>
        <v>32</v>
      </c>
      <c r="C385" s="57" t="s">
        <v>148</v>
      </c>
      <c r="D385" s="57" t="s">
        <v>178</v>
      </c>
      <c r="E385" s="61" t="e">
        <f t="shared" ref="E385:F385" si="337">+E384</f>
        <v>#REF!</v>
      </c>
      <c r="F385" s="61" t="e">
        <f t="shared" si="337"/>
        <v>#REF!</v>
      </c>
      <c r="G385" s="62">
        <f>+G384+1</f>
        <v>12</v>
      </c>
      <c r="H385" s="62" t="s">
        <v>10</v>
      </c>
      <c r="I385" s="46" t="s">
        <v>10</v>
      </c>
      <c r="J385" s="63">
        <f>11.8+8.7+14.2+10.5+12.75</f>
        <v>57.95</v>
      </c>
      <c r="K385" s="63">
        <f>8.3+8.3+8.5+8.5+8.3</f>
        <v>41.900000000000006</v>
      </c>
      <c r="L385" s="64">
        <f t="shared" si="327"/>
        <v>16.049999999999997</v>
      </c>
      <c r="M385" s="65">
        <f>+L385/SUMIF(C:C,C385,L:L)</f>
        <v>0.68008474576271194</v>
      </c>
      <c r="N385" s="66"/>
      <c r="Q385" s="5"/>
    </row>
    <row r="386" spans="1:17" x14ac:dyDescent="0.25">
      <c r="A386" s="19">
        <v>44518</v>
      </c>
      <c r="B386" s="15">
        <f>B374+1</f>
        <v>33</v>
      </c>
      <c r="C386" s="15" t="s">
        <v>149</v>
      </c>
      <c r="D386" s="15" t="s">
        <v>178</v>
      </c>
      <c r="E386" s="25">
        <f>26.8-1.2</f>
        <v>25.6</v>
      </c>
      <c r="F386" s="25">
        <f>+SUM(L386:L397)</f>
        <v>25.54999999999999</v>
      </c>
      <c r="G386" s="16">
        <v>1</v>
      </c>
      <c r="H386" s="16" t="s">
        <v>9</v>
      </c>
      <c r="I386" s="59" t="s">
        <v>56</v>
      </c>
      <c r="J386" s="21">
        <v>0.85</v>
      </c>
      <c r="K386" s="21">
        <v>0.55000000000000004</v>
      </c>
      <c r="L386" s="12">
        <f>+J386-K386</f>
        <v>0.29999999999999993</v>
      </c>
      <c r="M386" s="23">
        <f>+L386/SUMIF(C:C,C386,L:L)</f>
        <v>1.174168297455969E-2</v>
      </c>
      <c r="N386" s="13"/>
      <c r="O386" t="s">
        <v>152</v>
      </c>
    </row>
    <row r="387" spans="1:17" x14ac:dyDescent="0.25">
      <c r="A387" s="20">
        <v>44518</v>
      </c>
      <c r="B387" s="1">
        <f>B386</f>
        <v>33</v>
      </c>
      <c r="C387" s="1" t="s">
        <v>149</v>
      </c>
      <c r="D387" s="1" t="s">
        <v>178</v>
      </c>
      <c r="E387" s="26">
        <f>+E386</f>
        <v>25.6</v>
      </c>
      <c r="F387" s="28">
        <f>+(F386-E386)/E386</f>
        <v>-1.9531250000004441E-3</v>
      </c>
      <c r="G387" s="17">
        <v>2</v>
      </c>
      <c r="H387" s="17" t="s">
        <v>9</v>
      </c>
      <c r="I387" s="30" t="s">
        <v>57</v>
      </c>
      <c r="J387" s="22">
        <f>8.65+10.15</f>
        <v>18.8</v>
      </c>
      <c r="K387" s="22">
        <f>8.3+8.55</f>
        <v>16.850000000000001</v>
      </c>
      <c r="L387" s="8">
        <f t="shared" ref="L387:L397" si="338">+J387-K387</f>
        <v>1.9499999999999993</v>
      </c>
      <c r="M387" s="24">
        <f t="shared" ref="M387" si="339">+L387/SUMIF(C:C,C387,L:L)</f>
        <v>7.6320939334637961E-2</v>
      </c>
      <c r="N387" s="14"/>
      <c r="O387" t="s">
        <v>153</v>
      </c>
    </row>
    <row r="388" spans="1:17" x14ac:dyDescent="0.25">
      <c r="A388" s="20">
        <v>44518</v>
      </c>
      <c r="B388" s="1">
        <f>B386</f>
        <v>33</v>
      </c>
      <c r="C388" s="1" t="s">
        <v>149</v>
      </c>
      <c r="D388" s="1" t="s">
        <v>178</v>
      </c>
      <c r="E388" s="26" t="e">
        <f>+#REF!</f>
        <v>#REF!</v>
      </c>
      <c r="F388" s="26" t="e">
        <f>+#REF!</f>
        <v>#REF!</v>
      </c>
      <c r="G388" s="17">
        <v>3</v>
      </c>
      <c r="H388" s="17" t="s">
        <v>9</v>
      </c>
      <c r="I388" s="30" t="s">
        <v>58</v>
      </c>
      <c r="J388" s="22">
        <v>0.95</v>
      </c>
      <c r="K388" s="22">
        <v>0.55000000000000004</v>
      </c>
      <c r="L388" s="8">
        <f t="shared" si="338"/>
        <v>0.39999999999999991</v>
      </c>
      <c r="M388" s="24">
        <f>+L388/SUMIF(C:C,C388,L:L)</f>
        <v>1.5655577299412918E-2</v>
      </c>
      <c r="N388" s="14"/>
    </row>
    <row r="389" spans="1:17" x14ac:dyDescent="0.25">
      <c r="A389" s="20">
        <v>44518</v>
      </c>
      <c r="B389" s="1">
        <f>B386</f>
        <v>33</v>
      </c>
      <c r="C389" s="1" t="s">
        <v>149</v>
      </c>
      <c r="D389" s="1" t="s">
        <v>178</v>
      </c>
      <c r="E389" s="26" t="e">
        <f t="shared" ref="E389:F389" si="340">+E388</f>
        <v>#REF!</v>
      </c>
      <c r="F389" s="26" t="e">
        <f t="shared" si="340"/>
        <v>#REF!</v>
      </c>
      <c r="G389" s="17">
        <v>4</v>
      </c>
      <c r="H389" s="17" t="s">
        <v>9</v>
      </c>
      <c r="I389" s="30" t="s">
        <v>22</v>
      </c>
      <c r="J389" s="22">
        <v>0.05</v>
      </c>
      <c r="K389" s="22">
        <v>0</v>
      </c>
      <c r="L389" s="8">
        <f t="shared" si="338"/>
        <v>0.05</v>
      </c>
      <c r="M389" s="24">
        <f t="shared" ref="M389:M396" si="341">+L389/SUMIF(C:C,C389,L:L)</f>
        <v>1.9569471624266152E-3</v>
      </c>
      <c r="N389" s="14"/>
    </row>
    <row r="390" spans="1:17" x14ac:dyDescent="0.25">
      <c r="A390" s="20">
        <v>44518</v>
      </c>
      <c r="B390" s="1">
        <f>B386</f>
        <v>33</v>
      </c>
      <c r="C390" s="1" t="s">
        <v>149</v>
      </c>
      <c r="D390" s="1" t="s">
        <v>178</v>
      </c>
      <c r="E390" s="26" t="e">
        <f t="shared" ref="E390:F390" si="342">+E389</f>
        <v>#REF!</v>
      </c>
      <c r="F390" s="26" t="e">
        <f t="shared" si="342"/>
        <v>#REF!</v>
      </c>
      <c r="G390" s="17">
        <v>5</v>
      </c>
      <c r="H390" s="17" t="s">
        <v>9</v>
      </c>
      <c r="I390" s="30" t="s">
        <v>34</v>
      </c>
      <c r="J390" s="22">
        <v>0.85</v>
      </c>
      <c r="K390" s="22">
        <v>0.5</v>
      </c>
      <c r="L390" s="8">
        <f t="shared" si="338"/>
        <v>0.35</v>
      </c>
      <c r="M390" s="24">
        <f t="shared" si="341"/>
        <v>1.3698630136986306E-2</v>
      </c>
      <c r="N390" s="14"/>
    </row>
    <row r="391" spans="1:17" x14ac:dyDescent="0.25">
      <c r="A391" s="20">
        <v>44518</v>
      </c>
      <c r="B391" s="1">
        <f>B386</f>
        <v>33</v>
      </c>
      <c r="C391" s="1" t="s">
        <v>149</v>
      </c>
      <c r="D391" s="1" t="s">
        <v>178</v>
      </c>
      <c r="E391" s="26" t="e">
        <f t="shared" ref="E391:F391" si="343">+E390</f>
        <v>#REF!</v>
      </c>
      <c r="F391" s="26" t="e">
        <f t="shared" si="343"/>
        <v>#REF!</v>
      </c>
      <c r="G391" s="17">
        <v>6</v>
      </c>
      <c r="H391" s="17" t="s">
        <v>9</v>
      </c>
      <c r="I391" s="30" t="s">
        <v>35</v>
      </c>
      <c r="J391" s="22"/>
      <c r="K391" s="22"/>
      <c r="L391" s="8">
        <f t="shared" si="338"/>
        <v>0</v>
      </c>
      <c r="M391" s="24">
        <f t="shared" si="341"/>
        <v>0</v>
      </c>
      <c r="N391" s="14"/>
    </row>
    <row r="392" spans="1:17" x14ac:dyDescent="0.25">
      <c r="A392" s="20">
        <v>44518</v>
      </c>
      <c r="B392" s="1">
        <f>B386</f>
        <v>33</v>
      </c>
      <c r="C392" s="1" t="s">
        <v>149</v>
      </c>
      <c r="D392" s="1" t="s">
        <v>178</v>
      </c>
      <c r="E392" s="26" t="e">
        <f t="shared" ref="E392:F392" si="344">+E391</f>
        <v>#REF!</v>
      </c>
      <c r="F392" s="26" t="e">
        <f t="shared" si="344"/>
        <v>#REF!</v>
      </c>
      <c r="G392" s="17">
        <v>7</v>
      </c>
      <c r="H392" s="17" t="s">
        <v>9</v>
      </c>
      <c r="I392" s="30" t="s">
        <v>36</v>
      </c>
      <c r="J392" s="22"/>
      <c r="K392" s="22"/>
      <c r="L392" s="8">
        <f t="shared" si="338"/>
        <v>0</v>
      </c>
      <c r="M392" s="24">
        <f t="shared" si="341"/>
        <v>0</v>
      </c>
      <c r="N392" s="14"/>
    </row>
    <row r="393" spans="1:17" x14ac:dyDescent="0.25">
      <c r="A393" s="20">
        <v>44518</v>
      </c>
      <c r="B393" s="1">
        <f>B386</f>
        <v>33</v>
      </c>
      <c r="C393" s="1" t="s">
        <v>149</v>
      </c>
      <c r="D393" s="1" t="s">
        <v>178</v>
      </c>
      <c r="E393" s="26" t="e">
        <f>+E392</f>
        <v>#REF!</v>
      </c>
      <c r="F393" s="26" t="e">
        <f>+F392</f>
        <v>#REF!</v>
      </c>
      <c r="G393" s="17">
        <v>8</v>
      </c>
      <c r="H393" s="17" t="s">
        <v>9</v>
      </c>
      <c r="I393" s="30" t="s">
        <v>59</v>
      </c>
      <c r="J393" s="22">
        <f>1.35+0.65</f>
        <v>2</v>
      </c>
      <c r="K393" s="22">
        <f>0.5+0.55</f>
        <v>1.05</v>
      </c>
      <c r="L393" s="8">
        <f t="shared" si="338"/>
        <v>0.95</v>
      </c>
      <c r="M393" s="24">
        <f t="shared" si="341"/>
        <v>3.7181996086105687E-2</v>
      </c>
      <c r="N393" s="14"/>
    </row>
    <row r="394" spans="1:17" x14ac:dyDescent="0.25">
      <c r="A394" s="20">
        <v>44518</v>
      </c>
      <c r="B394" s="1">
        <f>B386</f>
        <v>33</v>
      </c>
      <c r="C394" s="1" t="s">
        <v>149</v>
      </c>
      <c r="D394" s="1" t="s">
        <v>178</v>
      </c>
      <c r="E394" s="26" t="e">
        <f t="shared" ref="E394:F394" si="345">+E393</f>
        <v>#REF!</v>
      </c>
      <c r="F394" s="26" t="e">
        <f t="shared" si="345"/>
        <v>#REF!</v>
      </c>
      <c r="G394" s="17">
        <v>9</v>
      </c>
      <c r="H394" s="17" t="s">
        <v>9</v>
      </c>
      <c r="I394" s="30" t="s">
        <v>38</v>
      </c>
      <c r="J394" s="22"/>
      <c r="K394" s="22"/>
      <c r="L394" s="8">
        <f t="shared" si="338"/>
        <v>0</v>
      </c>
      <c r="M394" s="24">
        <f t="shared" si="341"/>
        <v>0</v>
      </c>
      <c r="N394" s="14"/>
    </row>
    <row r="395" spans="1:17" x14ac:dyDescent="0.25">
      <c r="A395" s="20">
        <v>44518</v>
      </c>
      <c r="B395" s="1">
        <f>B386</f>
        <v>33</v>
      </c>
      <c r="C395" s="1" t="s">
        <v>149</v>
      </c>
      <c r="D395" s="1" t="s">
        <v>178</v>
      </c>
      <c r="E395" s="26" t="e">
        <f t="shared" ref="E395:F395" si="346">+E394</f>
        <v>#REF!</v>
      </c>
      <c r="F395" s="26" t="e">
        <f t="shared" si="346"/>
        <v>#REF!</v>
      </c>
      <c r="G395" s="17">
        <v>10</v>
      </c>
      <c r="H395" s="17" t="s">
        <v>9</v>
      </c>
      <c r="I395" s="30" t="s">
        <v>23</v>
      </c>
      <c r="J395" s="22">
        <f>11.75+8.8</f>
        <v>20.55</v>
      </c>
      <c r="K395" s="22">
        <f>8.5+8.3</f>
        <v>16.8</v>
      </c>
      <c r="L395" s="8">
        <f t="shared" si="338"/>
        <v>3.75</v>
      </c>
      <c r="M395" s="24">
        <f t="shared" si="341"/>
        <v>0.14677103718199613</v>
      </c>
      <c r="N395" s="14"/>
    </row>
    <row r="396" spans="1:17" x14ac:dyDescent="0.25">
      <c r="A396" s="20">
        <v>44518</v>
      </c>
      <c r="B396" s="1">
        <f>B386</f>
        <v>33</v>
      </c>
      <c r="C396" s="1" t="s">
        <v>149</v>
      </c>
      <c r="D396" s="1" t="s">
        <v>178</v>
      </c>
      <c r="E396" s="26" t="e">
        <f t="shared" ref="E396:F396" si="347">+E395</f>
        <v>#REF!</v>
      </c>
      <c r="F396" s="26" t="e">
        <f t="shared" si="347"/>
        <v>#REF!</v>
      </c>
      <c r="G396" s="17">
        <v>11</v>
      </c>
      <c r="H396" s="17" t="s">
        <v>9</v>
      </c>
      <c r="I396" s="30" t="s">
        <v>60</v>
      </c>
      <c r="J396" s="22">
        <f>8.75+8.7</f>
        <v>17.45</v>
      </c>
      <c r="K396" s="22">
        <f>8.5+8.55</f>
        <v>17.05</v>
      </c>
      <c r="L396" s="8">
        <f t="shared" si="338"/>
        <v>0.39999999999999858</v>
      </c>
      <c r="M396" s="24">
        <f t="shared" si="341"/>
        <v>1.5655577299412866E-2</v>
      </c>
      <c r="N396" s="14"/>
    </row>
    <row r="397" spans="1:17" s="2" customFormat="1" ht="15.75" thickBot="1" x14ac:dyDescent="0.3">
      <c r="A397" s="60">
        <v>44518</v>
      </c>
      <c r="B397" s="57">
        <f>B386</f>
        <v>33</v>
      </c>
      <c r="C397" s="57" t="s">
        <v>149</v>
      </c>
      <c r="D397" s="57" t="s">
        <v>178</v>
      </c>
      <c r="E397" s="61" t="e">
        <f t="shared" ref="E397:F397" si="348">+E396</f>
        <v>#REF!</v>
      </c>
      <c r="F397" s="61" t="e">
        <f t="shared" si="348"/>
        <v>#REF!</v>
      </c>
      <c r="G397" s="62">
        <f>+G396+1</f>
        <v>12</v>
      </c>
      <c r="H397" s="62" t="s">
        <v>10</v>
      </c>
      <c r="I397" s="46" t="s">
        <v>10</v>
      </c>
      <c r="J397" s="63">
        <f>13.9+14.6+11.9+10.65</f>
        <v>51.05</v>
      </c>
      <c r="K397" s="63">
        <f>8.3+8.55+8.25+8.55</f>
        <v>33.650000000000006</v>
      </c>
      <c r="L397" s="64">
        <f t="shared" si="338"/>
        <v>17.399999999999991</v>
      </c>
      <c r="M397" s="65">
        <f>+L397/SUMIF(C:C,C397,L:L)</f>
        <v>0.6810176125244618</v>
      </c>
      <c r="N397" s="66"/>
      <c r="Q397" s="5"/>
    </row>
    <row r="398" spans="1:17" x14ac:dyDescent="0.25">
      <c r="A398" s="19">
        <v>44518</v>
      </c>
      <c r="B398" s="15">
        <f>B386+1</f>
        <v>34</v>
      </c>
      <c r="C398" s="15" t="s">
        <v>154</v>
      </c>
      <c r="D398" s="15" t="s">
        <v>38</v>
      </c>
      <c r="E398" s="25">
        <f>49.4-1.2</f>
        <v>48.199999999999996</v>
      </c>
      <c r="F398" s="25">
        <f>+SUM(L398:L409)</f>
        <v>48.150000000000006</v>
      </c>
      <c r="G398" s="16">
        <v>1</v>
      </c>
      <c r="H398" s="16" t="s">
        <v>9</v>
      </c>
      <c r="I398" s="59" t="s">
        <v>56</v>
      </c>
      <c r="J398" s="21">
        <v>0.05</v>
      </c>
      <c r="K398" s="21">
        <v>0</v>
      </c>
      <c r="L398" s="12">
        <f>+J398-K398</f>
        <v>0.05</v>
      </c>
      <c r="M398" s="23">
        <f>+L398/SUMIF(C:C,C398,L:L)</f>
        <v>1.0384215991692627E-3</v>
      </c>
      <c r="N398" s="13"/>
      <c r="O398" t="s">
        <v>171</v>
      </c>
    </row>
    <row r="399" spans="1:17" x14ac:dyDescent="0.25">
      <c r="A399" s="20">
        <v>44518</v>
      </c>
      <c r="B399" s="1">
        <f>B398</f>
        <v>34</v>
      </c>
      <c r="C399" s="1" t="s">
        <v>154</v>
      </c>
      <c r="D399" s="1" t="s">
        <v>38</v>
      </c>
      <c r="E399" s="26">
        <f>+E398</f>
        <v>48.199999999999996</v>
      </c>
      <c r="F399" s="28">
        <f>+(F398-E398)/E398</f>
        <v>-1.0373443983400427E-3</v>
      </c>
      <c r="G399" s="17">
        <v>2</v>
      </c>
      <c r="H399" s="17" t="s">
        <v>9</v>
      </c>
      <c r="I399" s="30" t="s">
        <v>57</v>
      </c>
      <c r="J399" s="22">
        <v>0.7</v>
      </c>
      <c r="K399" s="22">
        <v>0.55000000000000004</v>
      </c>
      <c r="L399" s="8">
        <f t="shared" ref="L399:L409" si="349">+J399-K399</f>
        <v>0.14999999999999991</v>
      </c>
      <c r="M399" s="24">
        <f t="shared" ref="M399" si="350">+L399/SUMIF(C:C,C399,L:L)</f>
        <v>3.1152647975077859E-3</v>
      </c>
      <c r="N399" s="14"/>
      <c r="O399" t="s">
        <v>161</v>
      </c>
    </row>
    <row r="400" spans="1:17" x14ac:dyDescent="0.25">
      <c r="A400" s="20">
        <v>44518</v>
      </c>
      <c r="B400" s="1">
        <f>B398</f>
        <v>34</v>
      </c>
      <c r="C400" s="1" t="s">
        <v>154</v>
      </c>
      <c r="D400" s="1" t="s">
        <v>38</v>
      </c>
      <c r="E400" s="26" t="e">
        <f>+#REF!</f>
        <v>#REF!</v>
      </c>
      <c r="F400" s="26" t="e">
        <f>+#REF!</f>
        <v>#REF!</v>
      </c>
      <c r="G400" s="17">
        <v>3</v>
      </c>
      <c r="H400" s="17" t="s">
        <v>9</v>
      </c>
      <c r="I400" s="30" t="s">
        <v>58</v>
      </c>
      <c r="J400" s="22"/>
      <c r="K400" s="22"/>
      <c r="L400" s="8">
        <f t="shared" si="349"/>
        <v>0</v>
      </c>
      <c r="M400" s="24">
        <f>+L400/SUMIF(C:C,C400,L:L)</f>
        <v>0</v>
      </c>
      <c r="N400" s="14"/>
    </row>
    <row r="401" spans="1:17" x14ac:dyDescent="0.25">
      <c r="A401" s="20">
        <v>44518</v>
      </c>
      <c r="B401" s="1">
        <f>B398</f>
        <v>34</v>
      </c>
      <c r="C401" s="1" t="s">
        <v>154</v>
      </c>
      <c r="D401" s="1" t="s">
        <v>38</v>
      </c>
      <c r="E401" s="26" t="e">
        <f t="shared" ref="E401:F401" si="351">+E400</f>
        <v>#REF!</v>
      </c>
      <c r="F401" s="26" t="e">
        <f t="shared" si="351"/>
        <v>#REF!</v>
      </c>
      <c r="G401" s="17">
        <v>4</v>
      </c>
      <c r="H401" s="17" t="s">
        <v>9</v>
      </c>
      <c r="I401" s="30" t="s">
        <v>22</v>
      </c>
      <c r="J401" s="22">
        <v>0.1</v>
      </c>
      <c r="K401" s="22">
        <v>0</v>
      </c>
      <c r="L401" s="8">
        <f t="shared" si="349"/>
        <v>0.1</v>
      </c>
      <c r="M401" s="24">
        <f t="shared" ref="M401:M408" si="352">+L401/SUMIF(C:C,C401,L:L)</f>
        <v>2.0768431983385254E-3</v>
      </c>
      <c r="N401" s="14"/>
    </row>
    <row r="402" spans="1:17" x14ac:dyDescent="0.25">
      <c r="A402" s="20">
        <v>44518</v>
      </c>
      <c r="B402" s="1">
        <f>B398</f>
        <v>34</v>
      </c>
      <c r="C402" s="1" t="s">
        <v>154</v>
      </c>
      <c r="D402" s="1" t="s">
        <v>38</v>
      </c>
      <c r="E402" s="26" t="e">
        <f t="shared" ref="E402:F402" si="353">+E401</f>
        <v>#REF!</v>
      </c>
      <c r="F402" s="26" t="e">
        <f t="shared" si="353"/>
        <v>#REF!</v>
      </c>
      <c r="G402" s="17">
        <v>5</v>
      </c>
      <c r="H402" s="17" t="s">
        <v>9</v>
      </c>
      <c r="I402" s="30" t="s">
        <v>34</v>
      </c>
      <c r="J402" s="22">
        <v>0.6</v>
      </c>
      <c r="K402" s="22">
        <v>0.5</v>
      </c>
      <c r="L402" s="8">
        <f t="shared" si="349"/>
        <v>9.9999999999999978E-2</v>
      </c>
      <c r="M402" s="24">
        <f t="shared" si="352"/>
        <v>2.0768431983385249E-3</v>
      </c>
      <c r="N402" s="14"/>
    </row>
    <row r="403" spans="1:17" x14ac:dyDescent="0.25">
      <c r="A403" s="20">
        <v>44518</v>
      </c>
      <c r="B403" s="1">
        <f>B398</f>
        <v>34</v>
      </c>
      <c r="C403" s="1" t="s">
        <v>154</v>
      </c>
      <c r="D403" s="1" t="s">
        <v>38</v>
      </c>
      <c r="E403" s="26" t="e">
        <f t="shared" ref="E403:F403" si="354">+E402</f>
        <v>#REF!</v>
      </c>
      <c r="F403" s="26" t="e">
        <f t="shared" si="354"/>
        <v>#REF!</v>
      </c>
      <c r="G403" s="17">
        <v>6</v>
      </c>
      <c r="H403" s="17" t="s">
        <v>9</v>
      </c>
      <c r="I403" s="30" t="s">
        <v>35</v>
      </c>
      <c r="J403" s="22"/>
      <c r="K403" s="22"/>
      <c r="L403" s="8">
        <f t="shared" si="349"/>
        <v>0</v>
      </c>
      <c r="M403" s="24">
        <f t="shared" si="352"/>
        <v>0</v>
      </c>
      <c r="N403" s="14"/>
    </row>
    <row r="404" spans="1:17" x14ac:dyDescent="0.25">
      <c r="A404" s="20">
        <v>44518</v>
      </c>
      <c r="B404" s="1">
        <f>B398</f>
        <v>34</v>
      </c>
      <c r="C404" s="1" t="s">
        <v>154</v>
      </c>
      <c r="D404" s="1" t="s">
        <v>38</v>
      </c>
      <c r="E404" s="26" t="e">
        <f t="shared" ref="E404:F404" si="355">+E403</f>
        <v>#REF!</v>
      </c>
      <c r="F404" s="26" t="e">
        <f t="shared" si="355"/>
        <v>#REF!</v>
      </c>
      <c r="G404" s="17">
        <v>7</v>
      </c>
      <c r="H404" s="17" t="s">
        <v>9</v>
      </c>
      <c r="I404" s="30" t="s">
        <v>36</v>
      </c>
      <c r="J404" s="22"/>
      <c r="K404" s="22"/>
      <c r="L404" s="8">
        <f t="shared" si="349"/>
        <v>0</v>
      </c>
      <c r="M404" s="24">
        <f t="shared" si="352"/>
        <v>0</v>
      </c>
      <c r="N404" s="14"/>
    </row>
    <row r="405" spans="1:17" x14ac:dyDescent="0.25">
      <c r="A405" s="20">
        <v>44518</v>
      </c>
      <c r="B405" s="1">
        <f>B398</f>
        <v>34</v>
      </c>
      <c r="C405" s="1" t="s">
        <v>154</v>
      </c>
      <c r="D405" s="1" t="s">
        <v>38</v>
      </c>
      <c r="E405" s="26" t="e">
        <f>+E404</f>
        <v>#REF!</v>
      </c>
      <c r="F405" s="26" t="e">
        <f>+F404</f>
        <v>#REF!</v>
      </c>
      <c r="G405" s="17">
        <v>8</v>
      </c>
      <c r="H405" s="17" t="s">
        <v>9</v>
      </c>
      <c r="I405" s="30" t="s">
        <v>59</v>
      </c>
      <c r="J405" s="22">
        <v>0.2</v>
      </c>
      <c r="K405" s="22">
        <v>0</v>
      </c>
      <c r="L405" s="8">
        <f t="shared" si="349"/>
        <v>0.2</v>
      </c>
      <c r="M405" s="24">
        <f t="shared" si="352"/>
        <v>4.1536863966770508E-3</v>
      </c>
      <c r="N405" s="14"/>
    </row>
    <row r="406" spans="1:17" x14ac:dyDescent="0.25">
      <c r="A406" s="20">
        <v>44518</v>
      </c>
      <c r="B406" s="1">
        <f>B398</f>
        <v>34</v>
      </c>
      <c r="C406" s="1" t="s">
        <v>154</v>
      </c>
      <c r="D406" s="1" t="s">
        <v>38</v>
      </c>
      <c r="E406" s="26" t="e">
        <f t="shared" ref="E406:F406" si="356">+E405</f>
        <v>#REF!</v>
      </c>
      <c r="F406" s="26" t="e">
        <f t="shared" si="356"/>
        <v>#REF!</v>
      </c>
      <c r="G406" s="17">
        <v>9</v>
      </c>
      <c r="H406" s="17" t="s">
        <v>9</v>
      </c>
      <c r="I406" s="30" t="s">
        <v>38</v>
      </c>
      <c r="J406" s="22">
        <f>10.45+17.65+25.55+21.5</f>
        <v>75.150000000000006</v>
      </c>
      <c r="K406" s="22">
        <f>8.55+8.3+8.3+8.3</f>
        <v>33.450000000000003</v>
      </c>
      <c r="L406" s="8">
        <f t="shared" si="349"/>
        <v>41.7</v>
      </c>
      <c r="M406" s="24">
        <f t="shared" si="352"/>
        <v>0.86604361370716509</v>
      </c>
      <c r="N406" s="14"/>
    </row>
    <row r="407" spans="1:17" x14ac:dyDescent="0.25">
      <c r="A407" s="20">
        <v>44518</v>
      </c>
      <c r="B407" s="1">
        <f>B398</f>
        <v>34</v>
      </c>
      <c r="C407" s="1" t="s">
        <v>154</v>
      </c>
      <c r="D407" s="1" t="s">
        <v>38</v>
      </c>
      <c r="E407" s="26" t="e">
        <f t="shared" ref="E407:F407" si="357">+E406</f>
        <v>#REF!</v>
      </c>
      <c r="F407" s="26" t="e">
        <f t="shared" si="357"/>
        <v>#REF!</v>
      </c>
      <c r="G407" s="17">
        <v>10</v>
      </c>
      <c r="H407" s="17" t="s">
        <v>9</v>
      </c>
      <c r="I407" s="30" t="s">
        <v>23</v>
      </c>
      <c r="J407" s="22">
        <v>2.2000000000000002</v>
      </c>
      <c r="K407" s="22">
        <v>0.55000000000000004</v>
      </c>
      <c r="L407" s="8">
        <f t="shared" si="349"/>
        <v>1.6500000000000001</v>
      </c>
      <c r="M407" s="24">
        <f t="shared" si="352"/>
        <v>3.4267912772585667E-2</v>
      </c>
      <c r="N407" s="14"/>
    </row>
    <row r="408" spans="1:17" x14ac:dyDescent="0.25">
      <c r="A408" s="20">
        <v>44518</v>
      </c>
      <c r="B408" s="1">
        <f>B398</f>
        <v>34</v>
      </c>
      <c r="C408" s="1" t="s">
        <v>154</v>
      </c>
      <c r="D408" s="1" t="s">
        <v>38</v>
      </c>
      <c r="E408" s="26" t="e">
        <f t="shared" ref="E408:F408" si="358">+E407</f>
        <v>#REF!</v>
      </c>
      <c r="F408" s="26" t="e">
        <f t="shared" si="358"/>
        <v>#REF!</v>
      </c>
      <c r="G408" s="17">
        <v>11</v>
      </c>
      <c r="H408" s="17" t="s">
        <v>9</v>
      </c>
      <c r="I408" s="30" t="s">
        <v>60</v>
      </c>
      <c r="J408" s="22">
        <v>9.0500000000000007</v>
      </c>
      <c r="K408" s="22">
        <v>8.5500000000000007</v>
      </c>
      <c r="L408" s="8">
        <f t="shared" si="349"/>
        <v>0.5</v>
      </c>
      <c r="M408" s="24">
        <f t="shared" si="352"/>
        <v>1.0384215991692626E-2</v>
      </c>
      <c r="N408" s="14"/>
    </row>
    <row r="409" spans="1:17" s="2" customFormat="1" ht="45.75" thickBot="1" x14ac:dyDescent="0.3">
      <c r="A409" s="60">
        <v>44518</v>
      </c>
      <c r="B409" s="57">
        <f>B398</f>
        <v>34</v>
      </c>
      <c r="C409" s="57" t="s">
        <v>154</v>
      </c>
      <c r="D409" s="57" t="s">
        <v>38</v>
      </c>
      <c r="E409" s="61" t="e">
        <f t="shared" ref="E409:F409" si="359">+E408</f>
        <v>#REF!</v>
      </c>
      <c r="F409" s="61" t="e">
        <f t="shared" si="359"/>
        <v>#REF!</v>
      </c>
      <c r="G409" s="62">
        <f>+G408+1</f>
        <v>12</v>
      </c>
      <c r="H409" s="62" t="s">
        <v>10</v>
      </c>
      <c r="I409" s="46" t="s">
        <v>10</v>
      </c>
      <c r="J409" s="63">
        <f>10.95+9.8</f>
        <v>20.75</v>
      </c>
      <c r="K409" s="63">
        <f>8.55+8.5</f>
        <v>17.05</v>
      </c>
      <c r="L409" s="64">
        <f t="shared" si="349"/>
        <v>3.6999999999999993</v>
      </c>
      <c r="M409" s="65">
        <f>+L409/SUMIF(C:C,C409,L:L)</f>
        <v>7.6843198338525417E-2</v>
      </c>
      <c r="N409" s="66" t="s">
        <v>155</v>
      </c>
      <c r="Q409" s="5"/>
    </row>
    <row r="410" spans="1:17" x14ac:dyDescent="0.25">
      <c r="A410" s="19">
        <v>44518</v>
      </c>
      <c r="B410" s="15">
        <f>B398+1</f>
        <v>35</v>
      </c>
      <c r="C410" s="15" t="s">
        <v>156</v>
      </c>
      <c r="D410" s="15" t="s">
        <v>185</v>
      </c>
      <c r="E410" s="25">
        <f>39.4-1.2</f>
        <v>38.199999999999996</v>
      </c>
      <c r="F410" s="25">
        <f>+SUM(L410:L421)</f>
        <v>38.049999999999997</v>
      </c>
      <c r="G410" s="16">
        <v>1</v>
      </c>
      <c r="H410" s="16" t="s">
        <v>9</v>
      </c>
      <c r="I410" s="59" t="s">
        <v>56</v>
      </c>
      <c r="J410" s="21"/>
      <c r="K410" s="21"/>
      <c r="L410" s="12">
        <f>+J410-K410</f>
        <v>0</v>
      </c>
      <c r="M410" s="23">
        <f>+L410/SUMIF(C:C,C410,L:L)</f>
        <v>0</v>
      </c>
      <c r="N410" s="13"/>
      <c r="O410" t="s">
        <v>171</v>
      </c>
    </row>
    <row r="411" spans="1:17" x14ac:dyDescent="0.25">
      <c r="A411" s="20">
        <v>44518</v>
      </c>
      <c r="B411" s="1">
        <f>B410</f>
        <v>35</v>
      </c>
      <c r="C411" s="1" t="s">
        <v>156</v>
      </c>
      <c r="D411" s="1" t="s">
        <v>185</v>
      </c>
      <c r="E411" s="26">
        <f>+E410</f>
        <v>38.199999999999996</v>
      </c>
      <c r="F411" s="28">
        <f>+(F410-E410)/E410</f>
        <v>-3.9267015706805916E-3</v>
      </c>
      <c r="G411" s="17">
        <v>2</v>
      </c>
      <c r="H411" s="17" t="s">
        <v>9</v>
      </c>
      <c r="I411" s="30" t="s">
        <v>57</v>
      </c>
      <c r="J411" s="22">
        <v>0.8</v>
      </c>
      <c r="K411" s="22">
        <v>0.5</v>
      </c>
      <c r="L411" s="8">
        <f t="shared" ref="L411:L421" si="360">+J411-K411</f>
        <v>0.30000000000000004</v>
      </c>
      <c r="M411" s="24">
        <f t="shared" ref="M411" si="361">+L411/SUMIF(C:C,C411,L:L)</f>
        <v>7.8843626806833125E-3</v>
      </c>
      <c r="N411" s="14"/>
      <c r="O411" t="s">
        <v>160</v>
      </c>
    </row>
    <row r="412" spans="1:17" x14ac:dyDescent="0.25">
      <c r="A412" s="20">
        <v>44518</v>
      </c>
      <c r="B412" s="1">
        <f>B410</f>
        <v>35</v>
      </c>
      <c r="C412" s="1" t="s">
        <v>156</v>
      </c>
      <c r="D412" s="1" t="s">
        <v>185</v>
      </c>
      <c r="E412" s="26" t="e">
        <f>+#REF!</f>
        <v>#REF!</v>
      </c>
      <c r="F412" s="26" t="e">
        <f>+#REF!</f>
        <v>#REF!</v>
      </c>
      <c r="G412" s="17">
        <v>3</v>
      </c>
      <c r="H412" s="17" t="s">
        <v>9</v>
      </c>
      <c r="I412" s="30" t="s">
        <v>58</v>
      </c>
      <c r="J412" s="22">
        <v>0.05</v>
      </c>
      <c r="K412" s="22">
        <v>0</v>
      </c>
      <c r="L412" s="8">
        <f t="shared" si="360"/>
        <v>0.05</v>
      </c>
      <c r="M412" s="24">
        <f>+L412/SUMIF(C:C,C412,L:L)</f>
        <v>1.3140604467805521E-3</v>
      </c>
      <c r="N412" s="14"/>
    </row>
    <row r="413" spans="1:17" x14ac:dyDescent="0.25">
      <c r="A413" s="20">
        <v>44518</v>
      </c>
      <c r="B413" s="1">
        <f>B410</f>
        <v>35</v>
      </c>
      <c r="C413" s="1" t="s">
        <v>156</v>
      </c>
      <c r="D413" s="1" t="s">
        <v>185</v>
      </c>
      <c r="E413" s="26" t="e">
        <f t="shared" ref="E413:F413" si="362">+E412</f>
        <v>#REF!</v>
      </c>
      <c r="F413" s="26" t="e">
        <f t="shared" si="362"/>
        <v>#REF!</v>
      </c>
      <c r="G413" s="17">
        <v>4</v>
      </c>
      <c r="H413" s="17" t="s">
        <v>9</v>
      </c>
      <c r="I413" s="30" t="s">
        <v>22</v>
      </c>
      <c r="J413" s="22">
        <v>0.75</v>
      </c>
      <c r="K413" s="22">
        <v>0.55000000000000004</v>
      </c>
      <c r="L413" s="8">
        <f t="shared" si="360"/>
        <v>0.19999999999999996</v>
      </c>
      <c r="M413" s="24">
        <f t="shared" ref="M413:M420" si="363">+L413/SUMIF(C:C,C413,L:L)</f>
        <v>5.2562417871222069E-3</v>
      </c>
      <c r="N413" s="14"/>
    </row>
    <row r="414" spans="1:17" x14ac:dyDescent="0.25">
      <c r="A414" s="20">
        <v>44518</v>
      </c>
      <c r="B414" s="1">
        <f>B410</f>
        <v>35</v>
      </c>
      <c r="C414" s="1" t="s">
        <v>156</v>
      </c>
      <c r="D414" s="1" t="s">
        <v>185</v>
      </c>
      <c r="E414" s="26" t="e">
        <f t="shared" ref="E414:F414" si="364">+E413</f>
        <v>#REF!</v>
      </c>
      <c r="F414" s="26" t="e">
        <f t="shared" si="364"/>
        <v>#REF!</v>
      </c>
      <c r="G414" s="17">
        <v>5</v>
      </c>
      <c r="H414" s="17" t="s">
        <v>9</v>
      </c>
      <c r="I414" s="30" t="s">
        <v>34</v>
      </c>
      <c r="J414" s="22">
        <f>15.85+15.1+10+12.3+15+14.9</f>
        <v>83.15</v>
      </c>
      <c r="K414" s="22">
        <f>8.3+8.3+8.55+8.55+8.55+8.5</f>
        <v>50.75</v>
      </c>
      <c r="L414" s="8">
        <f t="shared" si="360"/>
        <v>32.400000000000006</v>
      </c>
      <c r="M414" s="24">
        <f t="shared" si="363"/>
        <v>0.85151116951379779</v>
      </c>
      <c r="N414" s="14"/>
    </row>
    <row r="415" spans="1:17" x14ac:dyDescent="0.25">
      <c r="A415" s="20">
        <v>44518</v>
      </c>
      <c r="B415" s="1">
        <f>B410</f>
        <v>35</v>
      </c>
      <c r="C415" s="1" t="s">
        <v>156</v>
      </c>
      <c r="D415" s="1" t="s">
        <v>185</v>
      </c>
      <c r="E415" s="26" t="e">
        <f t="shared" ref="E415:F415" si="365">+E414</f>
        <v>#REF!</v>
      </c>
      <c r="F415" s="26" t="e">
        <f t="shared" si="365"/>
        <v>#REF!</v>
      </c>
      <c r="G415" s="17">
        <v>6</v>
      </c>
      <c r="H415" s="17" t="s">
        <v>9</v>
      </c>
      <c r="I415" s="30" t="s">
        <v>35</v>
      </c>
      <c r="J415" s="22">
        <v>1.1000000000000001</v>
      </c>
      <c r="K415" s="22">
        <v>0.55000000000000004</v>
      </c>
      <c r="L415" s="8">
        <f t="shared" si="360"/>
        <v>0.55000000000000004</v>
      </c>
      <c r="M415" s="24">
        <f t="shared" si="363"/>
        <v>1.4454664914586073E-2</v>
      </c>
      <c r="N415" s="14"/>
    </row>
    <row r="416" spans="1:17" x14ac:dyDescent="0.25">
      <c r="A416" s="20">
        <v>44518</v>
      </c>
      <c r="B416" s="1">
        <f>B410</f>
        <v>35</v>
      </c>
      <c r="C416" s="1" t="s">
        <v>156</v>
      </c>
      <c r="D416" s="1" t="s">
        <v>185</v>
      </c>
      <c r="E416" s="26" t="e">
        <f t="shared" ref="E416:F416" si="366">+E415</f>
        <v>#REF!</v>
      </c>
      <c r="F416" s="26" t="e">
        <f t="shared" si="366"/>
        <v>#REF!</v>
      </c>
      <c r="G416" s="17">
        <v>7</v>
      </c>
      <c r="H416" s="17" t="s">
        <v>9</v>
      </c>
      <c r="I416" s="30" t="s">
        <v>36</v>
      </c>
      <c r="J416" s="22"/>
      <c r="K416" s="22"/>
      <c r="L416" s="8">
        <f t="shared" si="360"/>
        <v>0</v>
      </c>
      <c r="M416" s="24">
        <f t="shared" si="363"/>
        <v>0</v>
      </c>
      <c r="N416" s="14"/>
    </row>
    <row r="417" spans="1:17" x14ac:dyDescent="0.25">
      <c r="A417" s="20">
        <v>44518</v>
      </c>
      <c r="B417" s="1">
        <f>B410</f>
        <v>35</v>
      </c>
      <c r="C417" s="1" t="s">
        <v>156</v>
      </c>
      <c r="D417" s="1" t="s">
        <v>185</v>
      </c>
      <c r="E417" s="26" t="e">
        <f>+E416</f>
        <v>#REF!</v>
      </c>
      <c r="F417" s="26" t="e">
        <f>+F416</f>
        <v>#REF!</v>
      </c>
      <c r="G417" s="17">
        <v>8</v>
      </c>
      <c r="H417" s="17" t="s">
        <v>9</v>
      </c>
      <c r="I417" s="30" t="s">
        <v>59</v>
      </c>
      <c r="J417" s="22">
        <v>1.25</v>
      </c>
      <c r="K417" s="22">
        <v>0.55000000000000004</v>
      </c>
      <c r="L417" s="8">
        <f t="shared" si="360"/>
        <v>0.7</v>
      </c>
      <c r="M417" s="24">
        <f t="shared" si="363"/>
        <v>1.8396846254927726E-2</v>
      </c>
      <c r="N417" s="14"/>
    </row>
    <row r="418" spans="1:17" x14ac:dyDescent="0.25">
      <c r="A418" s="20">
        <v>44518</v>
      </c>
      <c r="B418" s="1">
        <f>B410</f>
        <v>35</v>
      </c>
      <c r="C418" s="1" t="s">
        <v>156</v>
      </c>
      <c r="D418" s="1" t="s">
        <v>185</v>
      </c>
      <c r="E418" s="26" t="e">
        <f t="shared" ref="E418:F418" si="367">+E417</f>
        <v>#REF!</v>
      </c>
      <c r="F418" s="26" t="e">
        <f t="shared" si="367"/>
        <v>#REF!</v>
      </c>
      <c r="G418" s="17">
        <v>9</v>
      </c>
      <c r="H418" s="17" t="s">
        <v>9</v>
      </c>
      <c r="I418" s="30" t="s">
        <v>38</v>
      </c>
      <c r="J418" s="22"/>
      <c r="K418" s="22"/>
      <c r="L418" s="8">
        <f t="shared" si="360"/>
        <v>0</v>
      </c>
      <c r="M418" s="24">
        <f t="shared" si="363"/>
        <v>0</v>
      </c>
      <c r="N418" s="14"/>
    </row>
    <row r="419" spans="1:17" x14ac:dyDescent="0.25">
      <c r="A419" s="20">
        <v>44518</v>
      </c>
      <c r="B419" s="1">
        <f>B410</f>
        <v>35</v>
      </c>
      <c r="C419" s="1" t="s">
        <v>156</v>
      </c>
      <c r="D419" s="1" t="s">
        <v>185</v>
      </c>
      <c r="E419" s="26" t="e">
        <f t="shared" ref="E419:F419" si="368">+E418</f>
        <v>#REF!</v>
      </c>
      <c r="F419" s="26" t="e">
        <f t="shared" si="368"/>
        <v>#REF!</v>
      </c>
      <c r="G419" s="17">
        <v>10</v>
      </c>
      <c r="H419" s="17" t="s">
        <v>9</v>
      </c>
      <c r="I419" s="30" t="s">
        <v>23</v>
      </c>
      <c r="J419" s="22">
        <v>1.8</v>
      </c>
      <c r="K419" s="22">
        <v>0.55000000000000004</v>
      </c>
      <c r="L419" s="8">
        <f t="shared" si="360"/>
        <v>1.25</v>
      </c>
      <c r="M419" s="24">
        <f t="shared" si="363"/>
        <v>3.2851511169513799E-2</v>
      </c>
      <c r="N419" s="14"/>
    </row>
    <row r="420" spans="1:17" x14ac:dyDescent="0.25">
      <c r="A420" s="20">
        <v>44518</v>
      </c>
      <c r="B420" s="1">
        <f>B410</f>
        <v>35</v>
      </c>
      <c r="C420" s="1" t="s">
        <v>156</v>
      </c>
      <c r="D420" s="1" t="s">
        <v>185</v>
      </c>
      <c r="E420" s="26" t="e">
        <f t="shared" ref="E420:F420" si="369">+E419</f>
        <v>#REF!</v>
      </c>
      <c r="F420" s="26" t="e">
        <f t="shared" si="369"/>
        <v>#REF!</v>
      </c>
      <c r="G420" s="17">
        <v>11</v>
      </c>
      <c r="H420" s="17" t="s">
        <v>9</v>
      </c>
      <c r="I420" s="30" t="s">
        <v>60</v>
      </c>
      <c r="J420" s="22">
        <v>0.6</v>
      </c>
      <c r="K420" s="22">
        <v>0.55000000000000004</v>
      </c>
      <c r="L420" s="8">
        <f t="shared" si="360"/>
        <v>4.9999999999999933E-2</v>
      </c>
      <c r="M420" s="24">
        <f t="shared" si="363"/>
        <v>1.3140604467805502E-3</v>
      </c>
      <c r="N420" s="14"/>
    </row>
    <row r="421" spans="1:17" s="2" customFormat="1" ht="60.75" thickBot="1" x14ac:dyDescent="0.3">
      <c r="A421" s="60">
        <v>44518</v>
      </c>
      <c r="B421" s="57">
        <f>B410</f>
        <v>35</v>
      </c>
      <c r="C421" s="57" t="s">
        <v>156</v>
      </c>
      <c r="D421" s="57" t="s">
        <v>185</v>
      </c>
      <c r="E421" s="61" t="e">
        <f t="shared" ref="E421:F421" si="370">+E420</f>
        <v>#REF!</v>
      </c>
      <c r="F421" s="61" t="e">
        <f t="shared" si="370"/>
        <v>#REF!</v>
      </c>
      <c r="G421" s="62">
        <f>+G420+1</f>
        <v>12</v>
      </c>
      <c r="H421" s="62" t="s">
        <v>10</v>
      </c>
      <c r="I421" s="46" t="s">
        <v>10</v>
      </c>
      <c r="J421" s="63">
        <f>9.2+10.2</f>
        <v>19.399999999999999</v>
      </c>
      <c r="K421" s="63">
        <f>8.3+8.55</f>
        <v>16.850000000000001</v>
      </c>
      <c r="L421" s="64">
        <f t="shared" si="360"/>
        <v>2.5499999999999972</v>
      </c>
      <c r="M421" s="65">
        <f>+L421/SUMIF(C:C,C421,L:L)</f>
        <v>6.7017082785808077E-2</v>
      </c>
      <c r="N421" s="66" t="s">
        <v>157</v>
      </c>
      <c r="Q421" s="5"/>
    </row>
    <row r="422" spans="1:17" x14ac:dyDescent="0.25">
      <c r="A422" s="19">
        <v>44518</v>
      </c>
      <c r="B422" s="15">
        <f>B410+1</f>
        <v>36</v>
      </c>
      <c r="C422" s="15" t="s">
        <v>158</v>
      </c>
      <c r="D422" s="15" t="s">
        <v>185</v>
      </c>
      <c r="E422" s="25">
        <f>30-1.2</f>
        <v>28.8</v>
      </c>
      <c r="F422" s="25">
        <f>+SUM(L422:L433)</f>
        <v>28.449999999999996</v>
      </c>
      <c r="G422" s="16">
        <v>1</v>
      </c>
      <c r="H422" s="16" t="s">
        <v>9</v>
      </c>
      <c r="I422" s="59" t="s">
        <v>56</v>
      </c>
      <c r="J422" s="21">
        <v>0.1</v>
      </c>
      <c r="K422" s="21">
        <v>0</v>
      </c>
      <c r="L422" s="12">
        <f>+J422-K422</f>
        <v>0.1</v>
      </c>
      <c r="M422" s="23">
        <f>+L422/SUMIF(C:C,C422,L:L)</f>
        <v>3.5149384885764506E-3</v>
      </c>
      <c r="N422" s="13"/>
      <c r="O422" t="s">
        <v>171</v>
      </c>
    </row>
    <row r="423" spans="1:17" x14ac:dyDescent="0.25">
      <c r="A423" s="20">
        <v>44518</v>
      </c>
      <c r="B423" s="1">
        <f>B422</f>
        <v>36</v>
      </c>
      <c r="C423" s="1" t="s">
        <v>158</v>
      </c>
      <c r="D423" s="1" t="s">
        <v>185</v>
      </c>
      <c r="E423" s="26">
        <f>+E422</f>
        <v>28.8</v>
      </c>
      <c r="F423" s="28">
        <f>+(F422-E422)/E422</f>
        <v>-1.215277777777795E-2</v>
      </c>
      <c r="G423" s="17">
        <v>2</v>
      </c>
      <c r="H423" s="17" t="s">
        <v>9</v>
      </c>
      <c r="I423" s="30" t="s">
        <v>57</v>
      </c>
      <c r="J423" s="22">
        <v>0.75</v>
      </c>
      <c r="K423" s="22">
        <v>0.5</v>
      </c>
      <c r="L423" s="8">
        <f t="shared" ref="L423:L433" si="371">+J423-K423</f>
        <v>0.25</v>
      </c>
      <c r="M423" s="24">
        <f t="shared" ref="M423" si="372">+L423/SUMIF(C:C,C423,L:L)</f>
        <v>8.7873462214411256E-3</v>
      </c>
      <c r="N423" s="14"/>
      <c r="O423" t="s">
        <v>159</v>
      </c>
    </row>
    <row r="424" spans="1:17" x14ac:dyDescent="0.25">
      <c r="A424" s="20">
        <v>44518</v>
      </c>
      <c r="B424" s="1">
        <f>B422</f>
        <v>36</v>
      </c>
      <c r="C424" s="1" t="s">
        <v>158</v>
      </c>
      <c r="D424" s="1" t="s">
        <v>185</v>
      </c>
      <c r="E424" s="26" t="e">
        <f>+#REF!</f>
        <v>#REF!</v>
      </c>
      <c r="F424" s="26" t="e">
        <f>+#REF!</f>
        <v>#REF!</v>
      </c>
      <c r="G424" s="17">
        <v>3</v>
      </c>
      <c r="H424" s="17" t="s">
        <v>9</v>
      </c>
      <c r="I424" s="30" t="s">
        <v>58</v>
      </c>
      <c r="J424" s="22">
        <v>0.1</v>
      </c>
      <c r="K424" s="22">
        <v>0</v>
      </c>
      <c r="L424" s="8">
        <f t="shared" si="371"/>
        <v>0.1</v>
      </c>
      <c r="M424" s="24">
        <f>+L424/SUMIF(C:C,C424,L:L)</f>
        <v>3.5149384885764506E-3</v>
      </c>
      <c r="N424" s="14"/>
    </row>
    <row r="425" spans="1:17" x14ac:dyDescent="0.25">
      <c r="A425" s="20">
        <v>44518</v>
      </c>
      <c r="B425" s="1">
        <f>B422</f>
        <v>36</v>
      </c>
      <c r="C425" s="1" t="s">
        <v>158</v>
      </c>
      <c r="D425" s="1" t="s">
        <v>185</v>
      </c>
      <c r="E425" s="26" t="e">
        <f t="shared" ref="E425:F425" si="373">+E424</f>
        <v>#REF!</v>
      </c>
      <c r="F425" s="26" t="e">
        <f t="shared" si="373"/>
        <v>#REF!</v>
      </c>
      <c r="G425" s="17">
        <v>4</v>
      </c>
      <c r="H425" s="17" t="s">
        <v>9</v>
      </c>
      <c r="I425" s="30" t="s">
        <v>22</v>
      </c>
      <c r="J425" s="22">
        <v>0.6</v>
      </c>
      <c r="K425" s="22">
        <v>0.55000000000000004</v>
      </c>
      <c r="L425" s="8">
        <f t="shared" si="371"/>
        <v>4.9999999999999933E-2</v>
      </c>
      <c r="M425" s="24">
        <f t="shared" ref="M425:M432" si="374">+L425/SUMIF(C:C,C425,L:L)</f>
        <v>1.7574692442882229E-3</v>
      </c>
      <c r="N425" s="14"/>
    </row>
    <row r="426" spans="1:17" x14ac:dyDescent="0.25">
      <c r="A426" s="20">
        <v>44518</v>
      </c>
      <c r="B426" s="1">
        <f>B422</f>
        <v>36</v>
      </c>
      <c r="C426" s="1" t="s">
        <v>158</v>
      </c>
      <c r="D426" s="1" t="s">
        <v>185</v>
      </c>
      <c r="E426" s="26" t="e">
        <f t="shared" ref="E426:F426" si="375">+E425</f>
        <v>#REF!</v>
      </c>
      <c r="F426" s="26" t="e">
        <f t="shared" si="375"/>
        <v>#REF!</v>
      </c>
      <c r="G426" s="17">
        <v>5</v>
      </c>
      <c r="H426" s="17" t="s">
        <v>9</v>
      </c>
      <c r="I426" s="30" t="s">
        <v>34</v>
      </c>
      <c r="J426" s="22">
        <f>15.6+14.65+14.5+13.85</f>
        <v>58.6</v>
      </c>
      <c r="K426" s="22">
        <f>8.55+8.3+8.3+8.3</f>
        <v>33.450000000000003</v>
      </c>
      <c r="L426" s="8">
        <f t="shared" si="371"/>
        <v>25.15</v>
      </c>
      <c r="M426" s="24">
        <f t="shared" si="374"/>
        <v>0.88400702987697721</v>
      </c>
      <c r="N426" s="14"/>
    </row>
    <row r="427" spans="1:17" x14ac:dyDescent="0.25">
      <c r="A427" s="20">
        <v>44518</v>
      </c>
      <c r="B427" s="1">
        <f>B422</f>
        <v>36</v>
      </c>
      <c r="C427" s="1" t="s">
        <v>158</v>
      </c>
      <c r="D427" s="1" t="s">
        <v>185</v>
      </c>
      <c r="E427" s="26" t="e">
        <f t="shared" ref="E427:F427" si="376">+E426</f>
        <v>#REF!</v>
      </c>
      <c r="F427" s="26" t="e">
        <f t="shared" si="376"/>
        <v>#REF!</v>
      </c>
      <c r="G427" s="17">
        <v>6</v>
      </c>
      <c r="H427" s="17" t="s">
        <v>9</v>
      </c>
      <c r="I427" s="30" t="s">
        <v>35</v>
      </c>
      <c r="J427" s="22">
        <v>1</v>
      </c>
      <c r="K427" s="22">
        <v>0.55000000000000004</v>
      </c>
      <c r="L427" s="8">
        <f t="shared" si="371"/>
        <v>0.44999999999999996</v>
      </c>
      <c r="M427" s="24">
        <f t="shared" si="374"/>
        <v>1.5817223198594025E-2</v>
      </c>
      <c r="N427" s="14"/>
    </row>
    <row r="428" spans="1:17" x14ac:dyDescent="0.25">
      <c r="A428" s="20">
        <v>44518</v>
      </c>
      <c r="B428" s="1">
        <f>B422</f>
        <v>36</v>
      </c>
      <c r="C428" s="1" t="s">
        <v>158</v>
      </c>
      <c r="D428" s="1" t="s">
        <v>185</v>
      </c>
      <c r="E428" s="26" t="e">
        <f t="shared" ref="E428:F428" si="377">+E427</f>
        <v>#REF!</v>
      </c>
      <c r="F428" s="26" t="e">
        <f t="shared" si="377"/>
        <v>#REF!</v>
      </c>
      <c r="G428" s="17">
        <v>7</v>
      </c>
      <c r="H428" s="17" t="s">
        <v>9</v>
      </c>
      <c r="I428" s="30" t="s">
        <v>36</v>
      </c>
      <c r="J428" s="22"/>
      <c r="K428" s="22"/>
      <c r="L428" s="8">
        <f t="shared" si="371"/>
        <v>0</v>
      </c>
      <c r="M428" s="24">
        <f t="shared" si="374"/>
        <v>0</v>
      </c>
      <c r="N428" s="14"/>
    </row>
    <row r="429" spans="1:17" x14ac:dyDescent="0.25">
      <c r="A429" s="20">
        <v>44518</v>
      </c>
      <c r="B429" s="1">
        <f>B422</f>
        <v>36</v>
      </c>
      <c r="C429" s="1" t="s">
        <v>158</v>
      </c>
      <c r="D429" s="1" t="s">
        <v>185</v>
      </c>
      <c r="E429" s="26" t="e">
        <f>+E428</f>
        <v>#REF!</v>
      </c>
      <c r="F429" s="26" t="e">
        <f>+F428</f>
        <v>#REF!</v>
      </c>
      <c r="G429" s="17">
        <v>8</v>
      </c>
      <c r="H429" s="17" t="s">
        <v>9</v>
      </c>
      <c r="I429" s="30" t="s">
        <v>59</v>
      </c>
      <c r="J429" s="22">
        <v>0.95</v>
      </c>
      <c r="K429" s="22">
        <v>0.55000000000000004</v>
      </c>
      <c r="L429" s="8">
        <f t="shared" si="371"/>
        <v>0.39999999999999991</v>
      </c>
      <c r="M429" s="24">
        <f t="shared" si="374"/>
        <v>1.4059753954305799E-2</v>
      </c>
      <c r="N429" s="14"/>
    </row>
    <row r="430" spans="1:17" x14ac:dyDescent="0.25">
      <c r="A430" s="20">
        <v>44518</v>
      </c>
      <c r="B430" s="1">
        <f>B422</f>
        <v>36</v>
      </c>
      <c r="C430" s="1" t="s">
        <v>158</v>
      </c>
      <c r="D430" s="1" t="s">
        <v>185</v>
      </c>
      <c r="E430" s="26" t="e">
        <f t="shared" ref="E430:F430" si="378">+E429</f>
        <v>#REF!</v>
      </c>
      <c r="F430" s="26" t="e">
        <f t="shared" si="378"/>
        <v>#REF!</v>
      </c>
      <c r="G430" s="17">
        <v>9</v>
      </c>
      <c r="H430" s="17" t="s">
        <v>9</v>
      </c>
      <c r="I430" s="30" t="s">
        <v>38</v>
      </c>
      <c r="J430" s="22"/>
      <c r="K430" s="22"/>
      <c r="L430" s="8">
        <f t="shared" si="371"/>
        <v>0</v>
      </c>
      <c r="M430" s="24">
        <f t="shared" si="374"/>
        <v>0</v>
      </c>
      <c r="N430" s="14"/>
    </row>
    <row r="431" spans="1:17" x14ac:dyDescent="0.25">
      <c r="A431" s="20">
        <v>44518</v>
      </c>
      <c r="B431" s="1">
        <f>B422</f>
        <v>36</v>
      </c>
      <c r="C431" s="1" t="s">
        <v>158</v>
      </c>
      <c r="D431" s="1" t="s">
        <v>185</v>
      </c>
      <c r="E431" s="26" t="e">
        <f t="shared" ref="E431:F431" si="379">+E430</f>
        <v>#REF!</v>
      </c>
      <c r="F431" s="26" t="e">
        <f t="shared" si="379"/>
        <v>#REF!</v>
      </c>
      <c r="G431" s="17">
        <v>10</v>
      </c>
      <c r="H431" s="17" t="s">
        <v>9</v>
      </c>
      <c r="I431" s="30" t="s">
        <v>23</v>
      </c>
      <c r="J431" s="22">
        <v>1.1499999999999999</v>
      </c>
      <c r="K431" s="22">
        <v>0.55000000000000004</v>
      </c>
      <c r="L431" s="8">
        <f t="shared" si="371"/>
        <v>0.59999999999999987</v>
      </c>
      <c r="M431" s="24">
        <f t="shared" si="374"/>
        <v>2.1089630931458696E-2</v>
      </c>
      <c r="N431" s="14"/>
    </row>
    <row r="432" spans="1:17" x14ac:dyDescent="0.25">
      <c r="A432" s="20">
        <v>44518</v>
      </c>
      <c r="B432" s="1">
        <f>B422</f>
        <v>36</v>
      </c>
      <c r="C432" s="1" t="s">
        <v>158</v>
      </c>
      <c r="D432" s="1" t="s">
        <v>185</v>
      </c>
      <c r="E432" s="26" t="e">
        <f t="shared" ref="E432:F432" si="380">+E431</f>
        <v>#REF!</v>
      </c>
      <c r="F432" s="26" t="e">
        <f t="shared" si="380"/>
        <v>#REF!</v>
      </c>
      <c r="G432" s="17">
        <v>11</v>
      </c>
      <c r="H432" s="17" t="s">
        <v>9</v>
      </c>
      <c r="I432" s="30" t="s">
        <v>60</v>
      </c>
      <c r="J432" s="22"/>
      <c r="K432" s="22"/>
      <c r="L432" s="8">
        <f t="shared" si="371"/>
        <v>0</v>
      </c>
      <c r="M432" s="24">
        <f t="shared" si="374"/>
        <v>0</v>
      </c>
      <c r="N432" s="14"/>
    </row>
    <row r="433" spans="1:17" s="2" customFormat="1" ht="30.75" thickBot="1" x14ac:dyDescent="0.3">
      <c r="A433" s="60">
        <v>44518</v>
      </c>
      <c r="B433" s="57">
        <f>B422</f>
        <v>36</v>
      </c>
      <c r="C433" s="57" t="s">
        <v>158</v>
      </c>
      <c r="D433" s="57" t="s">
        <v>185</v>
      </c>
      <c r="E433" s="61" t="e">
        <f t="shared" ref="E433:F433" si="381">+E432</f>
        <v>#REF!</v>
      </c>
      <c r="F433" s="61" t="e">
        <f t="shared" si="381"/>
        <v>#REF!</v>
      </c>
      <c r="G433" s="62">
        <f>+G432+1</f>
        <v>12</v>
      </c>
      <c r="H433" s="62" t="s">
        <v>10</v>
      </c>
      <c r="I433" s="46" t="s">
        <v>10</v>
      </c>
      <c r="J433" s="63">
        <f>9.05+9.35</f>
        <v>18.399999999999999</v>
      </c>
      <c r="K433" s="63">
        <f>8.5+8.55</f>
        <v>17.05</v>
      </c>
      <c r="L433" s="64">
        <f t="shared" si="371"/>
        <v>1.3499999999999979</v>
      </c>
      <c r="M433" s="65">
        <f>+L433/SUMIF(C:C,C433,L:L)</f>
        <v>4.7451669595782009E-2</v>
      </c>
      <c r="N433" s="66" t="s">
        <v>164</v>
      </c>
      <c r="Q433" s="5"/>
    </row>
    <row r="434" spans="1:17" x14ac:dyDescent="0.25">
      <c r="A434" s="19">
        <v>44518</v>
      </c>
      <c r="B434" s="15">
        <f>B422+1</f>
        <v>37</v>
      </c>
      <c r="C434" s="15" t="s">
        <v>162</v>
      </c>
      <c r="D434" s="15" t="s">
        <v>185</v>
      </c>
      <c r="E434" s="25">
        <f>29.2-1.2</f>
        <v>28</v>
      </c>
      <c r="F434" s="25">
        <f>+SUM(L434:L445)</f>
        <v>28.149999999999988</v>
      </c>
      <c r="G434" s="16">
        <v>1</v>
      </c>
      <c r="H434" s="16" t="s">
        <v>9</v>
      </c>
      <c r="I434" s="59" t="s">
        <v>56</v>
      </c>
      <c r="J434" s="21">
        <v>0.05</v>
      </c>
      <c r="K434" s="21">
        <v>0</v>
      </c>
      <c r="L434" s="12">
        <f>+J434-K434</f>
        <v>0.05</v>
      </c>
      <c r="M434" s="23">
        <f>+L434/SUMIF(C:C,C434,L:L)</f>
        <v>1.7761989342806404E-3</v>
      </c>
      <c r="N434" s="13"/>
      <c r="O434" t="s">
        <v>171</v>
      </c>
    </row>
    <row r="435" spans="1:17" x14ac:dyDescent="0.25">
      <c r="A435" s="20">
        <v>44518</v>
      </c>
      <c r="B435" s="1">
        <f>B434</f>
        <v>37</v>
      </c>
      <c r="C435" s="1" t="s">
        <v>162</v>
      </c>
      <c r="D435" s="1" t="s">
        <v>185</v>
      </c>
      <c r="E435" s="26">
        <f>+E434</f>
        <v>28</v>
      </c>
      <c r="F435" s="28">
        <f>+(F434-E434)/E434</f>
        <v>5.3571428571424261E-3</v>
      </c>
      <c r="G435" s="17">
        <v>2</v>
      </c>
      <c r="H435" s="17" t="s">
        <v>9</v>
      </c>
      <c r="I435" s="30" t="s">
        <v>57</v>
      </c>
      <c r="J435" s="22">
        <v>0.8</v>
      </c>
      <c r="K435" s="22">
        <v>0.5</v>
      </c>
      <c r="L435" s="8">
        <f t="shared" ref="L435:L445" si="382">+J435-K435</f>
        <v>0.30000000000000004</v>
      </c>
      <c r="M435" s="24">
        <f t="shared" ref="M435" si="383">+L435/SUMIF(C:C,C435,L:L)</f>
        <v>1.0657193605683842E-2</v>
      </c>
      <c r="N435" s="14"/>
      <c r="O435" t="s">
        <v>163</v>
      </c>
    </row>
    <row r="436" spans="1:17" x14ac:dyDescent="0.25">
      <c r="A436" s="20">
        <v>44518</v>
      </c>
      <c r="B436" s="1">
        <f>B434</f>
        <v>37</v>
      </c>
      <c r="C436" s="1" t="s">
        <v>162</v>
      </c>
      <c r="D436" s="1" t="s">
        <v>185</v>
      </c>
      <c r="E436" s="26" t="e">
        <f>+#REF!</f>
        <v>#REF!</v>
      </c>
      <c r="F436" s="26" t="e">
        <f>+#REF!</f>
        <v>#REF!</v>
      </c>
      <c r="G436" s="17">
        <v>3</v>
      </c>
      <c r="H436" s="17" t="s">
        <v>9</v>
      </c>
      <c r="I436" s="30" t="s">
        <v>58</v>
      </c>
      <c r="J436" s="22"/>
      <c r="K436" s="22"/>
      <c r="L436" s="8">
        <f t="shared" si="382"/>
        <v>0</v>
      </c>
      <c r="M436" s="24">
        <f>+L436/SUMIF(C:C,C436,L:L)</f>
        <v>0</v>
      </c>
      <c r="N436" s="14"/>
    </row>
    <row r="437" spans="1:17" x14ac:dyDescent="0.25">
      <c r="A437" s="20">
        <v>44518</v>
      </c>
      <c r="B437" s="1">
        <f>B434</f>
        <v>37</v>
      </c>
      <c r="C437" s="1" t="s">
        <v>162</v>
      </c>
      <c r="D437" s="1" t="s">
        <v>185</v>
      </c>
      <c r="E437" s="26" t="e">
        <f t="shared" ref="E437:F437" si="384">+E436</f>
        <v>#REF!</v>
      </c>
      <c r="F437" s="26" t="e">
        <f t="shared" si="384"/>
        <v>#REF!</v>
      </c>
      <c r="G437" s="17">
        <v>4</v>
      </c>
      <c r="H437" s="17" t="s">
        <v>9</v>
      </c>
      <c r="I437" s="30" t="s">
        <v>22</v>
      </c>
      <c r="J437" s="22">
        <v>0.05</v>
      </c>
      <c r="K437" s="22">
        <v>0</v>
      </c>
      <c r="L437" s="8">
        <f t="shared" si="382"/>
        <v>0.05</v>
      </c>
      <c r="M437" s="24">
        <f t="shared" ref="M437:M444" si="385">+L437/SUMIF(C:C,C437,L:L)</f>
        <v>1.7761989342806404E-3</v>
      </c>
      <c r="N437" s="14"/>
    </row>
    <row r="438" spans="1:17" x14ac:dyDescent="0.25">
      <c r="A438" s="20">
        <v>44518</v>
      </c>
      <c r="B438" s="1">
        <f>B434</f>
        <v>37</v>
      </c>
      <c r="C438" s="1" t="s">
        <v>162</v>
      </c>
      <c r="D438" s="1" t="s">
        <v>185</v>
      </c>
      <c r="E438" s="26" t="e">
        <f t="shared" ref="E438:F438" si="386">+E437</f>
        <v>#REF!</v>
      </c>
      <c r="F438" s="26" t="e">
        <f t="shared" si="386"/>
        <v>#REF!</v>
      </c>
      <c r="G438" s="17">
        <v>5</v>
      </c>
      <c r="H438" s="17" t="s">
        <v>9</v>
      </c>
      <c r="I438" s="30" t="s">
        <v>34</v>
      </c>
      <c r="J438" s="22">
        <f>13.5+15.2+15.6+13.5</f>
        <v>57.8</v>
      </c>
      <c r="K438" s="22">
        <f>8.5+8.55+8.55+8.3</f>
        <v>33.900000000000006</v>
      </c>
      <c r="L438" s="8">
        <f t="shared" si="382"/>
        <v>23.899999999999991</v>
      </c>
      <c r="M438" s="24">
        <f t="shared" si="385"/>
        <v>0.84902309058614567</v>
      </c>
      <c r="N438" s="14"/>
    </row>
    <row r="439" spans="1:17" x14ac:dyDescent="0.25">
      <c r="A439" s="20">
        <v>44518</v>
      </c>
      <c r="B439" s="1">
        <f>B434</f>
        <v>37</v>
      </c>
      <c r="C439" s="1" t="s">
        <v>162</v>
      </c>
      <c r="D439" s="1" t="s">
        <v>185</v>
      </c>
      <c r="E439" s="26" t="e">
        <f t="shared" ref="E439:F439" si="387">+E438</f>
        <v>#REF!</v>
      </c>
      <c r="F439" s="26" t="e">
        <f t="shared" si="387"/>
        <v>#REF!</v>
      </c>
      <c r="G439" s="17">
        <v>6</v>
      </c>
      <c r="H439" s="17" t="s">
        <v>9</v>
      </c>
      <c r="I439" s="30" t="s">
        <v>35</v>
      </c>
      <c r="J439" s="22">
        <f>1</f>
        <v>1</v>
      </c>
      <c r="K439" s="22">
        <f>0.55</f>
        <v>0.55000000000000004</v>
      </c>
      <c r="L439" s="8">
        <f t="shared" si="382"/>
        <v>0.44999999999999996</v>
      </c>
      <c r="M439" s="24">
        <f t="shared" si="385"/>
        <v>1.5985790408525762E-2</v>
      </c>
      <c r="N439" s="14"/>
    </row>
    <row r="440" spans="1:17" x14ac:dyDescent="0.25">
      <c r="A440" s="20">
        <v>44518</v>
      </c>
      <c r="B440" s="1">
        <f>B434</f>
        <v>37</v>
      </c>
      <c r="C440" s="1" t="s">
        <v>162</v>
      </c>
      <c r="D440" s="1" t="s">
        <v>185</v>
      </c>
      <c r="E440" s="26" t="e">
        <f t="shared" ref="E440:F440" si="388">+E439</f>
        <v>#REF!</v>
      </c>
      <c r="F440" s="26" t="e">
        <f t="shared" si="388"/>
        <v>#REF!</v>
      </c>
      <c r="G440" s="17">
        <v>7</v>
      </c>
      <c r="H440" s="17" t="s">
        <v>9</v>
      </c>
      <c r="I440" s="30" t="s">
        <v>36</v>
      </c>
      <c r="J440" s="22"/>
      <c r="K440" s="22"/>
      <c r="L440" s="8">
        <f t="shared" si="382"/>
        <v>0</v>
      </c>
      <c r="M440" s="24">
        <f t="shared" si="385"/>
        <v>0</v>
      </c>
      <c r="N440" s="14"/>
    </row>
    <row r="441" spans="1:17" x14ac:dyDescent="0.25">
      <c r="A441" s="20">
        <v>44518</v>
      </c>
      <c r="B441" s="1">
        <f>B434</f>
        <v>37</v>
      </c>
      <c r="C441" s="1" t="s">
        <v>162</v>
      </c>
      <c r="D441" s="1" t="s">
        <v>185</v>
      </c>
      <c r="E441" s="26" t="e">
        <f>+E440</f>
        <v>#REF!</v>
      </c>
      <c r="F441" s="26" t="e">
        <f>+F440</f>
        <v>#REF!</v>
      </c>
      <c r="G441" s="17">
        <v>8</v>
      </c>
      <c r="H441" s="17" t="s">
        <v>9</v>
      </c>
      <c r="I441" s="30" t="s">
        <v>59</v>
      </c>
      <c r="J441" s="22">
        <v>0.85</v>
      </c>
      <c r="K441" s="22">
        <v>0.55000000000000004</v>
      </c>
      <c r="L441" s="8">
        <f t="shared" si="382"/>
        <v>0.29999999999999993</v>
      </c>
      <c r="M441" s="24">
        <f t="shared" si="385"/>
        <v>1.0657193605683839E-2</v>
      </c>
      <c r="N441" s="14"/>
    </row>
    <row r="442" spans="1:17" x14ac:dyDescent="0.25">
      <c r="A442" s="20">
        <v>44518</v>
      </c>
      <c r="B442" s="1">
        <f>B434</f>
        <v>37</v>
      </c>
      <c r="C442" s="1" t="s">
        <v>162</v>
      </c>
      <c r="D442" s="1" t="s">
        <v>185</v>
      </c>
      <c r="E442" s="26" t="e">
        <f t="shared" ref="E442:F442" si="389">+E441</f>
        <v>#REF!</v>
      </c>
      <c r="F442" s="26" t="e">
        <f t="shared" si="389"/>
        <v>#REF!</v>
      </c>
      <c r="G442" s="17">
        <v>9</v>
      </c>
      <c r="H442" s="17" t="s">
        <v>9</v>
      </c>
      <c r="I442" s="30" t="s">
        <v>38</v>
      </c>
      <c r="J442" s="22"/>
      <c r="K442" s="22"/>
      <c r="L442" s="8">
        <f t="shared" si="382"/>
        <v>0</v>
      </c>
      <c r="M442" s="24">
        <f t="shared" si="385"/>
        <v>0</v>
      </c>
      <c r="N442" s="14"/>
    </row>
    <row r="443" spans="1:17" x14ac:dyDescent="0.25">
      <c r="A443" s="20">
        <v>44518</v>
      </c>
      <c r="B443" s="1">
        <f>B434</f>
        <v>37</v>
      </c>
      <c r="C443" s="1" t="s">
        <v>162</v>
      </c>
      <c r="D443" s="1" t="s">
        <v>185</v>
      </c>
      <c r="E443" s="26" t="e">
        <f t="shared" ref="E443:F443" si="390">+E442</f>
        <v>#REF!</v>
      </c>
      <c r="F443" s="26" t="e">
        <f t="shared" si="390"/>
        <v>#REF!</v>
      </c>
      <c r="G443" s="17">
        <v>10</v>
      </c>
      <c r="H443" s="17" t="s">
        <v>9</v>
      </c>
      <c r="I443" s="30" t="s">
        <v>23</v>
      </c>
      <c r="J443" s="22">
        <v>1.45</v>
      </c>
      <c r="K443" s="22">
        <v>0.55000000000000004</v>
      </c>
      <c r="L443" s="8">
        <f t="shared" si="382"/>
        <v>0.89999999999999991</v>
      </c>
      <c r="M443" s="24">
        <f t="shared" si="385"/>
        <v>3.1971580817051523E-2</v>
      </c>
      <c r="N443" s="14"/>
    </row>
    <row r="444" spans="1:17" x14ac:dyDescent="0.25">
      <c r="A444" s="20">
        <v>44518</v>
      </c>
      <c r="B444" s="1">
        <f>B434</f>
        <v>37</v>
      </c>
      <c r="C444" s="1" t="s">
        <v>162</v>
      </c>
      <c r="D444" s="1" t="s">
        <v>185</v>
      </c>
      <c r="E444" s="26" t="e">
        <f t="shared" ref="E444:F444" si="391">+E443</f>
        <v>#REF!</v>
      </c>
      <c r="F444" s="26" t="e">
        <f t="shared" si="391"/>
        <v>#REF!</v>
      </c>
      <c r="G444" s="17">
        <v>11</v>
      </c>
      <c r="H444" s="17" t="s">
        <v>9</v>
      </c>
      <c r="I444" s="30" t="s">
        <v>60</v>
      </c>
      <c r="J444" s="22">
        <v>0.6</v>
      </c>
      <c r="K444" s="22">
        <v>0.55000000000000004</v>
      </c>
      <c r="L444" s="8">
        <f t="shared" si="382"/>
        <v>4.9999999999999933E-2</v>
      </c>
      <c r="M444" s="24">
        <f t="shared" si="385"/>
        <v>1.7761989342806378E-3</v>
      </c>
      <c r="N444" s="14"/>
    </row>
    <row r="445" spans="1:17" s="2" customFormat="1" ht="60.75" thickBot="1" x14ac:dyDescent="0.3">
      <c r="A445" s="60">
        <v>44518</v>
      </c>
      <c r="B445" s="57">
        <f>B434</f>
        <v>37</v>
      </c>
      <c r="C445" s="57" t="s">
        <v>162</v>
      </c>
      <c r="D445" s="57" t="s">
        <v>185</v>
      </c>
      <c r="E445" s="61" t="e">
        <f t="shared" ref="E445:F445" si="392">+E444</f>
        <v>#REF!</v>
      </c>
      <c r="F445" s="61" t="e">
        <f t="shared" si="392"/>
        <v>#REF!</v>
      </c>
      <c r="G445" s="62">
        <f>+G444+1</f>
        <v>12</v>
      </c>
      <c r="H445" s="62" t="s">
        <v>10</v>
      </c>
      <c r="I445" s="46" t="s">
        <v>10</v>
      </c>
      <c r="J445" s="63">
        <f>9+9.7</f>
        <v>18.7</v>
      </c>
      <c r="K445" s="63">
        <f>8.3+8.25</f>
        <v>16.55</v>
      </c>
      <c r="L445" s="64">
        <f t="shared" si="382"/>
        <v>2.1499999999999986</v>
      </c>
      <c r="M445" s="65">
        <f>+L445/SUMIF(C:C,C445,L:L)</f>
        <v>7.6376554174067482E-2</v>
      </c>
      <c r="N445" s="66" t="s">
        <v>165</v>
      </c>
      <c r="Q445" s="5"/>
    </row>
    <row r="446" spans="1:17" x14ac:dyDescent="0.25">
      <c r="A446" s="19">
        <v>44518</v>
      </c>
      <c r="B446" s="15">
        <f>B434+1</f>
        <v>38</v>
      </c>
      <c r="C446" s="15" t="s">
        <v>166</v>
      </c>
      <c r="D446" s="15" t="s">
        <v>186</v>
      </c>
      <c r="E446" s="25">
        <f>34.4-1.2</f>
        <v>33.199999999999996</v>
      </c>
      <c r="F446" s="25">
        <f>+SUM(L446:L457)</f>
        <v>32.949999999999989</v>
      </c>
      <c r="G446" s="16">
        <v>1</v>
      </c>
      <c r="H446" s="16" t="s">
        <v>9</v>
      </c>
      <c r="I446" s="59" t="s">
        <v>56</v>
      </c>
      <c r="J446" s="21"/>
      <c r="K446" s="21"/>
      <c r="L446" s="12">
        <f>+J446-K446</f>
        <v>0</v>
      </c>
      <c r="M446" s="23">
        <f>+L446/SUMIF(C:C,C446,L:L)</f>
        <v>0</v>
      </c>
      <c r="N446" s="13"/>
      <c r="O446" t="s">
        <v>171</v>
      </c>
    </row>
    <row r="447" spans="1:17" x14ac:dyDescent="0.25">
      <c r="A447" s="20">
        <v>44518</v>
      </c>
      <c r="B447" s="1">
        <f>B446</f>
        <v>38</v>
      </c>
      <c r="C447" s="1" t="s">
        <v>166</v>
      </c>
      <c r="D447" s="1" t="s">
        <v>186</v>
      </c>
      <c r="E447" s="26">
        <f>+E446</f>
        <v>33.199999999999996</v>
      </c>
      <c r="F447" s="28">
        <f>+(F446-E446)/E446</f>
        <v>-7.5301204819279259E-3</v>
      </c>
      <c r="G447" s="17">
        <v>2</v>
      </c>
      <c r="H447" s="17" t="s">
        <v>9</v>
      </c>
      <c r="I447" s="30" t="s">
        <v>57</v>
      </c>
      <c r="J447" s="22">
        <v>0.65</v>
      </c>
      <c r="K447" s="22">
        <v>0.5</v>
      </c>
      <c r="L447" s="8">
        <f t="shared" ref="L447:L457" si="393">+J447-K447</f>
        <v>0.15000000000000002</v>
      </c>
      <c r="M447" s="24">
        <f t="shared" ref="M447" si="394">+L447/SUMIF(C:C,C447,L:L)</f>
        <v>4.5523520485584237E-3</v>
      </c>
      <c r="N447" s="14"/>
      <c r="O447" t="s">
        <v>170</v>
      </c>
    </row>
    <row r="448" spans="1:17" x14ac:dyDescent="0.25">
      <c r="A448" s="20">
        <v>44518</v>
      </c>
      <c r="B448" s="1">
        <f>B446</f>
        <v>38</v>
      </c>
      <c r="C448" s="1" t="s">
        <v>166</v>
      </c>
      <c r="D448" s="1" t="s">
        <v>186</v>
      </c>
      <c r="E448" s="26" t="e">
        <f>+#REF!</f>
        <v>#REF!</v>
      </c>
      <c r="F448" s="26" t="e">
        <f>+#REF!</f>
        <v>#REF!</v>
      </c>
      <c r="G448" s="17">
        <v>3</v>
      </c>
      <c r="H448" s="17" t="s">
        <v>9</v>
      </c>
      <c r="I448" s="30" t="s">
        <v>58</v>
      </c>
      <c r="J448" s="22"/>
      <c r="K448" s="22"/>
      <c r="L448" s="8">
        <f t="shared" si="393"/>
        <v>0</v>
      </c>
      <c r="M448" s="24">
        <f>+L448/SUMIF(C:C,C448,L:L)</f>
        <v>0</v>
      </c>
      <c r="N448" s="14"/>
    </row>
    <row r="449" spans="1:17" x14ac:dyDescent="0.25">
      <c r="A449" s="20">
        <v>44518</v>
      </c>
      <c r="B449" s="1">
        <f>B446</f>
        <v>38</v>
      </c>
      <c r="C449" s="1" t="s">
        <v>166</v>
      </c>
      <c r="D449" s="1" t="s">
        <v>186</v>
      </c>
      <c r="E449" s="26" t="e">
        <f t="shared" ref="E449:F449" si="395">+E448</f>
        <v>#REF!</v>
      </c>
      <c r="F449" s="26" t="e">
        <f t="shared" si="395"/>
        <v>#REF!</v>
      </c>
      <c r="G449" s="17">
        <v>4</v>
      </c>
      <c r="H449" s="17" t="s">
        <v>9</v>
      </c>
      <c r="I449" s="30" t="s">
        <v>22</v>
      </c>
      <c r="J449" s="22">
        <v>2.1</v>
      </c>
      <c r="K449" s="22">
        <v>0.55000000000000004</v>
      </c>
      <c r="L449" s="8">
        <f t="shared" si="393"/>
        <v>1.55</v>
      </c>
      <c r="M449" s="24">
        <f t="shared" ref="M449:M456" si="396">+L449/SUMIF(C:C,C449,L:L)</f>
        <v>4.7040971168437043E-2</v>
      </c>
      <c r="N449" s="14"/>
    </row>
    <row r="450" spans="1:17" x14ac:dyDescent="0.25">
      <c r="A450" s="20">
        <v>44518</v>
      </c>
      <c r="B450" s="1">
        <f>B446</f>
        <v>38</v>
      </c>
      <c r="C450" s="1" t="s">
        <v>166</v>
      </c>
      <c r="D450" s="1" t="s">
        <v>186</v>
      </c>
      <c r="E450" s="26" t="e">
        <f t="shared" ref="E450:F450" si="397">+E449</f>
        <v>#REF!</v>
      </c>
      <c r="F450" s="26" t="e">
        <f t="shared" si="397"/>
        <v>#REF!</v>
      </c>
      <c r="G450" s="17">
        <v>5</v>
      </c>
      <c r="H450" s="17" t="s">
        <v>9</v>
      </c>
      <c r="I450" s="30" t="s">
        <v>34</v>
      </c>
      <c r="J450" s="22">
        <f>10.5+10.4+10.4</f>
        <v>31.299999999999997</v>
      </c>
      <c r="K450" s="22">
        <f>8.55+8.3+8.5</f>
        <v>25.35</v>
      </c>
      <c r="L450" s="8">
        <f t="shared" si="393"/>
        <v>5.9499999999999957</v>
      </c>
      <c r="M450" s="24">
        <f t="shared" si="396"/>
        <v>0.18057663125948401</v>
      </c>
      <c r="N450" s="14"/>
    </row>
    <row r="451" spans="1:17" x14ac:dyDescent="0.25">
      <c r="A451" s="20">
        <v>44518</v>
      </c>
      <c r="B451" s="1">
        <f>B446</f>
        <v>38</v>
      </c>
      <c r="C451" s="1" t="s">
        <v>166</v>
      </c>
      <c r="D451" s="1" t="s">
        <v>186</v>
      </c>
      <c r="E451" s="26" t="e">
        <f t="shared" ref="E451:F451" si="398">+E450</f>
        <v>#REF!</v>
      </c>
      <c r="F451" s="26" t="e">
        <f t="shared" si="398"/>
        <v>#REF!</v>
      </c>
      <c r="G451" s="17">
        <v>6</v>
      </c>
      <c r="H451" s="17" t="s">
        <v>9</v>
      </c>
      <c r="I451" s="30" t="s">
        <v>35</v>
      </c>
      <c r="J451" s="22">
        <f>19.95+13.7</f>
        <v>33.65</v>
      </c>
      <c r="K451" s="22">
        <f>6.05+6.05</f>
        <v>12.1</v>
      </c>
      <c r="L451" s="8">
        <f t="shared" si="393"/>
        <v>21.549999999999997</v>
      </c>
      <c r="M451" s="24">
        <f t="shared" si="396"/>
        <v>0.6540212443095601</v>
      </c>
      <c r="N451" s="14"/>
    </row>
    <row r="452" spans="1:17" x14ac:dyDescent="0.25">
      <c r="A452" s="20">
        <v>44518</v>
      </c>
      <c r="B452" s="1">
        <f>B446</f>
        <v>38</v>
      </c>
      <c r="C452" s="1" t="s">
        <v>166</v>
      </c>
      <c r="D452" s="1" t="s">
        <v>186</v>
      </c>
      <c r="E452" s="26" t="e">
        <f t="shared" ref="E452:F452" si="399">+E451</f>
        <v>#REF!</v>
      </c>
      <c r="F452" s="26" t="e">
        <f t="shared" si="399"/>
        <v>#REF!</v>
      </c>
      <c r="G452" s="17">
        <v>7</v>
      </c>
      <c r="H452" s="17" t="s">
        <v>9</v>
      </c>
      <c r="I452" s="30" t="s">
        <v>36</v>
      </c>
      <c r="J452" s="22">
        <v>0.8</v>
      </c>
      <c r="K452" s="22">
        <v>0.55000000000000004</v>
      </c>
      <c r="L452" s="8">
        <f t="shared" si="393"/>
        <v>0.25</v>
      </c>
      <c r="M452" s="24">
        <f t="shared" si="396"/>
        <v>7.5872534142640393E-3</v>
      </c>
      <c r="N452" s="14"/>
    </row>
    <row r="453" spans="1:17" x14ac:dyDescent="0.25">
      <c r="A453" s="20">
        <v>44518</v>
      </c>
      <c r="B453" s="1">
        <f>B446</f>
        <v>38</v>
      </c>
      <c r="C453" s="1" t="s">
        <v>166</v>
      </c>
      <c r="D453" s="1" t="s">
        <v>186</v>
      </c>
      <c r="E453" s="26" t="e">
        <f>+E452</f>
        <v>#REF!</v>
      </c>
      <c r="F453" s="26" t="e">
        <f>+F452</f>
        <v>#REF!</v>
      </c>
      <c r="G453" s="17">
        <v>8</v>
      </c>
      <c r="H453" s="17" t="s">
        <v>9</v>
      </c>
      <c r="I453" s="30" t="s">
        <v>59</v>
      </c>
      <c r="J453" s="22">
        <v>0.75</v>
      </c>
      <c r="K453" s="22">
        <v>0.55000000000000004</v>
      </c>
      <c r="L453" s="8">
        <f t="shared" si="393"/>
        <v>0.19999999999999996</v>
      </c>
      <c r="M453" s="24">
        <f t="shared" si="396"/>
        <v>6.0698027314112302E-3</v>
      </c>
      <c r="N453" s="14"/>
    </row>
    <row r="454" spans="1:17" x14ac:dyDescent="0.25">
      <c r="A454" s="20">
        <v>44518</v>
      </c>
      <c r="B454" s="1">
        <f>B446</f>
        <v>38</v>
      </c>
      <c r="C454" s="1" t="s">
        <v>166</v>
      </c>
      <c r="D454" s="1" t="s">
        <v>186</v>
      </c>
      <c r="E454" s="26" t="e">
        <f t="shared" ref="E454:F454" si="400">+E453</f>
        <v>#REF!</v>
      </c>
      <c r="F454" s="26" t="e">
        <f t="shared" si="400"/>
        <v>#REF!</v>
      </c>
      <c r="G454" s="17">
        <v>9</v>
      </c>
      <c r="H454" s="17" t="s">
        <v>9</v>
      </c>
      <c r="I454" s="30" t="s">
        <v>38</v>
      </c>
      <c r="J454" s="22"/>
      <c r="K454" s="22"/>
      <c r="L454" s="8">
        <f t="shared" si="393"/>
        <v>0</v>
      </c>
      <c r="M454" s="24">
        <f t="shared" si="396"/>
        <v>0</v>
      </c>
      <c r="N454" s="14"/>
    </row>
    <row r="455" spans="1:17" x14ac:dyDescent="0.25">
      <c r="A455" s="20">
        <v>44518</v>
      </c>
      <c r="B455" s="1">
        <f>B446</f>
        <v>38</v>
      </c>
      <c r="C455" s="1" t="s">
        <v>166</v>
      </c>
      <c r="D455" s="1" t="s">
        <v>186</v>
      </c>
      <c r="E455" s="26" t="e">
        <f t="shared" ref="E455:F455" si="401">+E454</f>
        <v>#REF!</v>
      </c>
      <c r="F455" s="26" t="e">
        <f t="shared" si="401"/>
        <v>#REF!</v>
      </c>
      <c r="G455" s="17">
        <v>10</v>
      </c>
      <c r="H455" s="17" t="s">
        <v>9</v>
      </c>
      <c r="I455" s="30" t="s">
        <v>23</v>
      </c>
      <c r="J455" s="22">
        <v>0.7</v>
      </c>
      <c r="K455" s="22">
        <v>0.5</v>
      </c>
      <c r="L455" s="8">
        <f t="shared" si="393"/>
        <v>0.19999999999999996</v>
      </c>
      <c r="M455" s="24">
        <f t="shared" si="396"/>
        <v>6.0698027314112302E-3</v>
      </c>
      <c r="N455" s="14"/>
    </row>
    <row r="456" spans="1:17" x14ac:dyDescent="0.25">
      <c r="A456" s="20">
        <v>44518</v>
      </c>
      <c r="B456" s="1">
        <f>B446</f>
        <v>38</v>
      </c>
      <c r="C456" s="1" t="s">
        <v>166</v>
      </c>
      <c r="D456" s="1" t="s">
        <v>186</v>
      </c>
      <c r="E456" s="26" t="e">
        <f t="shared" ref="E456:F456" si="402">+E455</f>
        <v>#REF!</v>
      </c>
      <c r="F456" s="26" t="e">
        <f t="shared" si="402"/>
        <v>#REF!</v>
      </c>
      <c r="G456" s="17">
        <v>11</v>
      </c>
      <c r="H456" s="17" t="s">
        <v>9</v>
      </c>
      <c r="I456" s="30" t="s">
        <v>60</v>
      </c>
      <c r="J456" s="22"/>
      <c r="K456" s="22"/>
      <c r="L456" s="8">
        <f t="shared" si="393"/>
        <v>0</v>
      </c>
      <c r="M456" s="24">
        <f t="shared" si="396"/>
        <v>0</v>
      </c>
      <c r="N456" s="14"/>
    </row>
    <row r="457" spans="1:17" s="2" customFormat="1" ht="45.75" thickBot="1" x14ac:dyDescent="0.3">
      <c r="A457" s="60">
        <v>44518</v>
      </c>
      <c r="B457" s="57">
        <f>B446</f>
        <v>38</v>
      </c>
      <c r="C457" s="57" t="s">
        <v>166</v>
      </c>
      <c r="D457" s="57" t="s">
        <v>186</v>
      </c>
      <c r="E457" s="61" t="e">
        <f t="shared" ref="E457:F457" si="403">+E456</f>
        <v>#REF!</v>
      </c>
      <c r="F457" s="61" t="e">
        <f t="shared" si="403"/>
        <v>#REF!</v>
      </c>
      <c r="G457" s="62">
        <f>+G456+1</f>
        <v>12</v>
      </c>
      <c r="H457" s="62" t="s">
        <v>10</v>
      </c>
      <c r="I457" s="46" t="s">
        <v>10</v>
      </c>
      <c r="J457" s="63">
        <f>9.75+10.15</f>
        <v>19.899999999999999</v>
      </c>
      <c r="K457" s="63">
        <f>8.55+8.25</f>
        <v>16.8</v>
      </c>
      <c r="L457" s="64">
        <f t="shared" si="393"/>
        <v>3.0999999999999979</v>
      </c>
      <c r="M457" s="65">
        <f>+L457/SUMIF(C:C,C457,L:L)</f>
        <v>9.4081942336874017E-2</v>
      </c>
      <c r="N457" s="66" t="s">
        <v>167</v>
      </c>
      <c r="Q457" s="5"/>
    </row>
    <row r="458" spans="1:17" x14ac:dyDescent="0.25">
      <c r="A458" s="19">
        <v>44518</v>
      </c>
      <c r="B458" s="15">
        <f>B446+1</f>
        <v>39</v>
      </c>
      <c r="C458" s="15" t="s">
        <v>168</v>
      </c>
      <c r="D458" s="15" t="s">
        <v>38</v>
      </c>
      <c r="E458" s="25">
        <f>51.8-1.2</f>
        <v>50.599999999999994</v>
      </c>
      <c r="F458" s="25">
        <f>+SUM(L458:L469)</f>
        <v>44.049999999999983</v>
      </c>
      <c r="G458" s="16">
        <v>1</v>
      </c>
      <c r="H458" s="16" t="s">
        <v>9</v>
      </c>
      <c r="I458" s="59" t="s">
        <v>56</v>
      </c>
      <c r="J458" s="21">
        <v>0.6</v>
      </c>
      <c r="K458" s="21">
        <v>0.55000000000000004</v>
      </c>
      <c r="L458" s="12">
        <f>+J458-K458</f>
        <v>4.9999999999999933E-2</v>
      </c>
      <c r="M458" s="23">
        <f>+L458/SUMIF(C:C,C458,L:L)</f>
        <v>1.1350737797956856E-3</v>
      </c>
      <c r="N458" s="13"/>
      <c r="O458" t="s">
        <v>172</v>
      </c>
    </row>
    <row r="459" spans="1:17" x14ac:dyDescent="0.25">
      <c r="A459" s="20">
        <v>44518</v>
      </c>
      <c r="B459" s="1">
        <f>B458</f>
        <v>39</v>
      </c>
      <c r="C459" s="1" t="s">
        <v>168</v>
      </c>
      <c r="D459" s="1" t="s">
        <v>38</v>
      </c>
      <c r="E459" s="26">
        <f>+E458</f>
        <v>50.599999999999994</v>
      </c>
      <c r="F459" s="28">
        <f>+(F458-E458)/E458</f>
        <v>-0.12944664031620579</v>
      </c>
      <c r="G459" s="17">
        <v>2</v>
      </c>
      <c r="H459" s="17" t="s">
        <v>9</v>
      </c>
      <c r="I459" s="30" t="s">
        <v>57</v>
      </c>
      <c r="J459" s="22">
        <v>0.1</v>
      </c>
      <c r="K459" s="22">
        <v>0</v>
      </c>
      <c r="L459" s="8">
        <f t="shared" ref="L459:L469" si="404">+J459-K459</f>
        <v>0.1</v>
      </c>
      <c r="M459" s="24">
        <f t="shared" ref="M459" si="405">+L459/SUMIF(C:C,C459,L:L)</f>
        <v>2.2701475595913742E-3</v>
      </c>
      <c r="N459" s="14"/>
      <c r="O459" t="s">
        <v>173</v>
      </c>
    </row>
    <row r="460" spans="1:17" x14ac:dyDescent="0.25">
      <c r="A460" s="20">
        <v>44518</v>
      </c>
      <c r="B460" s="1">
        <f>B458</f>
        <v>39</v>
      </c>
      <c r="C460" s="1" t="s">
        <v>168</v>
      </c>
      <c r="D460" s="1" t="s">
        <v>38</v>
      </c>
      <c r="E460" s="26" t="e">
        <f>+#REF!</f>
        <v>#REF!</v>
      </c>
      <c r="F460" s="26" t="e">
        <f>+#REF!</f>
        <v>#REF!</v>
      </c>
      <c r="G460" s="17">
        <v>3</v>
      </c>
      <c r="H460" s="17" t="s">
        <v>9</v>
      </c>
      <c r="I460" s="30" t="s">
        <v>58</v>
      </c>
      <c r="J460" s="22"/>
      <c r="K460" s="22"/>
      <c r="L460" s="8">
        <f t="shared" si="404"/>
        <v>0</v>
      </c>
      <c r="M460" s="24">
        <f>+L460/SUMIF(C:C,C460,L:L)</f>
        <v>0</v>
      </c>
      <c r="N460" s="14"/>
    </row>
    <row r="461" spans="1:17" x14ac:dyDescent="0.25">
      <c r="A461" s="20">
        <v>44518</v>
      </c>
      <c r="B461" s="1">
        <f>B458</f>
        <v>39</v>
      </c>
      <c r="C461" s="1" t="s">
        <v>168</v>
      </c>
      <c r="D461" s="1" t="s">
        <v>38</v>
      </c>
      <c r="E461" s="26" t="e">
        <f t="shared" ref="E461:F461" si="406">+E460</f>
        <v>#REF!</v>
      </c>
      <c r="F461" s="26" t="e">
        <f t="shared" si="406"/>
        <v>#REF!</v>
      </c>
      <c r="G461" s="17">
        <v>4</v>
      </c>
      <c r="H461" s="17" t="s">
        <v>9</v>
      </c>
      <c r="I461" s="30" t="s">
        <v>22</v>
      </c>
      <c r="J461" s="22">
        <v>0.15</v>
      </c>
      <c r="K461" s="22">
        <v>0</v>
      </c>
      <c r="L461" s="8">
        <f t="shared" si="404"/>
        <v>0.15</v>
      </c>
      <c r="M461" s="24">
        <f t="shared" ref="M461:M468" si="407">+L461/SUMIF(C:C,C461,L:L)</f>
        <v>3.4052213393870614E-3</v>
      </c>
      <c r="N461" s="14"/>
    </row>
    <row r="462" spans="1:17" x14ac:dyDescent="0.25">
      <c r="A462" s="20">
        <v>44518</v>
      </c>
      <c r="B462" s="1">
        <f>B458</f>
        <v>39</v>
      </c>
      <c r="C462" s="1" t="s">
        <v>168</v>
      </c>
      <c r="D462" s="1" t="s">
        <v>38</v>
      </c>
      <c r="E462" s="26" t="e">
        <f t="shared" ref="E462:F462" si="408">+E461</f>
        <v>#REF!</v>
      </c>
      <c r="F462" s="26" t="e">
        <f t="shared" si="408"/>
        <v>#REF!</v>
      </c>
      <c r="G462" s="17">
        <v>5</v>
      </c>
      <c r="H462" s="17" t="s">
        <v>9</v>
      </c>
      <c r="I462" s="30" t="s">
        <v>34</v>
      </c>
      <c r="J462" s="22">
        <v>0.05</v>
      </c>
      <c r="K462" s="22">
        <v>0</v>
      </c>
      <c r="L462" s="8">
        <f t="shared" si="404"/>
        <v>0.05</v>
      </c>
      <c r="M462" s="24">
        <f t="shared" si="407"/>
        <v>1.1350737797956871E-3</v>
      </c>
      <c r="N462" s="14"/>
    </row>
    <row r="463" spans="1:17" x14ac:dyDescent="0.25">
      <c r="A463" s="20">
        <v>44518</v>
      </c>
      <c r="B463" s="1">
        <f>B458</f>
        <v>39</v>
      </c>
      <c r="C463" s="1" t="s">
        <v>168</v>
      </c>
      <c r="D463" s="1" t="s">
        <v>38</v>
      </c>
      <c r="E463" s="26" t="e">
        <f t="shared" ref="E463:F463" si="409">+E462</f>
        <v>#REF!</v>
      </c>
      <c r="F463" s="26" t="e">
        <f t="shared" si="409"/>
        <v>#REF!</v>
      </c>
      <c r="G463" s="17">
        <v>6</v>
      </c>
      <c r="H463" s="17" t="s">
        <v>9</v>
      </c>
      <c r="I463" s="30" t="s">
        <v>35</v>
      </c>
      <c r="J463" s="22"/>
      <c r="K463" s="22"/>
      <c r="L463" s="8">
        <f t="shared" si="404"/>
        <v>0</v>
      </c>
      <c r="M463" s="24">
        <f t="shared" si="407"/>
        <v>0</v>
      </c>
      <c r="N463" s="14"/>
    </row>
    <row r="464" spans="1:17" x14ac:dyDescent="0.25">
      <c r="A464" s="20">
        <v>44518</v>
      </c>
      <c r="B464" s="1">
        <f>B458</f>
        <v>39</v>
      </c>
      <c r="C464" s="1" t="s">
        <v>168</v>
      </c>
      <c r="D464" s="1" t="s">
        <v>38</v>
      </c>
      <c r="E464" s="26" t="e">
        <f t="shared" ref="E464:F464" si="410">+E463</f>
        <v>#REF!</v>
      </c>
      <c r="F464" s="26" t="e">
        <f t="shared" si="410"/>
        <v>#REF!</v>
      </c>
      <c r="G464" s="17">
        <v>7</v>
      </c>
      <c r="H464" s="17" t="s">
        <v>9</v>
      </c>
      <c r="I464" s="30" t="s">
        <v>36</v>
      </c>
      <c r="J464" s="22"/>
      <c r="K464" s="22"/>
      <c r="L464" s="8">
        <f t="shared" si="404"/>
        <v>0</v>
      </c>
      <c r="M464" s="24">
        <f t="shared" si="407"/>
        <v>0</v>
      </c>
      <c r="N464" s="14"/>
    </row>
    <row r="465" spans="1:17" x14ac:dyDescent="0.25">
      <c r="A465" s="20">
        <v>44518</v>
      </c>
      <c r="B465" s="1">
        <f>B458</f>
        <v>39</v>
      </c>
      <c r="C465" s="1" t="s">
        <v>168</v>
      </c>
      <c r="D465" s="1" t="s">
        <v>38</v>
      </c>
      <c r="E465" s="26" t="e">
        <f>+E464</f>
        <v>#REF!</v>
      </c>
      <c r="F465" s="26" t="e">
        <f>+F464</f>
        <v>#REF!</v>
      </c>
      <c r="G465" s="17">
        <v>8</v>
      </c>
      <c r="H465" s="17" t="s">
        <v>9</v>
      </c>
      <c r="I465" s="30" t="s">
        <v>59</v>
      </c>
      <c r="J465" s="22">
        <v>0.8</v>
      </c>
      <c r="K465" s="22">
        <v>0.55000000000000004</v>
      </c>
      <c r="L465" s="8">
        <f t="shared" si="404"/>
        <v>0.25</v>
      </c>
      <c r="M465" s="24">
        <f t="shared" si="407"/>
        <v>5.675368898978436E-3</v>
      </c>
      <c r="N465" s="14"/>
    </row>
    <row r="466" spans="1:17" x14ac:dyDescent="0.25">
      <c r="A466" s="20">
        <v>44518</v>
      </c>
      <c r="B466" s="1">
        <f>B458</f>
        <v>39</v>
      </c>
      <c r="C466" s="1" t="s">
        <v>168</v>
      </c>
      <c r="D466" s="1" t="s">
        <v>38</v>
      </c>
      <c r="E466" s="26" t="e">
        <f t="shared" ref="E466:F466" si="411">+E465</f>
        <v>#REF!</v>
      </c>
      <c r="F466" s="26" t="e">
        <f t="shared" si="411"/>
        <v>#REF!</v>
      </c>
      <c r="G466" s="17">
        <v>9</v>
      </c>
      <c r="H466" s="17" t="s">
        <v>9</v>
      </c>
      <c r="I466" s="30" t="s">
        <v>38</v>
      </c>
      <c r="J466" s="22">
        <f>20.8+19.95+21.2+10.6</f>
        <v>72.55</v>
      </c>
      <c r="K466" s="22">
        <f>8.3+8.5+8.3+8.3</f>
        <v>33.400000000000006</v>
      </c>
      <c r="L466" s="8">
        <f t="shared" si="404"/>
        <v>39.149999999999991</v>
      </c>
      <c r="M466" s="24">
        <f t="shared" si="407"/>
        <v>0.88876276958002287</v>
      </c>
      <c r="N466" s="14"/>
    </row>
    <row r="467" spans="1:17" x14ac:dyDescent="0.25">
      <c r="A467" s="20">
        <v>44518</v>
      </c>
      <c r="B467" s="1">
        <f>B458</f>
        <v>39</v>
      </c>
      <c r="C467" s="1" t="s">
        <v>168</v>
      </c>
      <c r="D467" s="1" t="s">
        <v>38</v>
      </c>
      <c r="E467" s="26" t="e">
        <f t="shared" ref="E467:F467" si="412">+E466</f>
        <v>#REF!</v>
      </c>
      <c r="F467" s="26" t="e">
        <f t="shared" si="412"/>
        <v>#REF!</v>
      </c>
      <c r="G467" s="17">
        <v>10</v>
      </c>
      <c r="H467" s="17" t="s">
        <v>9</v>
      </c>
      <c r="I467" s="30" t="s">
        <v>23</v>
      </c>
      <c r="J467" s="22">
        <f>1.4</f>
        <v>1.4</v>
      </c>
      <c r="K467" s="22">
        <v>0.5</v>
      </c>
      <c r="L467" s="8">
        <f t="shared" si="404"/>
        <v>0.89999999999999991</v>
      </c>
      <c r="M467" s="24">
        <f t="shared" si="407"/>
        <v>2.0431328036322367E-2</v>
      </c>
      <c r="N467" s="14"/>
    </row>
    <row r="468" spans="1:17" x14ac:dyDescent="0.25">
      <c r="A468" s="20">
        <v>44518</v>
      </c>
      <c r="B468" s="1">
        <f>B458</f>
        <v>39</v>
      </c>
      <c r="C468" s="1" t="s">
        <v>168</v>
      </c>
      <c r="D468" s="1" t="s">
        <v>38</v>
      </c>
      <c r="E468" s="26" t="e">
        <f t="shared" ref="E468:F468" si="413">+E467</f>
        <v>#REF!</v>
      </c>
      <c r="F468" s="26" t="e">
        <f t="shared" si="413"/>
        <v>#REF!</v>
      </c>
      <c r="G468" s="17">
        <v>11</v>
      </c>
      <c r="H468" s="17" t="s">
        <v>9</v>
      </c>
      <c r="I468" s="30" t="s">
        <v>60</v>
      </c>
      <c r="J468" s="22">
        <f>9+8.95</f>
        <v>17.95</v>
      </c>
      <c r="K468" s="22">
        <f>8.55+8.55</f>
        <v>17.100000000000001</v>
      </c>
      <c r="L468" s="8">
        <f t="shared" si="404"/>
        <v>0.84999999999999787</v>
      </c>
      <c r="M468" s="24">
        <f t="shared" si="407"/>
        <v>1.9296254256526632E-2</v>
      </c>
      <c r="N468" s="14"/>
    </row>
    <row r="469" spans="1:17" s="2" customFormat="1" ht="15.75" thickBot="1" x14ac:dyDescent="0.3">
      <c r="A469" s="60">
        <v>44518</v>
      </c>
      <c r="B469" s="57">
        <f>B458</f>
        <v>39</v>
      </c>
      <c r="C469" s="57" t="s">
        <v>168</v>
      </c>
      <c r="D469" s="57" t="s">
        <v>38</v>
      </c>
      <c r="E469" s="61" t="e">
        <f t="shared" ref="E469:F469" si="414">+E468</f>
        <v>#REF!</v>
      </c>
      <c r="F469" s="61" t="e">
        <f t="shared" si="414"/>
        <v>#REF!</v>
      </c>
      <c r="G469" s="62">
        <f>+G468+1</f>
        <v>12</v>
      </c>
      <c r="H469" s="62" t="s">
        <v>10</v>
      </c>
      <c r="I469" s="46" t="s">
        <v>10</v>
      </c>
      <c r="J469" s="63">
        <f>9.2+10.45</f>
        <v>19.649999999999999</v>
      </c>
      <c r="K469" s="63">
        <f>8.55+8.55</f>
        <v>17.100000000000001</v>
      </c>
      <c r="L469" s="64">
        <f t="shared" si="404"/>
        <v>2.5499999999999972</v>
      </c>
      <c r="M469" s="65">
        <f>+L469/SUMIF(C:C,C469,L:L)</f>
        <v>5.7888762769579979E-2</v>
      </c>
      <c r="N469" s="66"/>
      <c r="Q469" s="5"/>
    </row>
    <row r="470" spans="1:17" x14ac:dyDescent="0.25">
      <c r="A470" s="19">
        <v>44519</v>
      </c>
      <c r="B470" s="15">
        <f>B458+1</f>
        <v>40</v>
      </c>
      <c r="C470" s="15" t="s">
        <v>169</v>
      </c>
      <c r="D470" s="15" t="s">
        <v>38</v>
      </c>
      <c r="E470" s="25">
        <f>48.4-1.2</f>
        <v>47.199999999999996</v>
      </c>
      <c r="F470" s="25">
        <f>+SUM(L470:L481)</f>
        <v>46.8</v>
      </c>
      <c r="G470" s="16">
        <v>1</v>
      </c>
      <c r="H470" s="16" t="s">
        <v>9</v>
      </c>
      <c r="I470" s="59" t="s">
        <v>56</v>
      </c>
      <c r="J470" s="21">
        <v>0.7</v>
      </c>
      <c r="K470" s="21">
        <v>0.55000000000000004</v>
      </c>
      <c r="L470" s="12">
        <f>+J470-K470</f>
        <v>0.14999999999999991</v>
      </c>
      <c r="M470" s="23">
        <f>+L470/SUMIF(C:C,C470,L:L)</f>
        <v>3.2051282051282033E-3</v>
      </c>
      <c r="N470" s="13"/>
      <c r="O470" t="s">
        <v>172</v>
      </c>
    </row>
    <row r="471" spans="1:17" x14ac:dyDescent="0.25">
      <c r="A471" s="20">
        <v>44519</v>
      </c>
      <c r="B471" s="1">
        <f>B470</f>
        <v>40</v>
      </c>
      <c r="C471" s="1" t="s">
        <v>169</v>
      </c>
      <c r="D471" s="1" t="s">
        <v>38</v>
      </c>
      <c r="E471" s="26">
        <f>+E470</f>
        <v>47.199999999999996</v>
      </c>
      <c r="F471" s="28">
        <f>+(F470-E470)/E470</f>
        <v>-8.4745762711864112E-3</v>
      </c>
      <c r="G471" s="17">
        <v>2</v>
      </c>
      <c r="H471" s="17" t="s">
        <v>9</v>
      </c>
      <c r="I471" s="30" t="s">
        <v>57</v>
      </c>
      <c r="J471" s="22">
        <v>0.75</v>
      </c>
      <c r="K471" s="22">
        <v>0.55000000000000004</v>
      </c>
      <c r="L471" s="8">
        <f t="shared" ref="L471:L481" si="415">+J471-K471</f>
        <v>0.19999999999999996</v>
      </c>
      <c r="M471" s="24">
        <f t="shared" ref="M471" si="416">+L471/SUMIF(C:C,C471,L:L)</f>
        <v>4.2735042735042731E-3</v>
      </c>
      <c r="N471" s="14"/>
      <c r="O471" t="s">
        <v>230</v>
      </c>
    </row>
    <row r="472" spans="1:17" x14ac:dyDescent="0.25">
      <c r="A472" s="20">
        <v>44519</v>
      </c>
      <c r="B472" s="1">
        <f>B470</f>
        <v>40</v>
      </c>
      <c r="C472" s="1" t="s">
        <v>169</v>
      </c>
      <c r="D472" s="1" t="s">
        <v>38</v>
      </c>
      <c r="E472" s="26" t="e">
        <f>+#REF!</f>
        <v>#REF!</v>
      </c>
      <c r="F472" s="26" t="e">
        <f>+#REF!</f>
        <v>#REF!</v>
      </c>
      <c r="G472" s="17">
        <v>3</v>
      </c>
      <c r="H472" s="17" t="s">
        <v>9</v>
      </c>
      <c r="I472" s="30" t="s">
        <v>58</v>
      </c>
      <c r="J472" s="22"/>
      <c r="K472" s="22"/>
      <c r="L472" s="8">
        <f t="shared" si="415"/>
        <v>0</v>
      </c>
      <c r="M472" s="24">
        <f>+L472/SUMIF(C:C,C472,L:L)</f>
        <v>0</v>
      </c>
      <c r="N472" s="14"/>
    </row>
    <row r="473" spans="1:17" x14ac:dyDescent="0.25">
      <c r="A473" s="20">
        <v>44519</v>
      </c>
      <c r="B473" s="1">
        <f>B470</f>
        <v>40</v>
      </c>
      <c r="C473" s="1" t="s">
        <v>169</v>
      </c>
      <c r="D473" s="1" t="s">
        <v>38</v>
      </c>
      <c r="E473" s="26" t="e">
        <f t="shared" ref="E473:F473" si="417">+E472</f>
        <v>#REF!</v>
      </c>
      <c r="F473" s="26" t="e">
        <f t="shared" si="417"/>
        <v>#REF!</v>
      </c>
      <c r="G473" s="17">
        <v>4</v>
      </c>
      <c r="H473" s="17" t="s">
        <v>9</v>
      </c>
      <c r="I473" s="30" t="s">
        <v>22</v>
      </c>
      <c r="J473" s="22">
        <v>0.65</v>
      </c>
      <c r="K473" s="22">
        <v>0.55000000000000004</v>
      </c>
      <c r="L473" s="8">
        <f t="shared" si="415"/>
        <v>9.9999999999999978E-2</v>
      </c>
      <c r="M473" s="24">
        <f t="shared" ref="M473:M480" si="418">+L473/SUMIF(C:C,C473,L:L)</f>
        <v>2.1367521367521365E-3</v>
      </c>
      <c r="N473" s="14"/>
    </row>
    <row r="474" spans="1:17" x14ac:dyDescent="0.25">
      <c r="A474" s="20">
        <v>44519</v>
      </c>
      <c r="B474" s="1">
        <f>B470</f>
        <v>40</v>
      </c>
      <c r="C474" s="1" t="s">
        <v>169</v>
      </c>
      <c r="D474" s="1" t="s">
        <v>38</v>
      </c>
      <c r="E474" s="26" t="e">
        <f t="shared" ref="E474:F474" si="419">+E473</f>
        <v>#REF!</v>
      </c>
      <c r="F474" s="26" t="e">
        <f t="shared" si="419"/>
        <v>#REF!</v>
      </c>
      <c r="G474" s="17">
        <v>5</v>
      </c>
      <c r="H474" s="17" t="s">
        <v>9</v>
      </c>
      <c r="I474" s="30" t="s">
        <v>34</v>
      </c>
      <c r="J474" s="22">
        <v>0.65</v>
      </c>
      <c r="K474" s="22">
        <v>0.55000000000000004</v>
      </c>
      <c r="L474" s="8">
        <f t="shared" si="415"/>
        <v>9.9999999999999978E-2</v>
      </c>
      <c r="M474" s="24">
        <f t="shared" si="418"/>
        <v>2.1367521367521365E-3</v>
      </c>
      <c r="N474" s="14"/>
    </row>
    <row r="475" spans="1:17" x14ac:dyDescent="0.25">
      <c r="A475" s="20">
        <v>44519</v>
      </c>
      <c r="B475" s="1">
        <f>B470</f>
        <v>40</v>
      </c>
      <c r="C475" s="1" t="s">
        <v>169</v>
      </c>
      <c r="D475" s="1" t="s">
        <v>38</v>
      </c>
      <c r="E475" s="26" t="e">
        <f t="shared" ref="E475:F475" si="420">+E474</f>
        <v>#REF!</v>
      </c>
      <c r="F475" s="26" t="e">
        <f t="shared" si="420"/>
        <v>#REF!</v>
      </c>
      <c r="G475" s="17">
        <v>6</v>
      </c>
      <c r="H475" s="17" t="s">
        <v>9</v>
      </c>
      <c r="I475" s="30" t="s">
        <v>35</v>
      </c>
      <c r="J475" s="22"/>
      <c r="K475" s="22"/>
      <c r="L475" s="8">
        <f t="shared" si="415"/>
        <v>0</v>
      </c>
      <c r="M475" s="24">
        <f t="shared" si="418"/>
        <v>0</v>
      </c>
      <c r="N475" s="14"/>
    </row>
    <row r="476" spans="1:17" x14ac:dyDescent="0.25">
      <c r="A476" s="20">
        <v>44519</v>
      </c>
      <c r="B476" s="1">
        <f>B470</f>
        <v>40</v>
      </c>
      <c r="C476" s="1" t="s">
        <v>169</v>
      </c>
      <c r="D476" s="1" t="s">
        <v>38</v>
      </c>
      <c r="E476" s="26" t="e">
        <f t="shared" ref="E476:F476" si="421">+E475</f>
        <v>#REF!</v>
      </c>
      <c r="F476" s="26" t="e">
        <f t="shared" si="421"/>
        <v>#REF!</v>
      </c>
      <c r="G476" s="17">
        <v>7</v>
      </c>
      <c r="H476" s="17" t="s">
        <v>9</v>
      </c>
      <c r="I476" s="30" t="s">
        <v>36</v>
      </c>
      <c r="J476" s="22"/>
      <c r="K476" s="22"/>
      <c r="L476" s="8">
        <f t="shared" si="415"/>
        <v>0</v>
      </c>
      <c r="M476" s="24">
        <f t="shared" si="418"/>
        <v>0</v>
      </c>
      <c r="N476" s="14"/>
    </row>
    <row r="477" spans="1:17" x14ac:dyDescent="0.25">
      <c r="A477" s="20">
        <v>44519</v>
      </c>
      <c r="B477" s="1">
        <f>B470</f>
        <v>40</v>
      </c>
      <c r="C477" s="1" t="s">
        <v>169</v>
      </c>
      <c r="D477" s="1" t="s">
        <v>38</v>
      </c>
      <c r="E477" s="26" t="e">
        <f>+E476</f>
        <v>#REF!</v>
      </c>
      <c r="F477" s="26" t="e">
        <f>+F476</f>
        <v>#REF!</v>
      </c>
      <c r="G477" s="17">
        <v>8</v>
      </c>
      <c r="H477" s="17" t="s">
        <v>9</v>
      </c>
      <c r="I477" s="30" t="s">
        <v>59</v>
      </c>
      <c r="J477" s="22">
        <v>1.05</v>
      </c>
      <c r="K477" s="22">
        <v>0.5</v>
      </c>
      <c r="L477" s="8">
        <f t="shared" si="415"/>
        <v>0.55000000000000004</v>
      </c>
      <c r="M477" s="24">
        <f t="shared" si="418"/>
        <v>1.1752136752136754E-2</v>
      </c>
      <c r="N477" s="14"/>
    </row>
    <row r="478" spans="1:17" x14ac:dyDescent="0.25">
      <c r="A478" s="20">
        <v>44519</v>
      </c>
      <c r="B478" s="1">
        <f>B470</f>
        <v>40</v>
      </c>
      <c r="C478" s="1" t="s">
        <v>169</v>
      </c>
      <c r="D478" s="1" t="s">
        <v>38</v>
      </c>
      <c r="E478" s="26" t="e">
        <f t="shared" ref="E478:F478" si="422">+E477</f>
        <v>#REF!</v>
      </c>
      <c r="F478" s="26" t="e">
        <f t="shared" si="422"/>
        <v>#REF!</v>
      </c>
      <c r="G478" s="17">
        <v>9</v>
      </c>
      <c r="H478" s="17" t="s">
        <v>9</v>
      </c>
      <c r="I478" s="30" t="s">
        <v>38</v>
      </c>
      <c r="J478" s="22">
        <f>19.5+21.55+15.6+18.1</f>
        <v>74.75</v>
      </c>
      <c r="K478" s="22">
        <f>8.55+8.25+8.5+8.3</f>
        <v>33.6</v>
      </c>
      <c r="L478" s="8">
        <f t="shared" si="415"/>
        <v>41.15</v>
      </c>
      <c r="M478" s="24">
        <f t="shared" si="418"/>
        <v>0.87927350427350426</v>
      </c>
      <c r="N478" s="14"/>
    </row>
    <row r="479" spans="1:17" x14ac:dyDescent="0.25">
      <c r="A479" s="20">
        <v>44519</v>
      </c>
      <c r="B479" s="1">
        <f>B470</f>
        <v>40</v>
      </c>
      <c r="C479" s="1" t="s">
        <v>169</v>
      </c>
      <c r="D479" s="1" t="s">
        <v>38</v>
      </c>
      <c r="E479" s="26" t="e">
        <f t="shared" ref="E479:F479" si="423">+E478</f>
        <v>#REF!</v>
      </c>
      <c r="F479" s="26" t="e">
        <f t="shared" si="423"/>
        <v>#REF!</v>
      </c>
      <c r="G479" s="17">
        <v>10</v>
      </c>
      <c r="H479" s="17" t="s">
        <v>9</v>
      </c>
      <c r="I479" s="30" t="s">
        <v>23</v>
      </c>
      <c r="J479" s="22">
        <f>1.1</f>
        <v>1.1000000000000001</v>
      </c>
      <c r="K479" s="22">
        <f>0.55</f>
        <v>0.55000000000000004</v>
      </c>
      <c r="L479" s="8">
        <f t="shared" si="415"/>
        <v>0.55000000000000004</v>
      </c>
      <c r="M479" s="24">
        <f t="shared" si="418"/>
        <v>1.1752136752136754E-2</v>
      </c>
      <c r="N479" s="14"/>
    </row>
    <row r="480" spans="1:17" x14ac:dyDescent="0.25">
      <c r="A480" s="20">
        <v>44519</v>
      </c>
      <c r="B480" s="1">
        <f>B470</f>
        <v>40</v>
      </c>
      <c r="C480" s="1" t="s">
        <v>169</v>
      </c>
      <c r="D480" s="1" t="s">
        <v>38</v>
      </c>
      <c r="E480" s="26" t="e">
        <f t="shared" ref="E480:F480" si="424">+E479</f>
        <v>#REF!</v>
      </c>
      <c r="F480" s="26" t="e">
        <f t="shared" si="424"/>
        <v>#REF!</v>
      </c>
      <c r="G480" s="17">
        <v>11</v>
      </c>
      <c r="H480" s="17" t="s">
        <v>9</v>
      </c>
      <c r="I480" s="30" t="s">
        <v>60</v>
      </c>
      <c r="J480" s="22">
        <f>0.9+9.05</f>
        <v>9.9500000000000011</v>
      </c>
      <c r="K480" s="22">
        <f>0.55+8.55</f>
        <v>9.1000000000000014</v>
      </c>
      <c r="L480" s="8">
        <f t="shared" si="415"/>
        <v>0.84999999999999964</v>
      </c>
      <c r="M480" s="24">
        <f t="shared" si="418"/>
        <v>1.8162393162393157E-2</v>
      </c>
      <c r="N480" s="14"/>
    </row>
    <row r="481" spans="1:17" s="2" customFormat="1" ht="75.75" thickBot="1" x14ac:dyDescent="0.3">
      <c r="A481" s="60">
        <v>44519</v>
      </c>
      <c r="B481" s="57">
        <f>B470</f>
        <v>40</v>
      </c>
      <c r="C481" s="57" t="s">
        <v>169</v>
      </c>
      <c r="D481" s="57" t="s">
        <v>38</v>
      </c>
      <c r="E481" s="61" t="e">
        <f t="shared" ref="E481:F481" si="425">+E480</f>
        <v>#REF!</v>
      </c>
      <c r="F481" s="61" t="e">
        <f t="shared" si="425"/>
        <v>#REF!</v>
      </c>
      <c r="G481" s="62">
        <f>+G480+1</f>
        <v>12</v>
      </c>
      <c r="H481" s="62" t="s">
        <v>10</v>
      </c>
      <c r="I481" s="46" t="s">
        <v>10</v>
      </c>
      <c r="J481" s="63">
        <f>9.8+10.2</f>
        <v>20</v>
      </c>
      <c r="K481" s="63">
        <f>8.3+8.55</f>
        <v>16.850000000000001</v>
      </c>
      <c r="L481" s="64">
        <f t="shared" si="415"/>
        <v>3.1499999999999986</v>
      </c>
      <c r="M481" s="65">
        <f>+L481/SUMIF(C:C,C481,L:L)</f>
        <v>6.7307692307692277E-2</v>
      </c>
      <c r="N481" s="66" t="s">
        <v>231</v>
      </c>
      <c r="Q481" s="5"/>
    </row>
    <row r="482" spans="1:17" x14ac:dyDescent="0.25">
      <c r="A482" s="19">
        <v>44519</v>
      </c>
      <c r="B482" s="15">
        <f>B470+1</f>
        <v>41</v>
      </c>
      <c r="C482" s="15" t="s">
        <v>237</v>
      </c>
      <c r="D482" s="15" t="s">
        <v>238</v>
      </c>
      <c r="E482" s="25">
        <f>27-1.2</f>
        <v>25.8</v>
      </c>
      <c r="F482" s="25">
        <f>+SUM(L482:L493)</f>
        <v>25.599999999999998</v>
      </c>
      <c r="G482" s="16">
        <v>1</v>
      </c>
      <c r="H482" s="16" t="s">
        <v>9</v>
      </c>
      <c r="I482" s="59" t="s">
        <v>56</v>
      </c>
      <c r="J482" s="21"/>
      <c r="K482" s="21"/>
      <c r="L482" s="12">
        <f>+J482-K482</f>
        <v>0</v>
      </c>
      <c r="M482" s="23">
        <f>+L482/SUMIF(C:C,C482,L:L)</f>
        <v>0</v>
      </c>
      <c r="N482" s="13"/>
      <c r="O482" t="s">
        <v>240</v>
      </c>
    </row>
    <row r="483" spans="1:17" x14ac:dyDescent="0.25">
      <c r="A483" s="20">
        <v>44519</v>
      </c>
      <c r="B483" s="1">
        <f>B482</f>
        <v>41</v>
      </c>
      <c r="C483" s="1" t="s">
        <v>237</v>
      </c>
      <c r="D483" s="1" t="s">
        <v>238</v>
      </c>
      <c r="E483" s="26">
        <f>+E482</f>
        <v>25.8</v>
      </c>
      <c r="F483" s="28">
        <f>+(F482-E482)/E482</f>
        <v>-7.7519379844962341E-3</v>
      </c>
      <c r="G483" s="17">
        <v>2</v>
      </c>
      <c r="H483" s="17" t="s">
        <v>9</v>
      </c>
      <c r="I483" s="30" t="s">
        <v>57</v>
      </c>
      <c r="J483" s="22">
        <v>0.6</v>
      </c>
      <c r="K483" s="22">
        <v>0.55000000000000004</v>
      </c>
      <c r="L483" s="8">
        <f t="shared" ref="L483:L493" si="426">+J483-K483</f>
        <v>4.9999999999999933E-2</v>
      </c>
      <c r="M483" s="24">
        <f t="shared" ref="M483" si="427">+L483/SUMIF(C:C,C483,L:L)</f>
        <v>1.9531249999999976E-3</v>
      </c>
      <c r="N483" s="14"/>
      <c r="O483" t="s">
        <v>241</v>
      </c>
    </row>
    <row r="484" spans="1:17" x14ac:dyDescent="0.25">
      <c r="A484" s="20">
        <v>44519</v>
      </c>
      <c r="B484" s="1">
        <f>B482</f>
        <v>41</v>
      </c>
      <c r="C484" s="1" t="s">
        <v>237</v>
      </c>
      <c r="D484" s="1" t="s">
        <v>238</v>
      </c>
      <c r="E484" s="26" t="e">
        <f>+#REF!</f>
        <v>#REF!</v>
      </c>
      <c r="F484" s="26" t="e">
        <f>+#REF!</f>
        <v>#REF!</v>
      </c>
      <c r="G484" s="17">
        <v>3</v>
      </c>
      <c r="H484" s="17" t="s">
        <v>9</v>
      </c>
      <c r="I484" s="30" t="s">
        <v>58</v>
      </c>
      <c r="J484" s="22">
        <v>0.05</v>
      </c>
      <c r="K484" s="22">
        <v>0</v>
      </c>
      <c r="L484" s="8">
        <f t="shared" si="426"/>
        <v>0.05</v>
      </c>
      <c r="M484" s="24">
        <f>+L484/SUMIF(C:C,C484,L:L)</f>
        <v>1.9531250000000004E-3</v>
      </c>
      <c r="N484" s="14"/>
    </row>
    <row r="485" spans="1:17" x14ac:dyDescent="0.25">
      <c r="A485" s="20">
        <v>44519</v>
      </c>
      <c r="B485" s="1">
        <f>B482</f>
        <v>41</v>
      </c>
      <c r="C485" s="1" t="s">
        <v>237</v>
      </c>
      <c r="D485" s="1" t="s">
        <v>238</v>
      </c>
      <c r="E485" s="26" t="e">
        <f t="shared" ref="E485:F485" si="428">+E484</f>
        <v>#REF!</v>
      </c>
      <c r="F485" s="26" t="e">
        <f t="shared" si="428"/>
        <v>#REF!</v>
      </c>
      <c r="G485" s="17">
        <v>4</v>
      </c>
      <c r="H485" s="17" t="s">
        <v>9</v>
      </c>
      <c r="I485" s="30" t="s">
        <v>22</v>
      </c>
      <c r="J485" s="22">
        <v>0.05</v>
      </c>
      <c r="K485" s="22">
        <v>0</v>
      </c>
      <c r="L485" s="8">
        <f t="shared" si="426"/>
        <v>0.05</v>
      </c>
      <c r="M485" s="24">
        <f t="shared" ref="M485:M492" si="429">+L485/SUMIF(C:C,C485,L:L)</f>
        <v>1.9531250000000004E-3</v>
      </c>
      <c r="N485" s="14"/>
    </row>
    <row r="486" spans="1:17" x14ac:dyDescent="0.25">
      <c r="A486" s="20">
        <v>44519</v>
      </c>
      <c r="B486" s="1">
        <f>B482</f>
        <v>41</v>
      </c>
      <c r="C486" s="1" t="s">
        <v>237</v>
      </c>
      <c r="D486" s="1" t="s">
        <v>238</v>
      </c>
      <c r="E486" s="26" t="e">
        <f t="shared" ref="E486:F486" si="430">+E485</f>
        <v>#REF!</v>
      </c>
      <c r="F486" s="26" t="e">
        <f t="shared" si="430"/>
        <v>#REF!</v>
      </c>
      <c r="G486" s="17">
        <v>5</v>
      </c>
      <c r="H486" s="17" t="s">
        <v>9</v>
      </c>
      <c r="I486" s="30" t="s">
        <v>34</v>
      </c>
      <c r="J486" s="22">
        <v>0.6</v>
      </c>
      <c r="K486" s="22">
        <v>0.55000000000000004</v>
      </c>
      <c r="L486" s="8">
        <f t="shared" si="426"/>
        <v>4.9999999999999933E-2</v>
      </c>
      <c r="M486" s="24">
        <f t="shared" si="429"/>
        <v>1.9531249999999976E-3</v>
      </c>
      <c r="N486" s="14"/>
    </row>
    <row r="487" spans="1:17" x14ac:dyDescent="0.25">
      <c r="A487" s="20">
        <v>44519</v>
      </c>
      <c r="B487" s="1">
        <f>B482</f>
        <v>41</v>
      </c>
      <c r="C487" s="1" t="s">
        <v>237</v>
      </c>
      <c r="D487" s="1" t="s">
        <v>238</v>
      </c>
      <c r="E487" s="26" t="e">
        <f t="shared" ref="E487:F487" si="431">+E486</f>
        <v>#REF!</v>
      </c>
      <c r="F487" s="26" t="e">
        <f t="shared" si="431"/>
        <v>#REF!</v>
      </c>
      <c r="G487" s="17">
        <v>6</v>
      </c>
      <c r="H487" s="17" t="s">
        <v>9</v>
      </c>
      <c r="I487" s="30" t="s">
        <v>35</v>
      </c>
      <c r="J487" s="22"/>
      <c r="K487" s="22"/>
      <c r="L487" s="8">
        <f t="shared" si="426"/>
        <v>0</v>
      </c>
      <c r="M487" s="24">
        <f t="shared" si="429"/>
        <v>0</v>
      </c>
      <c r="N487" s="14"/>
    </row>
    <row r="488" spans="1:17" x14ac:dyDescent="0.25">
      <c r="A488" s="20">
        <v>44519</v>
      </c>
      <c r="B488" s="1">
        <f>B482</f>
        <v>41</v>
      </c>
      <c r="C488" s="1" t="s">
        <v>237</v>
      </c>
      <c r="D488" s="1" t="s">
        <v>238</v>
      </c>
      <c r="E488" s="26" t="e">
        <f t="shared" ref="E488:F488" si="432">+E487</f>
        <v>#REF!</v>
      </c>
      <c r="F488" s="26" t="e">
        <f t="shared" si="432"/>
        <v>#REF!</v>
      </c>
      <c r="G488" s="17">
        <v>7</v>
      </c>
      <c r="H488" s="17" t="s">
        <v>9</v>
      </c>
      <c r="I488" s="30" t="s">
        <v>36</v>
      </c>
      <c r="J488" s="22">
        <v>7.7</v>
      </c>
      <c r="K488" s="22">
        <v>6.05</v>
      </c>
      <c r="L488" s="8">
        <f t="shared" si="426"/>
        <v>1.6500000000000004</v>
      </c>
      <c r="M488" s="24">
        <f t="shared" si="429"/>
        <v>6.4453125000000014E-2</v>
      </c>
      <c r="N488" s="14" t="s">
        <v>233</v>
      </c>
    </row>
    <row r="489" spans="1:17" x14ac:dyDescent="0.25">
      <c r="A489" s="20">
        <v>44519</v>
      </c>
      <c r="B489" s="1">
        <f>B482</f>
        <v>41</v>
      </c>
      <c r="C489" s="1" t="s">
        <v>237</v>
      </c>
      <c r="D489" s="1" t="s">
        <v>238</v>
      </c>
      <c r="E489" s="26" t="e">
        <f>+E488</f>
        <v>#REF!</v>
      </c>
      <c r="F489" s="26" t="e">
        <f>+F488</f>
        <v>#REF!</v>
      </c>
      <c r="G489" s="17">
        <v>8</v>
      </c>
      <c r="H489" s="17" t="s">
        <v>9</v>
      </c>
      <c r="I489" s="30" t="s">
        <v>59</v>
      </c>
      <c r="J489" s="22">
        <f>11.85+12.6+11.65+10.75</f>
        <v>46.85</v>
      </c>
      <c r="K489" s="22">
        <f>8.3+8.6+8.55+8.25</f>
        <v>33.700000000000003</v>
      </c>
      <c r="L489" s="8">
        <f t="shared" si="426"/>
        <v>13.149999999999999</v>
      </c>
      <c r="M489" s="24">
        <f t="shared" si="429"/>
        <v>0.513671875</v>
      </c>
      <c r="N489" s="14"/>
    </row>
    <row r="490" spans="1:17" x14ac:dyDescent="0.25">
      <c r="A490" s="20">
        <v>44519</v>
      </c>
      <c r="B490" s="1">
        <f>B482</f>
        <v>41</v>
      </c>
      <c r="C490" s="1" t="s">
        <v>237</v>
      </c>
      <c r="D490" s="1" t="s">
        <v>238</v>
      </c>
      <c r="E490" s="26" t="e">
        <f t="shared" ref="E490:F490" si="433">+E489</f>
        <v>#REF!</v>
      </c>
      <c r="F490" s="26" t="e">
        <f t="shared" si="433"/>
        <v>#REF!</v>
      </c>
      <c r="G490" s="17">
        <v>9</v>
      </c>
      <c r="H490" s="17" t="s">
        <v>9</v>
      </c>
      <c r="I490" s="30" t="s">
        <v>38</v>
      </c>
      <c r="J490" s="22"/>
      <c r="K490" s="22"/>
      <c r="L490" s="8">
        <f t="shared" si="426"/>
        <v>0</v>
      </c>
      <c r="M490" s="24">
        <f t="shared" si="429"/>
        <v>0</v>
      </c>
      <c r="N490" s="14"/>
    </row>
    <row r="491" spans="1:17" x14ac:dyDescent="0.25">
      <c r="A491" s="20">
        <v>44519</v>
      </c>
      <c r="B491" s="1">
        <f>B482</f>
        <v>41</v>
      </c>
      <c r="C491" s="1" t="s">
        <v>237</v>
      </c>
      <c r="D491" s="1" t="s">
        <v>238</v>
      </c>
      <c r="E491" s="26" t="e">
        <f t="shared" ref="E491:F491" si="434">+E490</f>
        <v>#REF!</v>
      </c>
      <c r="F491" s="26" t="e">
        <f t="shared" si="434"/>
        <v>#REF!</v>
      </c>
      <c r="G491" s="17">
        <v>10</v>
      </c>
      <c r="H491" s="17" t="s">
        <v>9</v>
      </c>
      <c r="I491" s="30" t="s">
        <v>23</v>
      </c>
      <c r="J491" s="22">
        <f>12+12.15</f>
        <v>24.15</v>
      </c>
      <c r="K491" s="22">
        <f>8.55+8.3</f>
        <v>16.850000000000001</v>
      </c>
      <c r="L491" s="8">
        <f t="shared" si="426"/>
        <v>7.2999999999999972</v>
      </c>
      <c r="M491" s="24">
        <f t="shared" si="429"/>
        <v>0.28515624999999989</v>
      </c>
      <c r="N491" s="14"/>
    </row>
    <row r="492" spans="1:17" x14ac:dyDescent="0.25">
      <c r="A492" s="20">
        <v>44519</v>
      </c>
      <c r="B492" s="1">
        <f>B482</f>
        <v>41</v>
      </c>
      <c r="C492" s="1" t="s">
        <v>237</v>
      </c>
      <c r="D492" s="1" t="s">
        <v>238</v>
      </c>
      <c r="E492" s="26" t="e">
        <f t="shared" ref="E492:F492" si="435">+E491</f>
        <v>#REF!</v>
      </c>
      <c r="F492" s="26" t="e">
        <f t="shared" si="435"/>
        <v>#REF!</v>
      </c>
      <c r="G492" s="17">
        <v>11</v>
      </c>
      <c r="H492" s="17" t="s">
        <v>9</v>
      </c>
      <c r="I492" s="30" t="s">
        <v>60</v>
      </c>
      <c r="J492" s="22">
        <f>0.6</f>
        <v>0.6</v>
      </c>
      <c r="K492" s="22">
        <v>0.55000000000000004</v>
      </c>
      <c r="L492" s="8">
        <f t="shared" si="426"/>
        <v>4.9999999999999933E-2</v>
      </c>
      <c r="M492" s="24">
        <f t="shared" si="429"/>
        <v>1.9531249999999976E-3</v>
      </c>
      <c r="N492" s="14"/>
    </row>
    <row r="493" spans="1:17" s="2" customFormat="1" ht="60.75" thickBot="1" x14ac:dyDescent="0.3">
      <c r="A493" s="60">
        <v>44519</v>
      </c>
      <c r="B493" s="57">
        <f>B482</f>
        <v>41</v>
      </c>
      <c r="C493" s="57" t="s">
        <v>237</v>
      </c>
      <c r="D493" s="57" t="s">
        <v>238</v>
      </c>
      <c r="E493" s="61" t="e">
        <f t="shared" ref="E493:F493" si="436">+E492</f>
        <v>#REF!</v>
      </c>
      <c r="F493" s="61" t="e">
        <f t="shared" si="436"/>
        <v>#REF!</v>
      </c>
      <c r="G493" s="62">
        <f>+G492+1</f>
        <v>12</v>
      </c>
      <c r="H493" s="62" t="s">
        <v>10</v>
      </c>
      <c r="I493" s="46" t="s">
        <v>10</v>
      </c>
      <c r="J493" s="63">
        <f>9+11.1</f>
        <v>20.100000000000001</v>
      </c>
      <c r="K493" s="63">
        <f>8.3+8.55</f>
        <v>16.850000000000001</v>
      </c>
      <c r="L493" s="64">
        <f t="shared" si="426"/>
        <v>3.25</v>
      </c>
      <c r="M493" s="65">
        <f>+L493/SUMIF(C:C,C493,L:L)</f>
        <v>0.126953125</v>
      </c>
      <c r="N493" s="66" t="s">
        <v>234</v>
      </c>
      <c r="Q493" s="5"/>
    </row>
    <row r="494" spans="1:17" x14ac:dyDescent="0.25">
      <c r="A494" s="19">
        <v>44519</v>
      </c>
      <c r="B494" s="15">
        <f>B482+1</f>
        <v>42</v>
      </c>
      <c r="C494" s="15" t="s">
        <v>235</v>
      </c>
      <c r="D494" s="15" t="s">
        <v>236</v>
      </c>
      <c r="E494" s="25">
        <f>29.4-1.2</f>
        <v>28.2</v>
      </c>
      <c r="F494" s="25">
        <f>+SUM(L494:L505)</f>
        <v>28.54999999999999</v>
      </c>
      <c r="G494" s="16">
        <v>1</v>
      </c>
      <c r="H494" s="16" t="s">
        <v>9</v>
      </c>
      <c r="I494" s="59" t="s">
        <v>56</v>
      </c>
      <c r="J494" s="21">
        <f>9.95+9.6</f>
        <v>19.549999999999997</v>
      </c>
      <c r="K494" s="21">
        <f>8.55+8.55</f>
        <v>17.100000000000001</v>
      </c>
      <c r="L494" s="12">
        <f>+J494-K494</f>
        <v>2.4499999999999957</v>
      </c>
      <c r="M494" s="23">
        <f>+L494/SUMIF(C:C,C494,L:L)</f>
        <v>8.5814360770577816E-2</v>
      </c>
      <c r="N494" s="13"/>
      <c r="O494" t="s">
        <v>240</v>
      </c>
    </row>
    <row r="495" spans="1:17" x14ac:dyDescent="0.25">
      <c r="A495" s="20">
        <v>44519</v>
      </c>
      <c r="B495" s="1">
        <f>B494</f>
        <v>42</v>
      </c>
      <c r="C495" s="1" t="s">
        <v>235</v>
      </c>
      <c r="D495" s="1" t="s">
        <v>236</v>
      </c>
      <c r="E495" s="26">
        <f>+E494</f>
        <v>28.2</v>
      </c>
      <c r="F495" s="28">
        <f>+(F494-E494)/E494</f>
        <v>1.2411347517730169E-2</v>
      </c>
      <c r="G495" s="17">
        <v>2</v>
      </c>
      <c r="H495" s="17" t="s">
        <v>9</v>
      </c>
      <c r="I495" s="30" t="s">
        <v>57</v>
      </c>
      <c r="J495" s="22">
        <f>0.7+11.1+12.25</f>
        <v>24.049999999999997</v>
      </c>
      <c r="K495" s="22">
        <f>0.5+8.3+8.3</f>
        <v>17.100000000000001</v>
      </c>
      <c r="L495" s="8">
        <f t="shared" ref="L495:L505" si="437">+J495-K495</f>
        <v>6.9499999999999957</v>
      </c>
      <c r="M495" s="24">
        <f t="shared" ref="M495" si="438">+L495/SUMIF(C:C,C495,L:L)</f>
        <v>0.24343257443082306</v>
      </c>
      <c r="N495" s="14"/>
      <c r="O495" t="s">
        <v>242</v>
      </c>
    </row>
    <row r="496" spans="1:17" x14ac:dyDescent="0.25">
      <c r="A496" s="20">
        <v>44519</v>
      </c>
      <c r="B496" s="1">
        <f>B494</f>
        <v>42</v>
      </c>
      <c r="C496" s="1" t="s">
        <v>235</v>
      </c>
      <c r="D496" s="1" t="s">
        <v>236</v>
      </c>
      <c r="E496" s="26" t="e">
        <f>+#REF!</f>
        <v>#REF!</v>
      </c>
      <c r="F496" s="26" t="e">
        <f>+#REF!</f>
        <v>#REF!</v>
      </c>
      <c r="G496" s="17">
        <v>3</v>
      </c>
      <c r="H496" s="17" t="s">
        <v>9</v>
      </c>
      <c r="I496" s="30" t="s">
        <v>58</v>
      </c>
      <c r="J496" s="22">
        <f>9.7+10.15</f>
        <v>19.850000000000001</v>
      </c>
      <c r="K496" s="22">
        <f>8.25+8.5</f>
        <v>16.75</v>
      </c>
      <c r="L496" s="8">
        <f t="shared" si="437"/>
        <v>3.1000000000000014</v>
      </c>
      <c r="M496" s="24">
        <f>+L496/SUMIF(C:C,C496,L:L)</f>
        <v>0.10858143607705788</v>
      </c>
      <c r="N496" s="14"/>
    </row>
    <row r="497" spans="1:17" x14ac:dyDescent="0.25">
      <c r="A497" s="20">
        <v>44519</v>
      </c>
      <c r="B497" s="1">
        <f>B494</f>
        <v>42</v>
      </c>
      <c r="C497" s="1" t="s">
        <v>235</v>
      </c>
      <c r="D497" s="1" t="s">
        <v>236</v>
      </c>
      <c r="E497" s="26" t="e">
        <f t="shared" ref="E497:F497" si="439">+E496</f>
        <v>#REF!</v>
      </c>
      <c r="F497" s="26" t="e">
        <f t="shared" si="439"/>
        <v>#REF!</v>
      </c>
      <c r="G497" s="17">
        <v>4</v>
      </c>
      <c r="H497" s="17" t="s">
        <v>9</v>
      </c>
      <c r="I497" s="30" t="s">
        <v>22</v>
      </c>
      <c r="J497" s="22">
        <v>1.2</v>
      </c>
      <c r="K497" s="22">
        <v>0.55000000000000004</v>
      </c>
      <c r="L497" s="8">
        <f t="shared" si="437"/>
        <v>0.64999999999999991</v>
      </c>
      <c r="M497" s="24">
        <f t="shared" ref="M497:M504" si="440">+L497/SUMIF(C:C,C497,L:L)</f>
        <v>2.2767075306479864E-2</v>
      </c>
      <c r="N497" s="14"/>
    </row>
    <row r="498" spans="1:17" x14ac:dyDescent="0.25">
      <c r="A498" s="20">
        <v>44519</v>
      </c>
      <c r="B498" s="1">
        <f>B494</f>
        <v>42</v>
      </c>
      <c r="C498" s="1" t="s">
        <v>235</v>
      </c>
      <c r="D498" s="1" t="s">
        <v>236</v>
      </c>
      <c r="E498" s="26" t="e">
        <f t="shared" ref="E498:F498" si="441">+E497</f>
        <v>#REF!</v>
      </c>
      <c r="F498" s="26" t="e">
        <f t="shared" si="441"/>
        <v>#REF!</v>
      </c>
      <c r="G498" s="17">
        <v>5</v>
      </c>
      <c r="H498" s="17" t="s">
        <v>9</v>
      </c>
      <c r="I498" s="30" t="s">
        <v>34</v>
      </c>
      <c r="J498" s="22">
        <f>1.1</f>
        <v>1.1000000000000001</v>
      </c>
      <c r="K498" s="22">
        <v>0.55000000000000004</v>
      </c>
      <c r="L498" s="8">
        <f t="shared" si="437"/>
        <v>0.55000000000000004</v>
      </c>
      <c r="M498" s="24">
        <f t="shared" si="440"/>
        <v>1.9264448336252196E-2</v>
      </c>
      <c r="N498" s="14"/>
    </row>
    <row r="499" spans="1:17" x14ac:dyDescent="0.25">
      <c r="A499" s="20">
        <v>44519</v>
      </c>
      <c r="B499" s="1">
        <f>B494</f>
        <v>42</v>
      </c>
      <c r="C499" s="1" t="s">
        <v>235</v>
      </c>
      <c r="D499" s="1" t="s">
        <v>236</v>
      </c>
      <c r="E499" s="26" t="e">
        <f t="shared" ref="E499:F499" si="442">+E498</f>
        <v>#REF!</v>
      </c>
      <c r="F499" s="26" t="e">
        <f t="shared" si="442"/>
        <v>#REF!</v>
      </c>
      <c r="G499" s="17">
        <v>6</v>
      </c>
      <c r="H499" s="17" t="s">
        <v>9</v>
      </c>
      <c r="I499" s="30" t="s">
        <v>35</v>
      </c>
      <c r="J499" s="22"/>
      <c r="K499" s="22"/>
      <c r="L499" s="8">
        <f t="shared" si="437"/>
        <v>0</v>
      </c>
      <c r="M499" s="24">
        <f t="shared" si="440"/>
        <v>0</v>
      </c>
      <c r="N499" s="14"/>
    </row>
    <row r="500" spans="1:17" x14ac:dyDescent="0.25">
      <c r="A500" s="20">
        <v>44519</v>
      </c>
      <c r="B500" s="1">
        <f>B494</f>
        <v>42</v>
      </c>
      <c r="C500" s="1" t="s">
        <v>235</v>
      </c>
      <c r="D500" s="1" t="s">
        <v>236</v>
      </c>
      <c r="E500" s="26" t="e">
        <f t="shared" ref="E500:F500" si="443">+E499</f>
        <v>#REF!</v>
      </c>
      <c r="F500" s="26" t="e">
        <f t="shared" si="443"/>
        <v>#REF!</v>
      </c>
      <c r="G500" s="17">
        <v>7</v>
      </c>
      <c r="H500" s="17" t="s">
        <v>9</v>
      </c>
      <c r="I500" s="30" t="s">
        <v>36</v>
      </c>
      <c r="J500" s="22">
        <f>6.25</f>
        <v>6.25</v>
      </c>
      <c r="K500" s="22">
        <v>6.05</v>
      </c>
      <c r="L500" s="8">
        <f t="shared" si="437"/>
        <v>0.20000000000000018</v>
      </c>
      <c r="M500" s="24">
        <f t="shared" si="440"/>
        <v>7.0052539404553502E-3</v>
      </c>
      <c r="N500" s="14"/>
    </row>
    <row r="501" spans="1:17" x14ac:dyDescent="0.25">
      <c r="A501" s="20">
        <v>44519</v>
      </c>
      <c r="B501" s="1">
        <f>B494</f>
        <v>42</v>
      </c>
      <c r="C501" s="1" t="s">
        <v>235</v>
      </c>
      <c r="D501" s="1" t="s">
        <v>236</v>
      </c>
      <c r="E501" s="26" t="e">
        <f>+E500</f>
        <v>#REF!</v>
      </c>
      <c r="F501" s="26" t="e">
        <f>+F500</f>
        <v>#REF!</v>
      </c>
      <c r="G501" s="17">
        <v>8</v>
      </c>
      <c r="H501" s="17" t="s">
        <v>9</v>
      </c>
      <c r="I501" s="30" t="s">
        <v>59</v>
      </c>
      <c r="J501" s="22">
        <v>2.4500000000000002</v>
      </c>
      <c r="K501" s="22">
        <v>0.55000000000000004</v>
      </c>
      <c r="L501" s="8">
        <f t="shared" si="437"/>
        <v>1.9000000000000001</v>
      </c>
      <c r="M501" s="24">
        <f t="shared" si="440"/>
        <v>6.6549912434325773E-2</v>
      </c>
      <c r="N501" s="14"/>
    </row>
    <row r="502" spans="1:17" x14ac:dyDescent="0.25">
      <c r="A502" s="20">
        <v>44519</v>
      </c>
      <c r="B502" s="1">
        <f>B494</f>
        <v>42</v>
      </c>
      <c r="C502" s="1" t="s">
        <v>235</v>
      </c>
      <c r="D502" s="1" t="s">
        <v>236</v>
      </c>
      <c r="E502" s="26" t="e">
        <f t="shared" ref="E502:F502" si="444">+E501</f>
        <v>#REF!</v>
      </c>
      <c r="F502" s="26" t="e">
        <f t="shared" si="444"/>
        <v>#REF!</v>
      </c>
      <c r="G502" s="17">
        <v>9</v>
      </c>
      <c r="H502" s="17" t="s">
        <v>9</v>
      </c>
      <c r="I502" s="30" t="s">
        <v>38</v>
      </c>
      <c r="J502" s="22">
        <v>0.2</v>
      </c>
      <c r="K502" s="22">
        <v>0</v>
      </c>
      <c r="L502" s="8">
        <f t="shared" si="437"/>
        <v>0.2</v>
      </c>
      <c r="M502" s="24">
        <f t="shared" si="440"/>
        <v>7.0052539404553442E-3</v>
      </c>
      <c r="N502" s="14"/>
    </row>
    <row r="503" spans="1:17" x14ac:dyDescent="0.25">
      <c r="A503" s="20">
        <v>44519</v>
      </c>
      <c r="B503" s="1">
        <f>B494</f>
        <v>42</v>
      </c>
      <c r="C503" s="1" t="s">
        <v>235</v>
      </c>
      <c r="D503" s="1" t="s">
        <v>236</v>
      </c>
      <c r="E503" s="26" t="e">
        <f t="shared" ref="E503:F503" si="445">+E502</f>
        <v>#REF!</v>
      </c>
      <c r="F503" s="26" t="e">
        <f t="shared" si="445"/>
        <v>#REF!</v>
      </c>
      <c r="G503" s="17">
        <v>10</v>
      </c>
      <c r="H503" s="17" t="s">
        <v>9</v>
      </c>
      <c r="I503" s="30" t="s">
        <v>23</v>
      </c>
      <c r="J503" s="22">
        <f>3.25+1.35</f>
        <v>4.5999999999999996</v>
      </c>
      <c r="K503" s="22">
        <f>0.55+0.55</f>
        <v>1.1000000000000001</v>
      </c>
      <c r="L503" s="8">
        <f t="shared" si="437"/>
        <v>3.4999999999999996</v>
      </c>
      <c r="M503" s="24">
        <f t="shared" si="440"/>
        <v>0.1225919439579685</v>
      </c>
      <c r="N503" s="14"/>
    </row>
    <row r="504" spans="1:17" x14ac:dyDescent="0.25">
      <c r="A504" s="20">
        <v>44519</v>
      </c>
      <c r="B504" s="1">
        <f>B494</f>
        <v>42</v>
      </c>
      <c r="C504" s="1" t="s">
        <v>235</v>
      </c>
      <c r="D504" s="1" t="s">
        <v>236</v>
      </c>
      <c r="E504" s="26" t="e">
        <f t="shared" ref="E504:F504" si="446">+E503</f>
        <v>#REF!</v>
      </c>
      <c r="F504" s="26" t="e">
        <f t="shared" si="446"/>
        <v>#REF!</v>
      </c>
      <c r="G504" s="17">
        <v>11</v>
      </c>
      <c r="H504" s="17" t="s">
        <v>9</v>
      </c>
      <c r="I504" s="30" t="s">
        <v>60</v>
      </c>
      <c r="J504" s="22">
        <f>9.7+9.55</f>
        <v>19.25</v>
      </c>
      <c r="K504" s="22">
        <f>8.55+8.3</f>
        <v>16.850000000000001</v>
      </c>
      <c r="L504" s="8">
        <f t="shared" si="437"/>
        <v>2.3999999999999986</v>
      </c>
      <c r="M504" s="24">
        <f t="shared" si="440"/>
        <v>8.4063047285464071E-2</v>
      </c>
      <c r="N504" s="14"/>
    </row>
    <row r="505" spans="1:17" s="2" customFormat="1" ht="120.75" thickBot="1" x14ac:dyDescent="0.3">
      <c r="A505" s="60">
        <v>44519</v>
      </c>
      <c r="B505" s="57">
        <f>B494</f>
        <v>42</v>
      </c>
      <c r="C505" s="57" t="s">
        <v>235</v>
      </c>
      <c r="D505" s="57" t="s">
        <v>236</v>
      </c>
      <c r="E505" s="61" t="e">
        <f t="shared" ref="E505:F505" si="447">+E504</f>
        <v>#REF!</v>
      </c>
      <c r="F505" s="61" t="e">
        <f t="shared" si="447"/>
        <v>#REF!</v>
      </c>
      <c r="G505" s="62">
        <f>+G504+1</f>
        <v>12</v>
      </c>
      <c r="H505" s="62" t="s">
        <v>10</v>
      </c>
      <c r="I505" s="46" t="s">
        <v>10</v>
      </c>
      <c r="J505" s="63">
        <f>11.95+11.55</f>
        <v>23.5</v>
      </c>
      <c r="K505" s="63">
        <f>8.55+8.3</f>
        <v>16.850000000000001</v>
      </c>
      <c r="L505" s="64">
        <f t="shared" si="437"/>
        <v>6.6499999999999986</v>
      </c>
      <c r="M505" s="65">
        <f>+L505/SUMIF(C:C,C505,L:L)</f>
        <v>0.23292469352014014</v>
      </c>
      <c r="N505" s="66" t="s">
        <v>239</v>
      </c>
      <c r="Q505" s="5"/>
    </row>
    <row r="506" spans="1:17" x14ac:dyDescent="0.25">
      <c r="A506" s="19">
        <v>44519</v>
      </c>
      <c r="B506" s="15">
        <f>B494+1</f>
        <v>43</v>
      </c>
      <c r="C506" s="15" t="s">
        <v>243</v>
      </c>
      <c r="D506" s="15" t="s">
        <v>244</v>
      </c>
      <c r="E506" s="25">
        <f>14-1.2</f>
        <v>12.8</v>
      </c>
      <c r="F506" s="25">
        <f>+SUM(L506:L517)</f>
        <v>12.599999999999994</v>
      </c>
      <c r="G506" s="16">
        <v>1</v>
      </c>
      <c r="H506" s="16" t="s">
        <v>9</v>
      </c>
      <c r="I506" s="59" t="s">
        <v>56</v>
      </c>
      <c r="J506" s="21">
        <v>0.65</v>
      </c>
      <c r="K506" s="21">
        <v>0.5</v>
      </c>
      <c r="L506" s="12">
        <f>+J506-K506</f>
        <v>0.15000000000000002</v>
      </c>
      <c r="M506" s="23">
        <f>+L506/SUMIF(C:C,C506,L:L)</f>
        <v>1.1904761904761911E-2</v>
      </c>
      <c r="N506" s="13"/>
      <c r="O506" t="s">
        <v>258</v>
      </c>
    </row>
    <row r="507" spans="1:17" x14ac:dyDescent="0.25">
      <c r="A507" s="20">
        <v>44519</v>
      </c>
      <c r="B507" s="1">
        <f>B506</f>
        <v>43</v>
      </c>
      <c r="C507" s="1" t="s">
        <v>243</v>
      </c>
      <c r="D507" s="1" t="s">
        <v>244</v>
      </c>
      <c r="E507" s="26">
        <f>+E506</f>
        <v>12.8</v>
      </c>
      <c r="F507" s="28">
        <f>+(F506-E506)/E506</f>
        <v>-1.56250000000005E-2</v>
      </c>
      <c r="G507" s="17">
        <v>2</v>
      </c>
      <c r="H507" s="17" t="s">
        <v>9</v>
      </c>
      <c r="I507" s="30" t="s">
        <v>57</v>
      </c>
      <c r="J507" s="22">
        <v>0.75</v>
      </c>
      <c r="K507" s="22">
        <v>0.5</v>
      </c>
      <c r="L507" s="8">
        <f t="shared" ref="L507:L517" si="448">+J507-K507</f>
        <v>0.25</v>
      </c>
      <c r="M507" s="24">
        <f t="shared" ref="M507" si="449">+L507/SUMIF(C:C,C507,L:L)</f>
        <v>1.9841269841269851E-2</v>
      </c>
      <c r="N507" s="14"/>
      <c r="O507" t="s">
        <v>153</v>
      </c>
    </row>
    <row r="508" spans="1:17" x14ac:dyDescent="0.25">
      <c r="A508" s="20">
        <v>44519</v>
      </c>
      <c r="B508" s="1">
        <f>B506</f>
        <v>43</v>
      </c>
      <c r="C508" s="1" t="s">
        <v>243</v>
      </c>
      <c r="D508" s="1" t="s">
        <v>244</v>
      </c>
      <c r="E508" s="26" t="e">
        <f>+#REF!</f>
        <v>#REF!</v>
      </c>
      <c r="F508" s="26" t="e">
        <f>+#REF!</f>
        <v>#REF!</v>
      </c>
      <c r="G508" s="17">
        <v>3</v>
      </c>
      <c r="H508" s="17" t="s">
        <v>9</v>
      </c>
      <c r="I508" s="30" t="s">
        <v>58</v>
      </c>
      <c r="J508" s="22">
        <v>0.05</v>
      </c>
      <c r="K508" s="22">
        <v>0</v>
      </c>
      <c r="L508" s="8">
        <f t="shared" si="448"/>
        <v>0.05</v>
      </c>
      <c r="M508" s="24">
        <f>+L508/SUMIF(C:C,C508,L:L)</f>
        <v>3.9682539682539706E-3</v>
      </c>
      <c r="N508" s="14"/>
    </row>
    <row r="509" spans="1:17" x14ac:dyDescent="0.25">
      <c r="A509" s="20">
        <v>44519</v>
      </c>
      <c r="B509" s="1">
        <f>B506</f>
        <v>43</v>
      </c>
      <c r="C509" s="1" t="s">
        <v>243</v>
      </c>
      <c r="D509" s="1" t="s">
        <v>244</v>
      </c>
      <c r="E509" s="26" t="e">
        <f t="shared" ref="E509:F509" si="450">+E508</f>
        <v>#REF!</v>
      </c>
      <c r="F509" s="26" t="e">
        <f t="shared" si="450"/>
        <v>#REF!</v>
      </c>
      <c r="G509" s="17">
        <v>4</v>
      </c>
      <c r="H509" s="17" t="s">
        <v>9</v>
      </c>
      <c r="I509" s="30" t="s">
        <v>22</v>
      </c>
      <c r="J509" s="22">
        <v>0.6</v>
      </c>
      <c r="K509" s="22">
        <v>0.55000000000000004</v>
      </c>
      <c r="L509" s="8">
        <f t="shared" si="448"/>
        <v>4.9999999999999933E-2</v>
      </c>
      <c r="M509" s="24">
        <f t="shared" ref="M509:M516" si="451">+L509/SUMIF(C:C,C509,L:L)</f>
        <v>3.9682539682539646E-3</v>
      </c>
      <c r="N509" s="14"/>
    </row>
    <row r="510" spans="1:17" x14ac:dyDescent="0.25">
      <c r="A510" s="20">
        <v>44519</v>
      </c>
      <c r="B510" s="1">
        <f>B506</f>
        <v>43</v>
      </c>
      <c r="C510" s="1" t="s">
        <v>243</v>
      </c>
      <c r="D510" s="1" t="s">
        <v>244</v>
      </c>
      <c r="E510" s="26" t="e">
        <f t="shared" ref="E510:F510" si="452">+E509</f>
        <v>#REF!</v>
      </c>
      <c r="F510" s="26" t="e">
        <f t="shared" si="452"/>
        <v>#REF!</v>
      </c>
      <c r="G510" s="17">
        <v>5</v>
      </c>
      <c r="H510" s="17" t="s">
        <v>9</v>
      </c>
      <c r="I510" s="30" t="s">
        <v>34</v>
      </c>
      <c r="J510" s="22">
        <v>0</v>
      </c>
      <c r="K510" s="22">
        <v>0</v>
      </c>
      <c r="L510" s="8">
        <f t="shared" si="448"/>
        <v>0</v>
      </c>
      <c r="M510" s="24">
        <f t="shared" si="451"/>
        <v>0</v>
      </c>
      <c r="N510" s="14"/>
    </row>
    <row r="511" spans="1:17" x14ac:dyDescent="0.25">
      <c r="A511" s="20">
        <v>44519</v>
      </c>
      <c r="B511" s="1">
        <f>B506</f>
        <v>43</v>
      </c>
      <c r="C511" s="1" t="s">
        <v>243</v>
      </c>
      <c r="D511" s="1" t="s">
        <v>244</v>
      </c>
      <c r="E511" s="26" t="e">
        <f t="shared" ref="E511:F511" si="453">+E510</f>
        <v>#REF!</v>
      </c>
      <c r="F511" s="26" t="e">
        <f t="shared" si="453"/>
        <v>#REF!</v>
      </c>
      <c r="G511" s="17">
        <v>6</v>
      </c>
      <c r="H511" s="17" t="s">
        <v>9</v>
      </c>
      <c r="I511" s="30" t="s">
        <v>35</v>
      </c>
      <c r="J511" s="22">
        <v>0</v>
      </c>
      <c r="K511" s="22">
        <v>0</v>
      </c>
      <c r="L511" s="8">
        <f t="shared" si="448"/>
        <v>0</v>
      </c>
      <c r="M511" s="24">
        <f t="shared" si="451"/>
        <v>0</v>
      </c>
      <c r="N511" s="14"/>
    </row>
    <row r="512" spans="1:17" x14ac:dyDescent="0.25">
      <c r="A512" s="20">
        <v>44519</v>
      </c>
      <c r="B512" s="1">
        <f>B506</f>
        <v>43</v>
      </c>
      <c r="C512" s="1" t="s">
        <v>243</v>
      </c>
      <c r="D512" s="1" t="s">
        <v>244</v>
      </c>
      <c r="E512" s="26" t="e">
        <f t="shared" ref="E512:F512" si="454">+E511</f>
        <v>#REF!</v>
      </c>
      <c r="F512" s="26" t="e">
        <f t="shared" si="454"/>
        <v>#REF!</v>
      </c>
      <c r="G512" s="17">
        <v>7</v>
      </c>
      <c r="H512" s="17" t="s">
        <v>9</v>
      </c>
      <c r="I512" s="30" t="s">
        <v>36</v>
      </c>
      <c r="J512" s="22">
        <v>0</v>
      </c>
      <c r="K512" s="22">
        <v>0</v>
      </c>
      <c r="L512" s="8">
        <f t="shared" si="448"/>
        <v>0</v>
      </c>
      <c r="M512" s="24">
        <f t="shared" si="451"/>
        <v>0</v>
      </c>
      <c r="N512" s="14"/>
    </row>
    <row r="513" spans="1:17" x14ac:dyDescent="0.25">
      <c r="A513" s="20">
        <v>44519</v>
      </c>
      <c r="B513" s="1">
        <f>B506</f>
        <v>43</v>
      </c>
      <c r="C513" s="1" t="s">
        <v>243</v>
      </c>
      <c r="D513" s="1" t="s">
        <v>244</v>
      </c>
      <c r="E513" s="26" t="e">
        <f>+E512</f>
        <v>#REF!</v>
      </c>
      <c r="F513" s="26" t="e">
        <f>+F512</f>
        <v>#REF!</v>
      </c>
      <c r="G513" s="17">
        <v>8</v>
      </c>
      <c r="H513" s="17" t="s">
        <v>9</v>
      </c>
      <c r="I513" s="30" t="s">
        <v>59</v>
      </c>
      <c r="J513" s="22">
        <f>9.2+9.05</f>
        <v>18.25</v>
      </c>
      <c r="K513" s="22">
        <f>8.55+8.55</f>
        <v>17.100000000000001</v>
      </c>
      <c r="L513" s="8">
        <f t="shared" si="448"/>
        <v>1.1499999999999986</v>
      </c>
      <c r="M513" s="24">
        <f t="shared" si="451"/>
        <v>9.1269841269841195E-2</v>
      </c>
      <c r="N513" s="14"/>
    </row>
    <row r="514" spans="1:17" x14ac:dyDescent="0.25">
      <c r="A514" s="20">
        <v>44519</v>
      </c>
      <c r="B514" s="1">
        <f>B506</f>
        <v>43</v>
      </c>
      <c r="C514" s="1" t="s">
        <v>243</v>
      </c>
      <c r="D514" s="1" t="s">
        <v>244</v>
      </c>
      <c r="E514" s="26" t="e">
        <f t="shared" ref="E514:F514" si="455">+E513</f>
        <v>#REF!</v>
      </c>
      <c r="F514" s="26" t="e">
        <f t="shared" si="455"/>
        <v>#REF!</v>
      </c>
      <c r="G514" s="17">
        <v>9</v>
      </c>
      <c r="H514" s="17" t="s">
        <v>9</v>
      </c>
      <c r="I514" s="30" t="s">
        <v>38</v>
      </c>
      <c r="J514" s="22">
        <v>0.55000000000000004</v>
      </c>
      <c r="K514" s="22">
        <v>0.5</v>
      </c>
      <c r="L514" s="8">
        <f t="shared" si="448"/>
        <v>5.0000000000000044E-2</v>
      </c>
      <c r="M514" s="24">
        <f t="shared" si="451"/>
        <v>3.9682539682539732E-3</v>
      </c>
      <c r="N514" s="14"/>
    </row>
    <row r="515" spans="1:17" x14ac:dyDescent="0.25">
      <c r="A515" s="20">
        <v>44519</v>
      </c>
      <c r="B515" s="1">
        <f>B506</f>
        <v>43</v>
      </c>
      <c r="C515" s="1" t="s">
        <v>243</v>
      </c>
      <c r="D515" s="1" t="s">
        <v>244</v>
      </c>
      <c r="E515" s="26" t="e">
        <f t="shared" ref="E515:F515" si="456">+E514</f>
        <v>#REF!</v>
      </c>
      <c r="F515" s="26" t="e">
        <f t="shared" si="456"/>
        <v>#REF!</v>
      </c>
      <c r="G515" s="17">
        <v>10</v>
      </c>
      <c r="H515" s="17" t="s">
        <v>9</v>
      </c>
      <c r="I515" s="30" t="s">
        <v>23</v>
      </c>
      <c r="J515" s="22">
        <f>11.85+11.4+9.8+10.45</f>
        <v>43.5</v>
      </c>
      <c r="K515" s="22">
        <f>8.3+8.55+8.3+8.55</f>
        <v>33.700000000000003</v>
      </c>
      <c r="L515" s="8">
        <f t="shared" si="448"/>
        <v>9.7999999999999972</v>
      </c>
      <c r="M515" s="24">
        <f t="shared" si="451"/>
        <v>0.7777777777777779</v>
      </c>
      <c r="N515" s="14"/>
    </row>
    <row r="516" spans="1:17" x14ac:dyDescent="0.25">
      <c r="A516" s="20">
        <v>44519</v>
      </c>
      <c r="B516" s="1">
        <f>B506</f>
        <v>43</v>
      </c>
      <c r="C516" s="1" t="s">
        <v>243</v>
      </c>
      <c r="D516" s="1" t="s">
        <v>244</v>
      </c>
      <c r="E516" s="26" t="e">
        <f t="shared" ref="E516:F516" si="457">+E515</f>
        <v>#REF!</v>
      </c>
      <c r="F516" s="26" t="e">
        <f t="shared" si="457"/>
        <v>#REF!</v>
      </c>
      <c r="G516" s="17">
        <v>11</v>
      </c>
      <c r="H516" s="17" t="s">
        <v>9</v>
      </c>
      <c r="I516" s="30" t="s">
        <v>60</v>
      </c>
      <c r="J516" s="22">
        <f>8.6</f>
        <v>8.6</v>
      </c>
      <c r="K516" s="22">
        <f>8.55</f>
        <v>8.5500000000000007</v>
      </c>
      <c r="L516" s="8">
        <f t="shared" si="448"/>
        <v>4.9999999999998934E-2</v>
      </c>
      <c r="M516" s="24">
        <f t="shared" si="451"/>
        <v>3.9682539682538856E-3</v>
      </c>
      <c r="N516" s="14"/>
    </row>
    <row r="517" spans="1:17" s="2" customFormat="1" ht="15.75" thickBot="1" x14ac:dyDescent="0.3">
      <c r="A517" s="60">
        <v>44519</v>
      </c>
      <c r="B517" s="57">
        <f>B506</f>
        <v>43</v>
      </c>
      <c r="C517" s="57" t="s">
        <v>243</v>
      </c>
      <c r="D517" s="57" t="s">
        <v>244</v>
      </c>
      <c r="E517" s="61" t="e">
        <f t="shared" ref="E517:F517" si="458">+E516</f>
        <v>#REF!</v>
      </c>
      <c r="F517" s="61" t="e">
        <f t="shared" si="458"/>
        <v>#REF!</v>
      </c>
      <c r="G517" s="62">
        <f>+G516+1</f>
        <v>12</v>
      </c>
      <c r="H517" s="62" t="s">
        <v>10</v>
      </c>
      <c r="I517" s="46" t="s">
        <v>10</v>
      </c>
      <c r="J517" s="63">
        <f>9.35</f>
        <v>9.35</v>
      </c>
      <c r="K517" s="63">
        <f>8.3</f>
        <v>8.3000000000000007</v>
      </c>
      <c r="L517" s="64">
        <f t="shared" si="448"/>
        <v>1.0499999999999989</v>
      </c>
      <c r="M517" s="65">
        <f>+L517/SUMIF(C:C,C517,L:L)</f>
        <v>8.3333333333333287E-2</v>
      </c>
      <c r="N517" s="66"/>
      <c r="Q517" s="5"/>
    </row>
    <row r="518" spans="1:17" x14ac:dyDescent="0.25">
      <c r="A518" s="19">
        <v>44519</v>
      </c>
      <c r="B518" s="15">
        <f>B506+1</f>
        <v>44</v>
      </c>
      <c r="C518" s="15" t="s">
        <v>245</v>
      </c>
      <c r="D518" s="15" t="s">
        <v>246</v>
      </c>
      <c r="E518" s="25">
        <f>34-1.2</f>
        <v>32.799999999999997</v>
      </c>
      <c r="F518" s="25">
        <f>+SUM(L518:L529)</f>
        <v>32.6</v>
      </c>
      <c r="G518" s="16">
        <v>1</v>
      </c>
      <c r="H518" s="16" t="s">
        <v>9</v>
      </c>
      <c r="I518" s="59" t="s">
        <v>56</v>
      </c>
      <c r="J518" s="21"/>
      <c r="K518" s="21"/>
      <c r="L518" s="12">
        <f>+J518-K518</f>
        <v>0</v>
      </c>
      <c r="M518" s="23">
        <f>+L518/SUMIF(C:C,C518,L:L)</f>
        <v>0</v>
      </c>
      <c r="N518" s="13"/>
      <c r="O518" t="s">
        <v>258</v>
      </c>
    </row>
    <row r="519" spans="1:17" x14ac:dyDescent="0.25">
      <c r="A519" s="20">
        <v>44519</v>
      </c>
      <c r="B519" s="1">
        <f>B518</f>
        <v>44</v>
      </c>
      <c r="C519" s="1" t="s">
        <v>245</v>
      </c>
      <c r="D519" s="1" t="s">
        <v>246</v>
      </c>
      <c r="E519" s="26">
        <f>+E518</f>
        <v>32.799999999999997</v>
      </c>
      <c r="F519" s="28">
        <f>+(F518-E518)/E518</f>
        <v>-6.0975609756096271E-3</v>
      </c>
      <c r="G519" s="17">
        <v>2</v>
      </c>
      <c r="H519" s="17" t="s">
        <v>9</v>
      </c>
      <c r="I519" s="30" t="s">
        <v>57</v>
      </c>
      <c r="J519" s="22">
        <v>0.7</v>
      </c>
      <c r="K519" s="22">
        <v>0.55000000000000004</v>
      </c>
      <c r="L519" s="8">
        <f t="shared" ref="L519:L529" si="459">+J519-K519</f>
        <v>0.14999999999999991</v>
      </c>
      <c r="M519" s="24">
        <f t="shared" ref="M519" si="460">+L519/SUMIF(C:C,C519,L:L)</f>
        <v>4.6012269938650275E-3</v>
      </c>
      <c r="N519" s="14"/>
      <c r="O519" t="s">
        <v>159</v>
      </c>
    </row>
    <row r="520" spans="1:17" x14ac:dyDescent="0.25">
      <c r="A520" s="20">
        <v>44519</v>
      </c>
      <c r="B520" s="1">
        <f>B518</f>
        <v>44</v>
      </c>
      <c r="C520" s="1" t="s">
        <v>245</v>
      </c>
      <c r="D520" s="1" t="s">
        <v>246</v>
      </c>
      <c r="E520" s="26" t="e">
        <f>+#REF!</f>
        <v>#REF!</v>
      </c>
      <c r="F520" s="26" t="e">
        <f>+#REF!</f>
        <v>#REF!</v>
      </c>
      <c r="G520" s="17">
        <v>3</v>
      </c>
      <c r="H520" s="17" t="s">
        <v>9</v>
      </c>
      <c r="I520" s="30" t="s">
        <v>58</v>
      </c>
      <c r="J520" s="22"/>
      <c r="K520" s="22"/>
      <c r="L520" s="8">
        <f t="shared" si="459"/>
        <v>0</v>
      </c>
      <c r="M520" s="24">
        <f>+L520/SUMIF(C:C,C520,L:L)</f>
        <v>0</v>
      </c>
      <c r="N520" s="14"/>
    </row>
    <row r="521" spans="1:17" x14ac:dyDescent="0.25">
      <c r="A521" s="20">
        <v>44519</v>
      </c>
      <c r="B521" s="1">
        <f>B518</f>
        <v>44</v>
      </c>
      <c r="C521" s="1" t="s">
        <v>245</v>
      </c>
      <c r="D521" s="1" t="s">
        <v>246</v>
      </c>
      <c r="E521" s="26" t="e">
        <f t="shared" ref="E521:F521" si="461">+E520</f>
        <v>#REF!</v>
      </c>
      <c r="F521" s="26" t="e">
        <f t="shared" si="461"/>
        <v>#REF!</v>
      </c>
      <c r="G521" s="17">
        <v>4</v>
      </c>
      <c r="H521" s="17" t="s">
        <v>9</v>
      </c>
      <c r="I521" s="30" t="s">
        <v>22</v>
      </c>
      <c r="J521" s="22">
        <v>0.6</v>
      </c>
      <c r="K521" s="22">
        <v>0.55000000000000004</v>
      </c>
      <c r="L521" s="8">
        <f t="shared" si="459"/>
        <v>4.9999999999999933E-2</v>
      </c>
      <c r="M521" s="24">
        <f t="shared" ref="M521:M528" si="462">+L521/SUMIF(C:C,C521,L:L)</f>
        <v>1.5337423312883414E-3</v>
      </c>
      <c r="N521" s="14"/>
    </row>
    <row r="522" spans="1:17" x14ac:dyDescent="0.25">
      <c r="A522" s="20">
        <v>44519</v>
      </c>
      <c r="B522" s="1">
        <f>B518</f>
        <v>44</v>
      </c>
      <c r="C522" s="1" t="s">
        <v>245</v>
      </c>
      <c r="D522" s="1" t="s">
        <v>246</v>
      </c>
      <c r="E522" s="26" t="e">
        <f t="shared" ref="E522:F522" si="463">+E521</f>
        <v>#REF!</v>
      </c>
      <c r="F522" s="26" t="e">
        <f t="shared" si="463"/>
        <v>#REF!</v>
      </c>
      <c r="G522" s="17">
        <v>5</v>
      </c>
      <c r="H522" s="17" t="s">
        <v>9</v>
      </c>
      <c r="I522" s="30" t="s">
        <v>34</v>
      </c>
      <c r="J522" s="22">
        <v>0.6</v>
      </c>
      <c r="K522" s="22">
        <v>0.55000000000000004</v>
      </c>
      <c r="L522" s="8">
        <f t="shared" si="459"/>
        <v>4.9999999999999933E-2</v>
      </c>
      <c r="M522" s="24">
        <f t="shared" si="462"/>
        <v>1.5337423312883414E-3</v>
      </c>
      <c r="N522" s="14"/>
    </row>
    <row r="523" spans="1:17" x14ac:dyDescent="0.25">
      <c r="A523" s="20">
        <v>44519</v>
      </c>
      <c r="B523" s="1">
        <f>B518</f>
        <v>44</v>
      </c>
      <c r="C523" s="1" t="s">
        <v>245</v>
      </c>
      <c r="D523" s="1" t="s">
        <v>246</v>
      </c>
      <c r="E523" s="26" t="e">
        <f t="shared" ref="E523:F523" si="464">+E522</f>
        <v>#REF!</v>
      </c>
      <c r="F523" s="26" t="e">
        <f t="shared" si="464"/>
        <v>#REF!</v>
      </c>
      <c r="G523" s="17">
        <v>6</v>
      </c>
      <c r="H523" s="17" t="s">
        <v>9</v>
      </c>
      <c r="I523" s="30" t="s">
        <v>35</v>
      </c>
      <c r="J523" s="22"/>
      <c r="K523" s="22"/>
      <c r="L523" s="8">
        <f t="shared" si="459"/>
        <v>0</v>
      </c>
      <c r="M523" s="24">
        <f t="shared" si="462"/>
        <v>0</v>
      </c>
      <c r="N523" s="14"/>
    </row>
    <row r="524" spans="1:17" x14ac:dyDescent="0.25">
      <c r="A524" s="20">
        <v>44519</v>
      </c>
      <c r="B524" s="1">
        <f>B518</f>
        <v>44</v>
      </c>
      <c r="C524" s="1" t="s">
        <v>245</v>
      </c>
      <c r="D524" s="1" t="s">
        <v>246</v>
      </c>
      <c r="E524" s="26" t="e">
        <f t="shared" ref="E524:F524" si="465">+E523</f>
        <v>#REF!</v>
      </c>
      <c r="F524" s="26" t="e">
        <f t="shared" si="465"/>
        <v>#REF!</v>
      </c>
      <c r="G524" s="17">
        <v>7</v>
      </c>
      <c r="H524" s="17" t="s">
        <v>9</v>
      </c>
      <c r="I524" s="30" t="s">
        <v>36</v>
      </c>
      <c r="J524" s="22">
        <v>6.8</v>
      </c>
      <c r="K524" s="22">
        <v>6.05</v>
      </c>
      <c r="L524" s="8">
        <f t="shared" si="459"/>
        <v>0.75</v>
      </c>
      <c r="M524" s="24">
        <f t="shared" si="462"/>
        <v>2.3006134969325152E-2</v>
      </c>
      <c r="N524" s="14"/>
    </row>
    <row r="525" spans="1:17" x14ac:dyDescent="0.25">
      <c r="A525" s="20">
        <v>44519</v>
      </c>
      <c r="B525" s="1">
        <f>B518</f>
        <v>44</v>
      </c>
      <c r="C525" s="1" t="s">
        <v>245</v>
      </c>
      <c r="D525" s="1" t="s">
        <v>246</v>
      </c>
      <c r="E525" s="26" t="e">
        <f>+E524</f>
        <v>#REF!</v>
      </c>
      <c r="F525" s="26" t="e">
        <f>+F524</f>
        <v>#REF!</v>
      </c>
      <c r="G525" s="17">
        <v>8</v>
      </c>
      <c r="H525" s="17" t="s">
        <v>9</v>
      </c>
      <c r="I525" s="30" t="s">
        <v>59</v>
      </c>
      <c r="J525" s="22">
        <f>14.05+14.65+13.45+13.7</f>
        <v>55.850000000000009</v>
      </c>
      <c r="K525" s="22">
        <f>8.3+8.5+8.25+8.55</f>
        <v>33.6</v>
      </c>
      <c r="L525" s="8">
        <f t="shared" si="459"/>
        <v>22.250000000000007</v>
      </c>
      <c r="M525" s="24">
        <f t="shared" si="462"/>
        <v>0.68251533742331305</v>
      </c>
      <c r="N525" s="14"/>
    </row>
    <row r="526" spans="1:17" x14ac:dyDescent="0.25">
      <c r="A526" s="20">
        <v>44519</v>
      </c>
      <c r="B526" s="1">
        <f>B518</f>
        <v>44</v>
      </c>
      <c r="C526" s="1" t="s">
        <v>245</v>
      </c>
      <c r="D526" s="1" t="s">
        <v>246</v>
      </c>
      <c r="E526" s="26" t="e">
        <f t="shared" ref="E526:F526" si="466">+E525</f>
        <v>#REF!</v>
      </c>
      <c r="F526" s="26" t="e">
        <f t="shared" si="466"/>
        <v>#REF!</v>
      </c>
      <c r="G526" s="17">
        <v>9</v>
      </c>
      <c r="H526" s="17" t="s">
        <v>9</v>
      </c>
      <c r="I526" s="30" t="s">
        <v>38</v>
      </c>
      <c r="J526" s="22">
        <v>0.85</v>
      </c>
      <c r="K526" s="22">
        <v>0.5</v>
      </c>
      <c r="L526" s="8">
        <f t="shared" si="459"/>
        <v>0.35</v>
      </c>
      <c r="M526" s="24">
        <f t="shared" si="462"/>
        <v>1.0736196319018404E-2</v>
      </c>
      <c r="N526" s="14"/>
    </row>
    <row r="527" spans="1:17" x14ac:dyDescent="0.25">
      <c r="A527" s="20">
        <v>44519</v>
      </c>
      <c r="B527" s="1">
        <f>B518</f>
        <v>44</v>
      </c>
      <c r="C527" s="1" t="s">
        <v>245</v>
      </c>
      <c r="D527" s="1" t="s">
        <v>246</v>
      </c>
      <c r="E527" s="26" t="e">
        <f t="shared" ref="E527:F527" si="467">+E526</f>
        <v>#REF!</v>
      </c>
      <c r="F527" s="26" t="e">
        <f t="shared" si="467"/>
        <v>#REF!</v>
      </c>
      <c r="G527" s="17">
        <v>10</v>
      </c>
      <c r="H527" s="17" t="s">
        <v>9</v>
      </c>
      <c r="I527" s="30" t="s">
        <v>23</v>
      </c>
      <c r="J527" s="22">
        <f>11.35+11.7</f>
        <v>23.049999999999997</v>
      </c>
      <c r="K527" s="22">
        <f>8.3+8.55</f>
        <v>16.850000000000001</v>
      </c>
      <c r="L527" s="8">
        <f t="shared" si="459"/>
        <v>6.1999999999999957</v>
      </c>
      <c r="M527" s="24">
        <f t="shared" si="462"/>
        <v>0.19018404907975447</v>
      </c>
      <c r="N527" s="14"/>
    </row>
    <row r="528" spans="1:17" x14ac:dyDescent="0.25">
      <c r="A528" s="20">
        <v>44519</v>
      </c>
      <c r="B528" s="1">
        <f>B518</f>
        <v>44</v>
      </c>
      <c r="C528" s="1" t="s">
        <v>245</v>
      </c>
      <c r="D528" s="1" t="s">
        <v>246</v>
      </c>
      <c r="E528" s="26" t="e">
        <f t="shared" ref="E528:F528" si="468">+E527</f>
        <v>#REF!</v>
      </c>
      <c r="F528" s="26" t="e">
        <f t="shared" si="468"/>
        <v>#REF!</v>
      </c>
      <c r="G528" s="17">
        <v>11</v>
      </c>
      <c r="H528" s="17" t="s">
        <v>9</v>
      </c>
      <c r="I528" s="30" t="s">
        <v>60</v>
      </c>
      <c r="J528" s="22">
        <v>0.65</v>
      </c>
      <c r="K528" s="22">
        <v>0.55000000000000004</v>
      </c>
      <c r="L528" s="8">
        <f t="shared" si="459"/>
        <v>9.9999999999999978E-2</v>
      </c>
      <c r="M528" s="24">
        <f t="shared" si="462"/>
        <v>3.0674846625766863E-3</v>
      </c>
      <c r="N528" s="14"/>
    </row>
    <row r="529" spans="1:17" s="2" customFormat="1" ht="60.75" thickBot="1" x14ac:dyDescent="0.3">
      <c r="A529" s="60">
        <v>44519</v>
      </c>
      <c r="B529" s="57">
        <f>B518</f>
        <v>44</v>
      </c>
      <c r="C529" s="57" t="s">
        <v>245</v>
      </c>
      <c r="D529" s="57" t="s">
        <v>246</v>
      </c>
      <c r="E529" s="61" t="e">
        <f t="shared" ref="E529:F529" si="469">+E528</f>
        <v>#REF!</v>
      </c>
      <c r="F529" s="61" t="e">
        <f t="shared" si="469"/>
        <v>#REF!</v>
      </c>
      <c r="G529" s="62">
        <f>+G528+1</f>
        <v>12</v>
      </c>
      <c r="H529" s="62" t="s">
        <v>10</v>
      </c>
      <c r="I529" s="46" t="s">
        <v>10</v>
      </c>
      <c r="J529" s="63">
        <f>9.95+9.85</f>
        <v>19.799999999999997</v>
      </c>
      <c r="K529" s="63">
        <f>8.55+8.55</f>
        <v>17.100000000000001</v>
      </c>
      <c r="L529" s="64">
        <f t="shared" si="459"/>
        <v>2.6999999999999957</v>
      </c>
      <c r="M529" s="65">
        <f>+L529/SUMIF(C:C,C529,L:L)</f>
        <v>8.2822085889570421E-2</v>
      </c>
      <c r="N529" s="66" t="s">
        <v>259</v>
      </c>
      <c r="Q529" s="5"/>
    </row>
    <row r="530" spans="1:17" x14ac:dyDescent="0.25">
      <c r="A530" s="19">
        <v>44519</v>
      </c>
      <c r="B530" s="15">
        <f>B518+1</f>
        <v>45</v>
      </c>
      <c r="C530" s="15" t="s">
        <v>247</v>
      </c>
      <c r="D530" s="15" t="s">
        <v>248</v>
      </c>
      <c r="E530" s="25">
        <f>5-1.2</f>
        <v>3.8</v>
      </c>
      <c r="F530" s="25">
        <f>+SUM(L530:L541)</f>
        <v>3.6999999999999926</v>
      </c>
      <c r="G530" s="16">
        <v>1</v>
      </c>
      <c r="H530" s="16" t="s">
        <v>9</v>
      </c>
      <c r="I530" s="59" t="s">
        <v>56</v>
      </c>
      <c r="J530" s="21">
        <v>0.9</v>
      </c>
      <c r="K530" s="21">
        <v>0.55000000000000004</v>
      </c>
      <c r="L530" s="12">
        <f>+J530-K530</f>
        <v>0.35</v>
      </c>
      <c r="M530" s="23">
        <f>+L530/SUMIF(C:C,C530,L:L)</f>
        <v>9.459459459459478E-2</v>
      </c>
      <c r="N530" s="13"/>
      <c r="O530" t="s">
        <v>280</v>
      </c>
    </row>
    <row r="531" spans="1:17" x14ac:dyDescent="0.25">
      <c r="A531" s="20">
        <v>44519</v>
      </c>
      <c r="B531" s="1">
        <f>B530</f>
        <v>45</v>
      </c>
      <c r="C531" s="1" t="s">
        <v>247</v>
      </c>
      <c r="D531" s="1" t="s">
        <v>248</v>
      </c>
      <c r="E531" s="26">
        <f>+E530</f>
        <v>3.8</v>
      </c>
      <c r="F531" s="28">
        <f>+(F530-E530)/E530</f>
        <v>-2.6315789473686103E-2</v>
      </c>
      <c r="G531" s="17">
        <v>2</v>
      </c>
      <c r="H531" s="17" t="s">
        <v>9</v>
      </c>
      <c r="I531" s="30" t="s">
        <v>57</v>
      </c>
      <c r="J531" s="22">
        <v>9.4</v>
      </c>
      <c r="K531" s="22">
        <v>8.5500000000000007</v>
      </c>
      <c r="L531" s="8">
        <f t="shared" ref="L531:L541" si="470">+J531-K531</f>
        <v>0.84999999999999964</v>
      </c>
      <c r="M531" s="24">
        <f t="shared" ref="M531" si="471">+L531/SUMIF(C:C,C531,L:L)</f>
        <v>0.2297297297297301</v>
      </c>
      <c r="N531" s="14"/>
      <c r="O531" t="s">
        <v>282</v>
      </c>
    </row>
    <row r="532" spans="1:17" x14ac:dyDescent="0.25">
      <c r="A532" s="20">
        <v>44519</v>
      </c>
      <c r="B532" s="1">
        <f>B530</f>
        <v>45</v>
      </c>
      <c r="C532" s="1" t="s">
        <v>247</v>
      </c>
      <c r="D532" s="1" t="s">
        <v>248</v>
      </c>
      <c r="E532" s="26" t="e">
        <f>+#REF!</f>
        <v>#REF!</v>
      </c>
      <c r="F532" s="26" t="e">
        <f>+#REF!</f>
        <v>#REF!</v>
      </c>
      <c r="G532" s="17">
        <v>3</v>
      </c>
      <c r="H532" s="17" t="s">
        <v>9</v>
      </c>
      <c r="I532" s="30" t="s">
        <v>58</v>
      </c>
      <c r="J532" s="22">
        <v>0.55000000000000004</v>
      </c>
      <c r="K532" s="22">
        <v>0.5</v>
      </c>
      <c r="L532" s="8">
        <f t="shared" si="470"/>
        <v>5.0000000000000044E-2</v>
      </c>
      <c r="M532" s="24">
        <f>+L532/SUMIF(C:C,C532,L:L)</f>
        <v>1.3513513513513552E-2</v>
      </c>
      <c r="N532" s="14"/>
    </row>
    <row r="533" spans="1:17" x14ac:dyDescent="0.25">
      <c r="A533" s="20">
        <v>44519</v>
      </c>
      <c r="B533" s="1">
        <f>B530</f>
        <v>45</v>
      </c>
      <c r="C533" s="1" t="s">
        <v>247</v>
      </c>
      <c r="D533" s="1" t="s">
        <v>248</v>
      </c>
      <c r="E533" s="26" t="e">
        <f t="shared" ref="E533:F533" si="472">+E532</f>
        <v>#REF!</v>
      </c>
      <c r="F533" s="26" t="e">
        <f t="shared" si="472"/>
        <v>#REF!</v>
      </c>
      <c r="G533" s="17">
        <v>4</v>
      </c>
      <c r="H533" s="17" t="s">
        <v>9</v>
      </c>
      <c r="I533" s="30" t="s">
        <v>22</v>
      </c>
      <c r="J533" s="22"/>
      <c r="K533" s="22"/>
      <c r="L533" s="8">
        <f t="shared" si="470"/>
        <v>0</v>
      </c>
      <c r="M533" s="24">
        <f t="shared" ref="M533:M540" si="473">+L533/SUMIF(C:C,C533,L:L)</f>
        <v>0</v>
      </c>
      <c r="N533" s="14"/>
    </row>
    <row r="534" spans="1:17" x14ac:dyDescent="0.25">
      <c r="A534" s="20">
        <v>44519</v>
      </c>
      <c r="B534" s="1">
        <f>B530</f>
        <v>45</v>
      </c>
      <c r="C534" s="1" t="s">
        <v>247</v>
      </c>
      <c r="D534" s="1" t="s">
        <v>248</v>
      </c>
      <c r="E534" s="26" t="e">
        <f t="shared" ref="E534:F534" si="474">+E533</f>
        <v>#REF!</v>
      </c>
      <c r="F534" s="26" t="e">
        <f t="shared" si="474"/>
        <v>#REF!</v>
      </c>
      <c r="G534" s="17">
        <v>5</v>
      </c>
      <c r="H534" s="17" t="s">
        <v>9</v>
      </c>
      <c r="I534" s="30" t="s">
        <v>34</v>
      </c>
      <c r="J534" s="22"/>
      <c r="K534" s="22"/>
      <c r="L534" s="8">
        <f t="shared" si="470"/>
        <v>0</v>
      </c>
      <c r="M534" s="24">
        <f t="shared" si="473"/>
        <v>0</v>
      </c>
      <c r="N534" s="14"/>
    </row>
    <row r="535" spans="1:17" x14ac:dyDescent="0.25">
      <c r="A535" s="20">
        <v>44519</v>
      </c>
      <c r="B535" s="1">
        <f>B530</f>
        <v>45</v>
      </c>
      <c r="C535" s="1" t="s">
        <v>247</v>
      </c>
      <c r="D535" s="1" t="s">
        <v>248</v>
      </c>
      <c r="E535" s="26" t="e">
        <f t="shared" ref="E535:F535" si="475">+E534</f>
        <v>#REF!</v>
      </c>
      <c r="F535" s="26" t="e">
        <f t="shared" si="475"/>
        <v>#REF!</v>
      </c>
      <c r="G535" s="17">
        <v>6</v>
      </c>
      <c r="H535" s="17" t="s">
        <v>9</v>
      </c>
      <c r="I535" s="30" t="s">
        <v>35</v>
      </c>
      <c r="J535" s="22">
        <v>0.6</v>
      </c>
      <c r="K535" s="22">
        <v>0.55000000000000004</v>
      </c>
      <c r="L535" s="8">
        <f t="shared" si="470"/>
        <v>4.9999999999999933E-2</v>
      </c>
      <c r="M535" s="24">
        <f t="shared" si="473"/>
        <v>1.3513513513513523E-2</v>
      </c>
      <c r="N535" s="14"/>
    </row>
    <row r="536" spans="1:17" x14ac:dyDescent="0.25">
      <c r="A536" s="20">
        <v>44519</v>
      </c>
      <c r="B536" s="1">
        <f>B530</f>
        <v>45</v>
      </c>
      <c r="C536" s="1" t="s">
        <v>247</v>
      </c>
      <c r="D536" s="1" t="s">
        <v>248</v>
      </c>
      <c r="E536" s="26" t="e">
        <f t="shared" ref="E536:F536" si="476">+E535</f>
        <v>#REF!</v>
      </c>
      <c r="F536" s="26" t="e">
        <f t="shared" si="476"/>
        <v>#REF!</v>
      </c>
      <c r="G536" s="17">
        <v>7</v>
      </c>
      <c r="H536" s="17" t="s">
        <v>9</v>
      </c>
      <c r="I536" s="30" t="s">
        <v>36</v>
      </c>
      <c r="J536" s="22">
        <f>8.4+0.75</f>
        <v>9.15</v>
      </c>
      <c r="K536" s="22">
        <f>8.3+0.55</f>
        <v>8.8500000000000014</v>
      </c>
      <c r="L536" s="8">
        <f t="shared" si="470"/>
        <v>0.29999999999999893</v>
      </c>
      <c r="M536" s="24">
        <f t="shared" si="473"/>
        <v>8.1081081081080961E-2</v>
      </c>
      <c r="N536" s="14"/>
    </row>
    <row r="537" spans="1:17" x14ac:dyDescent="0.25">
      <c r="A537" s="20">
        <v>44519</v>
      </c>
      <c r="B537" s="1">
        <f>B530</f>
        <v>45</v>
      </c>
      <c r="C537" s="1" t="s">
        <v>247</v>
      </c>
      <c r="D537" s="1" t="s">
        <v>248</v>
      </c>
      <c r="E537" s="26" t="e">
        <f>+E536</f>
        <v>#REF!</v>
      </c>
      <c r="F537" s="26" t="e">
        <f>+F536</f>
        <v>#REF!</v>
      </c>
      <c r="G537" s="17">
        <v>8</v>
      </c>
      <c r="H537" s="17" t="s">
        <v>9</v>
      </c>
      <c r="I537" s="30" t="s">
        <v>59</v>
      </c>
      <c r="J537" s="22">
        <f>0.9+8.7</f>
        <v>9.6</v>
      </c>
      <c r="K537" s="22">
        <f>0.55+8.55</f>
        <v>9.1000000000000014</v>
      </c>
      <c r="L537" s="8">
        <f t="shared" si="470"/>
        <v>0.49999999999999822</v>
      </c>
      <c r="M537" s="24">
        <f t="shared" si="473"/>
        <v>0.13513513513513492</v>
      </c>
      <c r="N537" s="14"/>
    </row>
    <row r="538" spans="1:17" x14ac:dyDescent="0.25">
      <c r="A538" s="20">
        <v>44519</v>
      </c>
      <c r="B538" s="1">
        <f>B530</f>
        <v>45</v>
      </c>
      <c r="C538" s="1" t="s">
        <v>247</v>
      </c>
      <c r="D538" s="1" t="s">
        <v>248</v>
      </c>
      <c r="E538" s="26" t="e">
        <f t="shared" ref="E538:F538" si="477">+E537</f>
        <v>#REF!</v>
      </c>
      <c r="F538" s="26" t="e">
        <f t="shared" si="477"/>
        <v>#REF!</v>
      </c>
      <c r="G538" s="17">
        <v>9</v>
      </c>
      <c r="H538" s="17" t="s">
        <v>9</v>
      </c>
      <c r="I538" s="30" t="s">
        <v>38</v>
      </c>
      <c r="J538" s="22"/>
      <c r="K538" s="22"/>
      <c r="L538" s="8">
        <f t="shared" si="470"/>
        <v>0</v>
      </c>
      <c r="M538" s="24">
        <f t="shared" si="473"/>
        <v>0</v>
      </c>
      <c r="N538" s="14"/>
    </row>
    <row r="539" spans="1:17" x14ac:dyDescent="0.25">
      <c r="A539" s="20">
        <v>44519</v>
      </c>
      <c r="B539" s="1">
        <f>B530</f>
        <v>45</v>
      </c>
      <c r="C539" s="1" t="s">
        <v>247</v>
      </c>
      <c r="D539" s="1" t="s">
        <v>248</v>
      </c>
      <c r="E539" s="26" t="e">
        <f t="shared" ref="E539:F539" si="478">+E538</f>
        <v>#REF!</v>
      </c>
      <c r="F539" s="26" t="e">
        <f t="shared" si="478"/>
        <v>#REF!</v>
      </c>
      <c r="G539" s="17">
        <v>10</v>
      </c>
      <c r="H539" s="17" t="s">
        <v>9</v>
      </c>
      <c r="I539" s="30" t="s">
        <v>23</v>
      </c>
      <c r="J539" s="22"/>
      <c r="K539" s="22"/>
      <c r="L539" s="8">
        <f t="shared" si="470"/>
        <v>0</v>
      </c>
      <c r="M539" s="24">
        <f t="shared" si="473"/>
        <v>0</v>
      </c>
      <c r="N539" s="14"/>
    </row>
    <row r="540" spans="1:17" x14ac:dyDescent="0.25">
      <c r="A540" s="20">
        <v>44519</v>
      </c>
      <c r="B540" s="1">
        <f>B530</f>
        <v>45</v>
      </c>
      <c r="C540" s="1" t="s">
        <v>247</v>
      </c>
      <c r="D540" s="1" t="s">
        <v>248</v>
      </c>
      <c r="E540" s="26" t="e">
        <f t="shared" ref="E540:F540" si="479">+E539</f>
        <v>#REF!</v>
      </c>
      <c r="F540" s="26" t="e">
        <f t="shared" si="479"/>
        <v>#REF!</v>
      </c>
      <c r="G540" s="17">
        <v>11</v>
      </c>
      <c r="H540" s="17" t="s">
        <v>9</v>
      </c>
      <c r="I540" s="30" t="s">
        <v>60</v>
      </c>
      <c r="J540" s="22">
        <v>0.15</v>
      </c>
      <c r="K540" s="22">
        <v>0</v>
      </c>
      <c r="L540" s="8">
        <f t="shared" si="470"/>
        <v>0.15</v>
      </c>
      <c r="M540" s="24">
        <f t="shared" si="473"/>
        <v>4.0540540540540619E-2</v>
      </c>
      <c r="N540" s="14"/>
    </row>
    <row r="541" spans="1:17" s="2" customFormat="1" ht="15.75" thickBot="1" x14ac:dyDescent="0.3">
      <c r="A541" s="60">
        <v>44519</v>
      </c>
      <c r="B541" s="57">
        <f>B530</f>
        <v>45</v>
      </c>
      <c r="C541" s="57" t="s">
        <v>247</v>
      </c>
      <c r="D541" s="57" t="s">
        <v>248</v>
      </c>
      <c r="E541" s="61" t="e">
        <f t="shared" ref="E541:F541" si="480">+E540</f>
        <v>#REF!</v>
      </c>
      <c r="F541" s="61" t="e">
        <f t="shared" si="480"/>
        <v>#REF!</v>
      </c>
      <c r="G541" s="62">
        <f>+G540+1</f>
        <v>12</v>
      </c>
      <c r="H541" s="62" t="s">
        <v>10</v>
      </c>
      <c r="I541" s="46" t="s">
        <v>10</v>
      </c>
      <c r="J541" s="63">
        <f>8.65+9.25+8.75+8.5</f>
        <v>35.15</v>
      </c>
      <c r="K541" s="63">
        <f>8.3+8.55+8.55+8.3</f>
        <v>33.700000000000003</v>
      </c>
      <c r="L541" s="64">
        <f t="shared" si="470"/>
        <v>1.4499999999999957</v>
      </c>
      <c r="M541" s="65">
        <f>+L541/SUMIF(C:C,C541,L:L)</f>
        <v>0.3918918918918915</v>
      </c>
      <c r="N541" s="66"/>
      <c r="Q541" s="5"/>
    </row>
    <row r="542" spans="1:17" x14ac:dyDescent="0.25">
      <c r="A542" s="19">
        <v>44519</v>
      </c>
      <c r="B542" s="15">
        <f>B530+1</f>
        <v>46</v>
      </c>
      <c r="C542" s="15" t="s">
        <v>249</v>
      </c>
      <c r="D542" s="15" t="s">
        <v>250</v>
      </c>
      <c r="E542" s="25">
        <f>2.8-1.2</f>
        <v>1.5999999999999999</v>
      </c>
      <c r="F542" s="25">
        <f>+SUM(L542:L553)</f>
        <v>1.5499999999999983</v>
      </c>
      <c r="G542" s="16">
        <v>1</v>
      </c>
      <c r="H542" s="16" t="s">
        <v>9</v>
      </c>
      <c r="I542" s="59" t="s">
        <v>56</v>
      </c>
      <c r="J542" s="21"/>
      <c r="K542" s="21"/>
      <c r="L542" s="12">
        <f>+J542-K542</f>
        <v>0</v>
      </c>
      <c r="M542" s="23">
        <f>+L542/SUMIF(C:C,C542,L:L)</f>
        <v>0</v>
      </c>
      <c r="N542" s="13"/>
      <c r="O542" t="s">
        <v>280</v>
      </c>
    </row>
    <row r="543" spans="1:17" x14ac:dyDescent="0.25">
      <c r="A543" s="20">
        <v>44519</v>
      </c>
      <c r="B543" s="1">
        <f>B542</f>
        <v>46</v>
      </c>
      <c r="C543" s="1" t="s">
        <v>249</v>
      </c>
      <c r="D543" s="1" t="s">
        <v>250</v>
      </c>
      <c r="E543" s="26">
        <f>+E542</f>
        <v>1.5999999999999999</v>
      </c>
      <c r="F543" s="28">
        <f>+(F542-E542)/E542</f>
        <v>-3.1250000000000999E-2</v>
      </c>
      <c r="G543" s="17">
        <v>2</v>
      </c>
      <c r="H543" s="17" t="s">
        <v>9</v>
      </c>
      <c r="I543" s="30" t="s">
        <v>57</v>
      </c>
      <c r="J543" s="22">
        <v>0.7</v>
      </c>
      <c r="K543" s="22">
        <v>0.5</v>
      </c>
      <c r="L543" s="8">
        <f t="shared" ref="L543:L553" si="481">+J543-K543</f>
        <v>0.19999999999999996</v>
      </c>
      <c r="M543" s="24">
        <f t="shared" ref="M543" si="482">+L543/SUMIF(C:C,C543,L:L)</f>
        <v>0.12903225806451624</v>
      </c>
      <c r="N543" s="14"/>
    </row>
    <row r="544" spans="1:17" x14ac:dyDescent="0.25">
      <c r="A544" s="20">
        <v>44519</v>
      </c>
      <c r="B544" s="1">
        <f>B542</f>
        <v>46</v>
      </c>
      <c r="C544" s="1" t="s">
        <v>249</v>
      </c>
      <c r="D544" s="1" t="s">
        <v>250</v>
      </c>
      <c r="E544" s="26" t="e">
        <f>+#REF!</f>
        <v>#REF!</v>
      </c>
      <c r="F544" s="26" t="e">
        <f>+#REF!</f>
        <v>#REF!</v>
      </c>
      <c r="G544" s="17">
        <v>3</v>
      </c>
      <c r="H544" s="17" t="s">
        <v>9</v>
      </c>
      <c r="I544" s="30" t="s">
        <v>58</v>
      </c>
      <c r="J544" s="22"/>
      <c r="K544" s="22"/>
      <c r="L544" s="8">
        <f t="shared" si="481"/>
        <v>0</v>
      </c>
      <c r="M544" s="24">
        <f>+L544/SUMIF(C:C,C544,L:L)</f>
        <v>0</v>
      </c>
      <c r="N544" s="14"/>
    </row>
    <row r="545" spans="1:17" x14ac:dyDescent="0.25">
      <c r="A545" s="20">
        <v>44519</v>
      </c>
      <c r="B545" s="1">
        <f>B542</f>
        <v>46</v>
      </c>
      <c r="C545" s="1" t="s">
        <v>249</v>
      </c>
      <c r="D545" s="1" t="s">
        <v>250</v>
      </c>
      <c r="E545" s="26" t="e">
        <f t="shared" ref="E545:F545" si="483">+E544</f>
        <v>#REF!</v>
      </c>
      <c r="F545" s="26" t="e">
        <f t="shared" si="483"/>
        <v>#REF!</v>
      </c>
      <c r="G545" s="17">
        <v>4</v>
      </c>
      <c r="H545" s="17" t="s">
        <v>9</v>
      </c>
      <c r="I545" s="30" t="s">
        <v>22</v>
      </c>
      <c r="J545" s="22"/>
      <c r="K545" s="22"/>
      <c r="L545" s="8">
        <f t="shared" si="481"/>
        <v>0</v>
      </c>
      <c r="M545" s="24">
        <f t="shared" ref="M545:M552" si="484">+L545/SUMIF(C:C,C545,L:L)</f>
        <v>0</v>
      </c>
      <c r="N545" s="14"/>
    </row>
    <row r="546" spans="1:17" x14ac:dyDescent="0.25">
      <c r="A546" s="20">
        <v>44519</v>
      </c>
      <c r="B546" s="1">
        <f>B542</f>
        <v>46</v>
      </c>
      <c r="C546" s="1" t="s">
        <v>249</v>
      </c>
      <c r="D546" s="1" t="s">
        <v>250</v>
      </c>
      <c r="E546" s="26" t="e">
        <f t="shared" ref="E546:F546" si="485">+E545</f>
        <v>#REF!</v>
      </c>
      <c r="F546" s="26" t="e">
        <f t="shared" si="485"/>
        <v>#REF!</v>
      </c>
      <c r="G546" s="17">
        <v>5</v>
      </c>
      <c r="H546" s="17" t="s">
        <v>9</v>
      </c>
      <c r="I546" s="30" t="s">
        <v>34</v>
      </c>
      <c r="J546" s="22">
        <v>0.05</v>
      </c>
      <c r="K546" s="22">
        <v>0</v>
      </c>
      <c r="L546" s="8">
        <f t="shared" si="481"/>
        <v>0.05</v>
      </c>
      <c r="M546" s="24">
        <f t="shared" si="484"/>
        <v>3.2258064516129073E-2</v>
      </c>
      <c r="N546" s="14"/>
    </row>
    <row r="547" spans="1:17" x14ac:dyDescent="0.25">
      <c r="A547" s="20">
        <v>44519</v>
      </c>
      <c r="B547" s="1">
        <f>B542</f>
        <v>46</v>
      </c>
      <c r="C547" s="1" t="s">
        <v>249</v>
      </c>
      <c r="D547" s="1" t="s">
        <v>250</v>
      </c>
      <c r="E547" s="26" t="e">
        <f t="shared" ref="E547:F547" si="486">+E546</f>
        <v>#REF!</v>
      </c>
      <c r="F547" s="26" t="e">
        <f t="shared" si="486"/>
        <v>#REF!</v>
      </c>
      <c r="G547" s="17">
        <v>6</v>
      </c>
      <c r="H547" s="17" t="s">
        <v>9</v>
      </c>
      <c r="I547" s="30" t="s">
        <v>35</v>
      </c>
      <c r="J547" s="22"/>
      <c r="K547" s="22"/>
      <c r="L547" s="8">
        <f t="shared" si="481"/>
        <v>0</v>
      </c>
      <c r="M547" s="24">
        <f t="shared" si="484"/>
        <v>0</v>
      </c>
      <c r="N547" s="14"/>
    </row>
    <row r="548" spans="1:17" x14ac:dyDescent="0.25">
      <c r="A548" s="20">
        <v>44519</v>
      </c>
      <c r="B548" s="1">
        <f>B542</f>
        <v>46</v>
      </c>
      <c r="C548" s="1" t="s">
        <v>249</v>
      </c>
      <c r="D548" s="1" t="s">
        <v>250</v>
      </c>
      <c r="E548" s="26" t="e">
        <f t="shared" ref="E548:F548" si="487">+E547</f>
        <v>#REF!</v>
      </c>
      <c r="F548" s="26" t="e">
        <f t="shared" si="487"/>
        <v>#REF!</v>
      </c>
      <c r="G548" s="17">
        <v>7</v>
      </c>
      <c r="H548" s="17" t="s">
        <v>9</v>
      </c>
      <c r="I548" s="30" t="s">
        <v>36</v>
      </c>
      <c r="J548" s="22"/>
      <c r="K548" s="22"/>
      <c r="L548" s="8">
        <f t="shared" si="481"/>
        <v>0</v>
      </c>
      <c r="M548" s="24">
        <f t="shared" si="484"/>
        <v>0</v>
      </c>
      <c r="N548" s="14"/>
    </row>
    <row r="549" spans="1:17" x14ac:dyDescent="0.25">
      <c r="A549" s="20">
        <v>44519</v>
      </c>
      <c r="B549" s="1">
        <f>B542</f>
        <v>46</v>
      </c>
      <c r="C549" s="1" t="s">
        <v>249</v>
      </c>
      <c r="D549" s="1" t="s">
        <v>250</v>
      </c>
      <c r="E549" s="26" t="e">
        <f>+E548</f>
        <v>#REF!</v>
      </c>
      <c r="F549" s="26" t="e">
        <f>+F548</f>
        <v>#REF!</v>
      </c>
      <c r="G549" s="17">
        <v>8</v>
      </c>
      <c r="H549" s="17" t="s">
        <v>9</v>
      </c>
      <c r="I549" s="30" t="s">
        <v>59</v>
      </c>
      <c r="J549" s="22">
        <v>0.55000000000000004</v>
      </c>
      <c r="K549" s="22">
        <v>0.5</v>
      </c>
      <c r="L549" s="8">
        <f t="shared" si="481"/>
        <v>5.0000000000000044E-2</v>
      </c>
      <c r="M549" s="24">
        <f t="shared" si="484"/>
        <v>3.2258064516129094E-2</v>
      </c>
      <c r="N549" s="14"/>
    </row>
    <row r="550" spans="1:17" x14ac:dyDescent="0.25">
      <c r="A550" s="20">
        <v>44519</v>
      </c>
      <c r="B550" s="1">
        <f>B542</f>
        <v>46</v>
      </c>
      <c r="C550" s="1" t="s">
        <v>249</v>
      </c>
      <c r="D550" s="1" t="s">
        <v>250</v>
      </c>
      <c r="E550" s="26" t="e">
        <f t="shared" ref="E550:F550" si="488">+E549</f>
        <v>#REF!</v>
      </c>
      <c r="F550" s="26" t="e">
        <f t="shared" si="488"/>
        <v>#REF!</v>
      </c>
      <c r="G550" s="17">
        <v>9</v>
      </c>
      <c r="H550" s="17" t="s">
        <v>9</v>
      </c>
      <c r="I550" s="30" t="s">
        <v>38</v>
      </c>
      <c r="J550" s="22"/>
      <c r="K550" s="22"/>
      <c r="L550" s="8">
        <f t="shared" si="481"/>
        <v>0</v>
      </c>
      <c r="M550" s="24">
        <f t="shared" si="484"/>
        <v>0</v>
      </c>
      <c r="N550" s="14"/>
    </row>
    <row r="551" spans="1:17" x14ac:dyDescent="0.25">
      <c r="A551" s="20">
        <v>44519</v>
      </c>
      <c r="B551" s="1">
        <f>B542</f>
        <v>46</v>
      </c>
      <c r="C551" s="1" t="s">
        <v>249</v>
      </c>
      <c r="D551" s="1" t="s">
        <v>250</v>
      </c>
      <c r="E551" s="26" t="e">
        <f t="shared" ref="E551:F551" si="489">+E550</f>
        <v>#REF!</v>
      </c>
      <c r="F551" s="26" t="e">
        <f t="shared" si="489"/>
        <v>#REF!</v>
      </c>
      <c r="G551" s="17">
        <v>10</v>
      </c>
      <c r="H551" s="17" t="s">
        <v>9</v>
      </c>
      <c r="I551" s="30" t="s">
        <v>23</v>
      </c>
      <c r="J551" s="22"/>
      <c r="K551" s="22"/>
      <c r="L551" s="8">
        <f t="shared" si="481"/>
        <v>0</v>
      </c>
      <c r="M551" s="24">
        <f t="shared" si="484"/>
        <v>0</v>
      </c>
      <c r="N551" s="14"/>
    </row>
    <row r="552" spans="1:17" x14ac:dyDescent="0.25">
      <c r="A552" s="20">
        <v>44519</v>
      </c>
      <c r="B552" s="1">
        <f>B542</f>
        <v>46</v>
      </c>
      <c r="C552" s="1" t="s">
        <v>249</v>
      </c>
      <c r="D552" s="1" t="s">
        <v>250</v>
      </c>
      <c r="E552" s="26" t="e">
        <f t="shared" ref="E552:F552" si="490">+E551</f>
        <v>#REF!</v>
      </c>
      <c r="F552" s="26" t="e">
        <f t="shared" si="490"/>
        <v>#REF!</v>
      </c>
      <c r="G552" s="17">
        <v>11</v>
      </c>
      <c r="H552" s="17" t="s">
        <v>9</v>
      </c>
      <c r="I552" s="30" t="s">
        <v>60</v>
      </c>
      <c r="J552" s="22">
        <f>8.9+9.15+8.8</f>
        <v>26.85</v>
      </c>
      <c r="K552" s="22">
        <f>8.55+8.55+8.8</f>
        <v>25.900000000000002</v>
      </c>
      <c r="L552" s="8">
        <f t="shared" si="481"/>
        <v>0.94999999999999929</v>
      </c>
      <c r="M552" s="24">
        <f t="shared" si="484"/>
        <v>0.61290322580645185</v>
      </c>
      <c r="N552" s="14"/>
    </row>
    <row r="553" spans="1:17" s="2" customFormat="1" ht="15.75" thickBot="1" x14ac:dyDescent="0.3">
      <c r="A553" s="60">
        <v>44519</v>
      </c>
      <c r="B553" s="57">
        <f>B542</f>
        <v>46</v>
      </c>
      <c r="C553" s="57" t="s">
        <v>249</v>
      </c>
      <c r="D553" s="57" t="s">
        <v>250</v>
      </c>
      <c r="E553" s="61" t="e">
        <f t="shared" ref="E553:F553" si="491">+E552</f>
        <v>#REF!</v>
      </c>
      <c r="F553" s="61" t="e">
        <f t="shared" si="491"/>
        <v>#REF!</v>
      </c>
      <c r="G553" s="62">
        <f>+G552+1</f>
        <v>12</v>
      </c>
      <c r="H553" s="62" t="s">
        <v>10</v>
      </c>
      <c r="I553" s="46" t="s">
        <v>10</v>
      </c>
      <c r="J553" s="63">
        <v>8.85</v>
      </c>
      <c r="K553" s="63">
        <v>8.5500000000000007</v>
      </c>
      <c r="L553" s="64">
        <f t="shared" si="481"/>
        <v>0.29999999999999893</v>
      </c>
      <c r="M553" s="65">
        <f>+L553/SUMIF(C:C,C553,L:L)</f>
        <v>0.19354838709677372</v>
      </c>
      <c r="N553" s="66"/>
      <c r="Q553" s="5"/>
    </row>
    <row r="554" spans="1:17" x14ac:dyDescent="0.25">
      <c r="A554" s="19">
        <v>44523</v>
      </c>
      <c r="B554" s="15">
        <f>B542+1</f>
        <v>47</v>
      </c>
      <c r="C554" s="15" t="s">
        <v>260</v>
      </c>
      <c r="D554" s="15" t="s">
        <v>261</v>
      </c>
      <c r="E554" s="25">
        <f>13.4-1.2</f>
        <v>12.200000000000001</v>
      </c>
      <c r="F554" s="25">
        <f>+SUM(L554:L565)</f>
        <v>12.199999999999992</v>
      </c>
      <c r="G554" s="16">
        <v>1</v>
      </c>
      <c r="H554" s="16" t="s">
        <v>9</v>
      </c>
      <c r="I554" s="59" t="s">
        <v>56</v>
      </c>
      <c r="J554" s="21">
        <v>0.9</v>
      </c>
      <c r="K554" s="21">
        <v>0.55000000000000004</v>
      </c>
      <c r="L554" s="12">
        <f>+J554-K554</f>
        <v>0.35</v>
      </c>
      <c r="M554" s="23">
        <f>+L554/SUMIF(C:C,C554,L:L)</f>
        <v>2.8688524590163952E-2</v>
      </c>
      <c r="N554" s="13"/>
      <c r="O554" t="s">
        <v>280</v>
      </c>
    </row>
    <row r="555" spans="1:17" x14ac:dyDescent="0.25">
      <c r="A555" s="20">
        <v>44523</v>
      </c>
      <c r="B555" s="1">
        <f>B554</f>
        <v>47</v>
      </c>
      <c r="C555" s="1" t="s">
        <v>260</v>
      </c>
      <c r="D555" s="1" t="s">
        <v>261</v>
      </c>
      <c r="E555" s="26">
        <f>+E554</f>
        <v>12.200000000000001</v>
      </c>
      <c r="F555" s="28">
        <f>+(F554-E554)/E554</f>
        <v>-7.2801509811485667E-16</v>
      </c>
      <c r="G555" s="17">
        <v>2</v>
      </c>
      <c r="H555" s="17" t="s">
        <v>9</v>
      </c>
      <c r="I555" s="30" t="s">
        <v>57</v>
      </c>
      <c r="J555" s="22">
        <f>8.9+9.15</f>
        <v>18.05</v>
      </c>
      <c r="K555" s="22">
        <f>8.5+8.3</f>
        <v>16.8</v>
      </c>
      <c r="L555" s="8">
        <f t="shared" ref="L555:L565" si="492">+J555-K555</f>
        <v>1.25</v>
      </c>
      <c r="M555" s="24">
        <f t="shared" ref="M555" si="493">+L555/SUMIF(C:C,C555,L:L)</f>
        <v>0.1024590163934427</v>
      </c>
      <c r="N555" s="14"/>
      <c r="O555" t="s">
        <v>281</v>
      </c>
    </row>
    <row r="556" spans="1:17" x14ac:dyDescent="0.25">
      <c r="A556" s="20">
        <v>44523</v>
      </c>
      <c r="B556" s="1">
        <f>B554</f>
        <v>47</v>
      </c>
      <c r="C556" s="1" t="s">
        <v>260</v>
      </c>
      <c r="D556" s="1" t="s">
        <v>261</v>
      </c>
      <c r="E556" s="26" t="e">
        <f>+#REF!</f>
        <v>#REF!</v>
      </c>
      <c r="F556" s="26" t="e">
        <f>+#REF!</f>
        <v>#REF!</v>
      </c>
      <c r="G556" s="17">
        <v>3</v>
      </c>
      <c r="H556" s="17" t="s">
        <v>9</v>
      </c>
      <c r="I556" s="30" t="s">
        <v>58</v>
      </c>
      <c r="J556" s="22">
        <f>9.35+9.4+9.3</f>
        <v>28.05</v>
      </c>
      <c r="K556" s="22">
        <f>8.55+8.3+8.25</f>
        <v>25.1</v>
      </c>
      <c r="L556" s="8">
        <f t="shared" si="492"/>
        <v>2.9499999999999993</v>
      </c>
      <c r="M556" s="24">
        <f>+L556/SUMIF(C:C,C556,L:L)</f>
        <v>0.24180327868852469</v>
      </c>
      <c r="N556" s="14"/>
    </row>
    <row r="557" spans="1:17" x14ac:dyDescent="0.25">
      <c r="A557" s="20">
        <v>44523</v>
      </c>
      <c r="B557" s="1">
        <f>B554</f>
        <v>47</v>
      </c>
      <c r="C557" s="1" t="s">
        <v>260</v>
      </c>
      <c r="D557" s="1" t="s">
        <v>261</v>
      </c>
      <c r="E557" s="26" t="e">
        <f t="shared" ref="E557:F557" si="494">+E556</f>
        <v>#REF!</v>
      </c>
      <c r="F557" s="26" t="e">
        <f t="shared" si="494"/>
        <v>#REF!</v>
      </c>
      <c r="G557" s="17">
        <v>4</v>
      </c>
      <c r="H557" s="17" t="s">
        <v>9</v>
      </c>
      <c r="I557" s="30" t="s">
        <v>22</v>
      </c>
      <c r="J557" s="22">
        <f>9.85+9.6</f>
        <v>19.45</v>
      </c>
      <c r="K557" s="22">
        <f>8.55+8.55</f>
        <v>17.100000000000001</v>
      </c>
      <c r="L557" s="8">
        <f t="shared" si="492"/>
        <v>2.3499999999999979</v>
      </c>
      <c r="M557" s="24">
        <f t="shared" ref="M557:M564" si="495">+L557/SUMIF(C:C,C557,L:L)</f>
        <v>0.19262295081967207</v>
      </c>
      <c r="N557" s="14"/>
    </row>
    <row r="558" spans="1:17" x14ac:dyDescent="0.25">
      <c r="A558" s="20">
        <v>44523</v>
      </c>
      <c r="B558" s="1">
        <f>B554</f>
        <v>47</v>
      </c>
      <c r="C558" s="1" t="s">
        <v>260</v>
      </c>
      <c r="D558" s="1" t="s">
        <v>261</v>
      </c>
      <c r="E558" s="26" t="e">
        <f t="shared" ref="E558:F558" si="496">+E557</f>
        <v>#REF!</v>
      </c>
      <c r="F558" s="26" t="e">
        <f t="shared" si="496"/>
        <v>#REF!</v>
      </c>
      <c r="G558" s="17">
        <v>5</v>
      </c>
      <c r="H558" s="17" t="s">
        <v>9</v>
      </c>
      <c r="I558" s="30" t="s">
        <v>34</v>
      </c>
      <c r="J558" s="22">
        <v>0.65</v>
      </c>
      <c r="K558" s="22">
        <v>0.55000000000000004</v>
      </c>
      <c r="L558" s="8">
        <f t="shared" si="492"/>
        <v>9.9999999999999978E-2</v>
      </c>
      <c r="M558" s="24">
        <f t="shared" si="495"/>
        <v>8.1967213114754137E-3</v>
      </c>
      <c r="N558" s="14"/>
    </row>
    <row r="559" spans="1:17" x14ac:dyDescent="0.25">
      <c r="A559" s="20">
        <v>44523</v>
      </c>
      <c r="B559" s="1">
        <f>B554</f>
        <v>47</v>
      </c>
      <c r="C559" s="1" t="s">
        <v>260</v>
      </c>
      <c r="D559" s="1" t="s">
        <v>261</v>
      </c>
      <c r="E559" s="26" t="e">
        <f t="shared" ref="E559:F559" si="497">+E558</f>
        <v>#REF!</v>
      </c>
      <c r="F559" s="26" t="e">
        <f t="shared" si="497"/>
        <v>#REF!</v>
      </c>
      <c r="G559" s="17">
        <v>6</v>
      </c>
      <c r="H559" s="17" t="s">
        <v>9</v>
      </c>
      <c r="I559" s="30" t="s">
        <v>35</v>
      </c>
      <c r="J559" s="22"/>
      <c r="K559" s="22"/>
      <c r="L559" s="8">
        <f t="shared" si="492"/>
        <v>0</v>
      </c>
      <c r="M559" s="24">
        <f t="shared" si="495"/>
        <v>0</v>
      </c>
      <c r="N559" s="14"/>
    </row>
    <row r="560" spans="1:17" x14ac:dyDescent="0.25">
      <c r="A560" s="20">
        <v>44523</v>
      </c>
      <c r="B560" s="1">
        <f>B554</f>
        <v>47</v>
      </c>
      <c r="C560" s="1" t="s">
        <v>260</v>
      </c>
      <c r="D560" s="1" t="s">
        <v>261</v>
      </c>
      <c r="E560" s="26" t="e">
        <f t="shared" ref="E560:F560" si="498">+E559</f>
        <v>#REF!</v>
      </c>
      <c r="F560" s="26" t="e">
        <f t="shared" si="498"/>
        <v>#REF!</v>
      </c>
      <c r="G560" s="17">
        <v>7</v>
      </c>
      <c r="H560" s="17" t="s">
        <v>9</v>
      </c>
      <c r="I560" s="30" t="s">
        <v>36</v>
      </c>
      <c r="J560" s="22"/>
      <c r="K560" s="22"/>
      <c r="L560" s="8">
        <f t="shared" si="492"/>
        <v>0</v>
      </c>
      <c r="M560" s="24">
        <f t="shared" si="495"/>
        <v>0</v>
      </c>
      <c r="N560" s="14"/>
    </row>
    <row r="561" spans="1:17" x14ac:dyDescent="0.25">
      <c r="A561" s="20">
        <v>44523</v>
      </c>
      <c r="B561" s="1">
        <f>B554</f>
        <v>47</v>
      </c>
      <c r="C561" s="1" t="s">
        <v>260</v>
      </c>
      <c r="D561" s="1" t="s">
        <v>261</v>
      </c>
      <c r="E561" s="26" t="e">
        <f>+E560</f>
        <v>#REF!</v>
      </c>
      <c r="F561" s="26" t="e">
        <f>+F560</f>
        <v>#REF!</v>
      </c>
      <c r="G561" s="17">
        <v>8</v>
      </c>
      <c r="H561" s="17" t="s">
        <v>9</v>
      </c>
      <c r="I561" s="30" t="s">
        <v>59</v>
      </c>
      <c r="J561" s="22">
        <v>2.2000000000000002</v>
      </c>
      <c r="K561" s="22">
        <v>0.5</v>
      </c>
      <c r="L561" s="8">
        <f t="shared" si="492"/>
        <v>1.7000000000000002</v>
      </c>
      <c r="M561" s="24">
        <f t="shared" si="495"/>
        <v>0.13934426229508207</v>
      </c>
      <c r="N561" s="14"/>
    </row>
    <row r="562" spans="1:17" x14ac:dyDescent="0.25">
      <c r="A562" s="20">
        <v>44523</v>
      </c>
      <c r="B562" s="1">
        <f>B554</f>
        <v>47</v>
      </c>
      <c r="C562" s="1" t="s">
        <v>260</v>
      </c>
      <c r="D562" s="1" t="s">
        <v>261</v>
      </c>
      <c r="E562" s="26" t="e">
        <f t="shared" ref="E562:F562" si="499">+E561</f>
        <v>#REF!</v>
      </c>
      <c r="F562" s="26" t="e">
        <f t="shared" si="499"/>
        <v>#REF!</v>
      </c>
      <c r="G562" s="17">
        <v>9</v>
      </c>
      <c r="H562" s="17" t="s">
        <v>9</v>
      </c>
      <c r="I562" s="30" t="s">
        <v>38</v>
      </c>
      <c r="J562" s="22"/>
      <c r="K562" s="22"/>
      <c r="L562" s="8">
        <f t="shared" si="492"/>
        <v>0</v>
      </c>
      <c r="M562" s="24">
        <f t="shared" si="495"/>
        <v>0</v>
      </c>
      <c r="N562" s="14"/>
    </row>
    <row r="563" spans="1:17" x14ac:dyDescent="0.25">
      <c r="A563" s="20">
        <v>44523</v>
      </c>
      <c r="B563" s="1">
        <f>B554</f>
        <v>47</v>
      </c>
      <c r="C563" s="1" t="s">
        <v>260</v>
      </c>
      <c r="D563" s="1" t="s">
        <v>261</v>
      </c>
      <c r="E563" s="26" t="e">
        <f t="shared" ref="E563:F563" si="500">+E562</f>
        <v>#REF!</v>
      </c>
      <c r="F563" s="26" t="e">
        <f t="shared" si="500"/>
        <v>#REF!</v>
      </c>
      <c r="G563" s="17">
        <v>10</v>
      </c>
      <c r="H563" s="17" t="s">
        <v>9</v>
      </c>
      <c r="I563" s="30" t="s">
        <v>23</v>
      </c>
      <c r="J563" s="22">
        <v>1.35</v>
      </c>
      <c r="K563" s="22">
        <v>0.55000000000000004</v>
      </c>
      <c r="L563" s="8">
        <f t="shared" si="492"/>
        <v>0.8</v>
      </c>
      <c r="M563" s="24">
        <f t="shared" si="495"/>
        <v>6.5573770491803324E-2</v>
      </c>
      <c r="N563" s="14"/>
    </row>
    <row r="564" spans="1:17" x14ac:dyDescent="0.25">
      <c r="A564" s="20">
        <v>44523</v>
      </c>
      <c r="B564" s="1">
        <f>B554</f>
        <v>47</v>
      </c>
      <c r="C564" s="1" t="s">
        <v>260</v>
      </c>
      <c r="D564" s="1" t="s">
        <v>261</v>
      </c>
      <c r="E564" s="26" t="e">
        <f t="shared" ref="E564:F564" si="501">+E563</f>
        <v>#REF!</v>
      </c>
      <c r="F564" s="26" t="e">
        <f t="shared" si="501"/>
        <v>#REF!</v>
      </c>
      <c r="G564" s="17">
        <v>11</v>
      </c>
      <c r="H564" s="17" t="s">
        <v>9</v>
      </c>
      <c r="I564" s="30" t="s">
        <v>60</v>
      </c>
      <c r="J564" s="22">
        <v>8.9499999999999993</v>
      </c>
      <c r="K564" s="22">
        <v>8.5500000000000007</v>
      </c>
      <c r="L564" s="8">
        <f t="shared" si="492"/>
        <v>0.39999999999999858</v>
      </c>
      <c r="M564" s="24">
        <f t="shared" si="495"/>
        <v>3.2786885245901544E-2</v>
      </c>
      <c r="N564" s="14"/>
    </row>
    <row r="565" spans="1:17" s="2" customFormat="1" ht="60.75" thickBot="1" x14ac:dyDescent="0.3">
      <c r="A565" s="60">
        <v>44523</v>
      </c>
      <c r="B565" s="57">
        <f>B554</f>
        <v>47</v>
      </c>
      <c r="C565" s="57" t="s">
        <v>260</v>
      </c>
      <c r="D565" s="57" t="s">
        <v>261</v>
      </c>
      <c r="E565" s="61" t="e">
        <f t="shared" ref="E565:F565" si="502">+E564</f>
        <v>#REF!</v>
      </c>
      <c r="F565" s="61" t="e">
        <f t="shared" si="502"/>
        <v>#REF!</v>
      </c>
      <c r="G565" s="62">
        <f>+G564+1</f>
        <v>12</v>
      </c>
      <c r="H565" s="62" t="s">
        <v>10</v>
      </c>
      <c r="I565" s="46" t="s">
        <v>10</v>
      </c>
      <c r="J565" s="63">
        <f>9.65+9.5</f>
        <v>19.149999999999999</v>
      </c>
      <c r="K565" s="63">
        <f>8.55+8.3</f>
        <v>16.850000000000001</v>
      </c>
      <c r="L565" s="64">
        <f t="shared" si="492"/>
        <v>2.2999999999999972</v>
      </c>
      <c r="M565" s="65">
        <f>+L565/SUMIF(C:C,C565,L:L)</f>
        <v>0.1885245901639343</v>
      </c>
      <c r="N565" s="66" t="s">
        <v>264</v>
      </c>
      <c r="Q565" s="5"/>
    </row>
    <row r="566" spans="1:17" x14ac:dyDescent="0.25">
      <c r="A566" s="19">
        <v>44523</v>
      </c>
      <c r="B566" s="15">
        <f>B554+1</f>
        <v>48</v>
      </c>
      <c r="C566" s="15" t="s">
        <v>262</v>
      </c>
      <c r="D566" s="15" t="s">
        <v>263</v>
      </c>
      <c r="E566" s="25">
        <f>4.8-1.2</f>
        <v>3.5999999999999996</v>
      </c>
      <c r="F566" s="25">
        <f>+SUM(L566:L577)</f>
        <v>3.6999999999999975</v>
      </c>
      <c r="G566" s="16">
        <v>1</v>
      </c>
      <c r="H566" s="16" t="s">
        <v>9</v>
      </c>
      <c r="I566" s="59" t="s">
        <v>56</v>
      </c>
      <c r="J566" s="21">
        <f>10.3+9.3+9</f>
        <v>28.6</v>
      </c>
      <c r="K566" s="21">
        <f>8.5+8.55+8.55</f>
        <v>25.6</v>
      </c>
      <c r="L566" s="12">
        <f>+J566-K566</f>
        <v>3</v>
      </c>
      <c r="M566" s="23">
        <f>+L566/SUMIF(C:C,C566,L:L)</f>
        <v>0.81081081081081141</v>
      </c>
      <c r="N566" s="13"/>
    </row>
    <row r="567" spans="1:17" x14ac:dyDescent="0.25">
      <c r="A567" s="20">
        <v>44523</v>
      </c>
      <c r="B567" s="1">
        <f>B566</f>
        <v>48</v>
      </c>
      <c r="C567" s="1" t="s">
        <v>262</v>
      </c>
      <c r="D567" s="1" t="s">
        <v>263</v>
      </c>
      <c r="E567" s="26">
        <f>+E566</f>
        <v>3.5999999999999996</v>
      </c>
      <c r="F567" s="28">
        <f>+(F566-E566)/E566</f>
        <v>2.777777777777719E-2</v>
      </c>
      <c r="G567" s="17">
        <v>2</v>
      </c>
      <c r="H567" s="17" t="s">
        <v>9</v>
      </c>
      <c r="I567" s="30" t="s">
        <v>57</v>
      </c>
      <c r="J567" s="22">
        <f>8.6+8.6</f>
        <v>17.2</v>
      </c>
      <c r="K567" s="22">
        <f>8.3+8.55</f>
        <v>16.850000000000001</v>
      </c>
      <c r="L567" s="8">
        <f t="shared" ref="L567:L577" si="503">+J567-K567</f>
        <v>0.34999999999999787</v>
      </c>
      <c r="M567" s="24">
        <f t="shared" ref="M567" si="504">+L567/SUMIF(C:C,C567,L:L)</f>
        <v>9.4594594594594086E-2</v>
      </c>
      <c r="N567" s="14"/>
    </row>
    <row r="568" spans="1:17" x14ac:dyDescent="0.25">
      <c r="A568" s="20">
        <v>44523</v>
      </c>
      <c r="B568" s="1">
        <f>B566</f>
        <v>48</v>
      </c>
      <c r="C568" s="1" t="s">
        <v>262</v>
      </c>
      <c r="D568" s="1" t="s">
        <v>263</v>
      </c>
      <c r="E568" s="26" t="e">
        <f>+#REF!</f>
        <v>#REF!</v>
      </c>
      <c r="F568" s="26" t="e">
        <f>+#REF!</f>
        <v>#REF!</v>
      </c>
      <c r="G568" s="17">
        <v>3</v>
      </c>
      <c r="H568" s="17" t="s">
        <v>9</v>
      </c>
      <c r="I568" s="30" t="s">
        <v>58</v>
      </c>
      <c r="J568" s="22"/>
      <c r="K568" s="22"/>
      <c r="L568" s="8">
        <f t="shared" si="503"/>
        <v>0</v>
      </c>
      <c r="M568" s="24">
        <f>+L568/SUMIF(C:C,C568,L:L)</f>
        <v>0</v>
      </c>
      <c r="N568" s="14"/>
    </row>
    <row r="569" spans="1:17" x14ac:dyDescent="0.25">
      <c r="A569" s="20">
        <v>44523</v>
      </c>
      <c r="B569" s="1">
        <f>B566</f>
        <v>48</v>
      </c>
      <c r="C569" s="1" t="s">
        <v>262</v>
      </c>
      <c r="D569" s="1" t="s">
        <v>263</v>
      </c>
      <c r="E569" s="26" t="e">
        <f t="shared" ref="E569:F569" si="505">+E568</f>
        <v>#REF!</v>
      </c>
      <c r="F569" s="26" t="e">
        <f t="shared" si="505"/>
        <v>#REF!</v>
      </c>
      <c r="G569" s="17">
        <v>4</v>
      </c>
      <c r="H569" s="17" t="s">
        <v>9</v>
      </c>
      <c r="I569" s="30" t="s">
        <v>22</v>
      </c>
      <c r="J569" s="22"/>
      <c r="K569" s="22"/>
      <c r="L569" s="8">
        <f t="shared" si="503"/>
        <v>0</v>
      </c>
      <c r="M569" s="24">
        <f t="shared" ref="M569:M576" si="506">+L569/SUMIF(C:C,C569,L:L)</f>
        <v>0</v>
      </c>
      <c r="N569" s="14"/>
    </row>
    <row r="570" spans="1:17" x14ac:dyDescent="0.25">
      <c r="A570" s="20">
        <v>44523</v>
      </c>
      <c r="B570" s="1">
        <f>B566</f>
        <v>48</v>
      </c>
      <c r="C570" s="1" t="s">
        <v>262</v>
      </c>
      <c r="D570" s="1" t="s">
        <v>263</v>
      </c>
      <c r="E570" s="26" t="e">
        <f t="shared" ref="E570:F570" si="507">+E569</f>
        <v>#REF!</v>
      </c>
      <c r="F570" s="26" t="e">
        <f t="shared" si="507"/>
        <v>#REF!</v>
      </c>
      <c r="G570" s="17">
        <v>5</v>
      </c>
      <c r="H570" s="17" t="s">
        <v>9</v>
      </c>
      <c r="I570" s="30" t="s">
        <v>34</v>
      </c>
      <c r="J570" s="22">
        <v>0.6</v>
      </c>
      <c r="K570" s="22">
        <v>0.55000000000000004</v>
      </c>
      <c r="L570" s="8">
        <f t="shared" si="503"/>
        <v>4.9999999999999933E-2</v>
      </c>
      <c r="M570" s="24">
        <f t="shared" si="506"/>
        <v>1.3513513513513504E-2</v>
      </c>
      <c r="N570" s="14"/>
    </row>
    <row r="571" spans="1:17" x14ac:dyDescent="0.25">
      <c r="A571" s="20">
        <v>44523</v>
      </c>
      <c r="B571" s="1">
        <f>B566</f>
        <v>48</v>
      </c>
      <c r="C571" s="1" t="s">
        <v>262</v>
      </c>
      <c r="D571" s="1" t="s">
        <v>263</v>
      </c>
      <c r="E571" s="26" t="e">
        <f t="shared" ref="E571:F571" si="508">+E570</f>
        <v>#REF!</v>
      </c>
      <c r="F571" s="26" t="e">
        <f t="shared" si="508"/>
        <v>#REF!</v>
      </c>
      <c r="G571" s="17">
        <v>6</v>
      </c>
      <c r="H571" s="17" t="s">
        <v>9</v>
      </c>
      <c r="I571" s="30" t="s">
        <v>35</v>
      </c>
      <c r="J571" s="22"/>
      <c r="K571" s="22"/>
      <c r="L571" s="8">
        <f t="shared" si="503"/>
        <v>0</v>
      </c>
      <c r="M571" s="24">
        <f t="shared" si="506"/>
        <v>0</v>
      </c>
      <c r="N571" s="14"/>
    </row>
    <row r="572" spans="1:17" x14ac:dyDescent="0.25">
      <c r="A572" s="20">
        <v>44523</v>
      </c>
      <c r="B572" s="1">
        <f>B566</f>
        <v>48</v>
      </c>
      <c r="C572" s="1" t="s">
        <v>262</v>
      </c>
      <c r="D572" s="1" t="s">
        <v>263</v>
      </c>
      <c r="E572" s="26" t="e">
        <f t="shared" ref="E572:F572" si="509">+E571</f>
        <v>#REF!</v>
      </c>
      <c r="F572" s="26" t="e">
        <f t="shared" si="509"/>
        <v>#REF!</v>
      </c>
      <c r="G572" s="17">
        <v>7</v>
      </c>
      <c r="H572" s="17" t="s">
        <v>9</v>
      </c>
      <c r="I572" s="30" t="s">
        <v>36</v>
      </c>
      <c r="J572" s="22"/>
      <c r="K572" s="22"/>
      <c r="L572" s="8">
        <f t="shared" si="503"/>
        <v>0</v>
      </c>
      <c r="M572" s="24">
        <f t="shared" si="506"/>
        <v>0</v>
      </c>
      <c r="N572" s="14"/>
    </row>
    <row r="573" spans="1:17" x14ac:dyDescent="0.25">
      <c r="A573" s="20">
        <v>44523</v>
      </c>
      <c r="B573" s="1">
        <f>B566</f>
        <v>48</v>
      </c>
      <c r="C573" s="1" t="s">
        <v>262</v>
      </c>
      <c r="D573" s="1" t="s">
        <v>263</v>
      </c>
      <c r="E573" s="26" t="e">
        <f>+E572</f>
        <v>#REF!</v>
      </c>
      <c r="F573" s="26" t="e">
        <f>+F572</f>
        <v>#REF!</v>
      </c>
      <c r="G573" s="17">
        <v>8</v>
      </c>
      <c r="H573" s="17" t="s">
        <v>9</v>
      </c>
      <c r="I573" s="30" t="s">
        <v>59</v>
      </c>
      <c r="J573" s="22"/>
      <c r="K573" s="22"/>
      <c r="L573" s="8">
        <f t="shared" si="503"/>
        <v>0</v>
      </c>
      <c r="M573" s="24">
        <f t="shared" si="506"/>
        <v>0</v>
      </c>
      <c r="N573" s="14"/>
    </row>
    <row r="574" spans="1:17" x14ac:dyDescent="0.25">
      <c r="A574" s="20">
        <v>44523</v>
      </c>
      <c r="B574" s="1">
        <f>B566</f>
        <v>48</v>
      </c>
      <c r="C574" s="1" t="s">
        <v>262</v>
      </c>
      <c r="D574" s="1" t="s">
        <v>263</v>
      </c>
      <c r="E574" s="26" t="e">
        <f t="shared" ref="E574:F574" si="510">+E573</f>
        <v>#REF!</v>
      </c>
      <c r="F574" s="26" t="e">
        <f t="shared" si="510"/>
        <v>#REF!</v>
      </c>
      <c r="G574" s="17">
        <v>9</v>
      </c>
      <c r="H574" s="17" t="s">
        <v>9</v>
      </c>
      <c r="I574" s="30" t="s">
        <v>38</v>
      </c>
      <c r="J574" s="22"/>
      <c r="K574" s="22"/>
      <c r="L574" s="8">
        <f t="shared" si="503"/>
        <v>0</v>
      </c>
      <c r="M574" s="24">
        <f t="shared" si="506"/>
        <v>0</v>
      </c>
      <c r="N574" s="14"/>
    </row>
    <row r="575" spans="1:17" x14ac:dyDescent="0.25">
      <c r="A575" s="20">
        <v>44523</v>
      </c>
      <c r="B575" s="1">
        <f>B566</f>
        <v>48</v>
      </c>
      <c r="C575" s="1" t="s">
        <v>262</v>
      </c>
      <c r="D575" s="1" t="s">
        <v>263</v>
      </c>
      <c r="E575" s="26" t="e">
        <f t="shared" ref="E575:F575" si="511">+E574</f>
        <v>#REF!</v>
      </c>
      <c r="F575" s="26" t="e">
        <f t="shared" si="511"/>
        <v>#REF!</v>
      </c>
      <c r="G575" s="17">
        <v>10</v>
      </c>
      <c r="H575" s="17" t="s">
        <v>9</v>
      </c>
      <c r="I575" s="30" t="s">
        <v>23</v>
      </c>
      <c r="J575" s="22">
        <v>0.05</v>
      </c>
      <c r="K575" s="22">
        <v>0</v>
      </c>
      <c r="L575" s="8">
        <f t="shared" si="503"/>
        <v>0.05</v>
      </c>
      <c r="M575" s="24">
        <f t="shared" si="506"/>
        <v>1.3513513513513523E-2</v>
      </c>
      <c r="N575" s="14"/>
    </row>
    <row r="576" spans="1:17" x14ac:dyDescent="0.25">
      <c r="A576" s="20">
        <v>44523</v>
      </c>
      <c r="B576" s="1">
        <f>B566</f>
        <v>48</v>
      </c>
      <c r="C576" s="1" t="s">
        <v>262</v>
      </c>
      <c r="D576" s="1" t="s">
        <v>263</v>
      </c>
      <c r="E576" s="26" t="e">
        <f t="shared" ref="E576:F576" si="512">+E575</f>
        <v>#REF!</v>
      </c>
      <c r="F576" s="26" t="e">
        <f t="shared" si="512"/>
        <v>#REF!</v>
      </c>
      <c r="G576" s="17">
        <v>11</v>
      </c>
      <c r="H576" s="17" t="s">
        <v>9</v>
      </c>
      <c r="I576" s="30" t="s">
        <v>60</v>
      </c>
      <c r="J576" s="22"/>
      <c r="K576" s="22"/>
      <c r="L576" s="8">
        <f t="shared" si="503"/>
        <v>0</v>
      </c>
      <c r="M576" s="24">
        <f t="shared" si="506"/>
        <v>0</v>
      </c>
      <c r="N576" s="14"/>
    </row>
    <row r="577" spans="1:17" s="2" customFormat="1" ht="30.75" thickBot="1" x14ac:dyDescent="0.3">
      <c r="A577" s="60">
        <v>44523</v>
      </c>
      <c r="B577" s="57">
        <f>B566</f>
        <v>48</v>
      </c>
      <c r="C577" s="57" t="s">
        <v>262</v>
      </c>
      <c r="D577" s="57" t="s">
        <v>263</v>
      </c>
      <c r="E577" s="61" t="e">
        <f t="shared" ref="E577:F577" si="513">+E576</f>
        <v>#REF!</v>
      </c>
      <c r="F577" s="61" t="e">
        <f t="shared" si="513"/>
        <v>#REF!</v>
      </c>
      <c r="G577" s="62">
        <f>+G576+1</f>
        <v>12</v>
      </c>
      <c r="H577" s="62" t="s">
        <v>10</v>
      </c>
      <c r="I577" s="46" t="s">
        <v>10</v>
      </c>
      <c r="J577" s="63">
        <v>8.5500000000000007</v>
      </c>
      <c r="K577" s="63">
        <v>8.3000000000000007</v>
      </c>
      <c r="L577" s="64">
        <f t="shared" si="503"/>
        <v>0.25</v>
      </c>
      <c r="M577" s="65">
        <f>+L577/SUMIF(C:C,C577,L:L)</f>
        <v>6.7567567567567613E-2</v>
      </c>
      <c r="N577" s="66" t="s">
        <v>265</v>
      </c>
      <c r="Q577" s="5"/>
    </row>
    <row r="578" spans="1:17" x14ac:dyDescent="0.25">
      <c r="A578" s="19">
        <v>44523</v>
      </c>
      <c r="B578" s="15">
        <f>B566+1</f>
        <v>49</v>
      </c>
      <c r="C578" s="15" t="s">
        <v>266</v>
      </c>
      <c r="D578" s="15" t="s">
        <v>267</v>
      </c>
      <c r="E578" s="25">
        <f>32.4-1.2</f>
        <v>31.2</v>
      </c>
      <c r="F578" s="25">
        <f>+SUM(L578:L589)</f>
        <v>31.099999999999987</v>
      </c>
      <c r="G578" s="16">
        <v>1</v>
      </c>
      <c r="H578" s="16" t="s">
        <v>9</v>
      </c>
      <c r="I578" s="59" t="s">
        <v>56</v>
      </c>
      <c r="J578" s="21">
        <f>1.6+9.7</f>
        <v>11.299999999999999</v>
      </c>
      <c r="K578" s="21">
        <f>0.5+8.3</f>
        <v>8.8000000000000007</v>
      </c>
      <c r="L578" s="12">
        <f>+J578-K578</f>
        <v>2.4999999999999982</v>
      </c>
      <c r="M578" s="23">
        <f>+L578/SUMIF(C:C,C578,L:L)</f>
        <v>8.0385852090032128E-2</v>
      </c>
      <c r="N578" s="13"/>
    </row>
    <row r="579" spans="1:17" x14ac:dyDescent="0.25">
      <c r="A579" s="20">
        <v>44523</v>
      </c>
      <c r="B579" s="1">
        <f>B578</f>
        <v>49</v>
      </c>
      <c r="C579" s="1" t="s">
        <v>266</v>
      </c>
      <c r="D579" s="1" t="s">
        <v>267</v>
      </c>
      <c r="E579" s="26">
        <f>+E578</f>
        <v>31.2</v>
      </c>
      <c r="F579" s="28">
        <f>+(F578-E578)/E578</f>
        <v>-3.2051282051285923E-3</v>
      </c>
      <c r="G579" s="17">
        <v>2</v>
      </c>
      <c r="H579" s="17" t="s">
        <v>9</v>
      </c>
      <c r="I579" s="30" t="s">
        <v>57</v>
      </c>
      <c r="J579" s="22">
        <f>9.4+9.75+9.9+9.75</f>
        <v>38.799999999999997</v>
      </c>
      <c r="K579" s="22">
        <f>8.3+8.55+8.55+8.55</f>
        <v>33.950000000000003</v>
      </c>
      <c r="L579" s="8">
        <f t="shared" ref="L579:L589" si="514">+J579-K579</f>
        <v>4.8499999999999943</v>
      </c>
      <c r="M579" s="24">
        <f t="shared" ref="M579" si="515">+L579/SUMIF(C:C,C579,L:L)</f>
        <v>0.15594855305466226</v>
      </c>
      <c r="N579" s="14"/>
    </row>
    <row r="580" spans="1:17" x14ac:dyDescent="0.25">
      <c r="A580" s="20">
        <v>44523</v>
      </c>
      <c r="B580" s="1">
        <f>B578</f>
        <v>49</v>
      </c>
      <c r="C580" s="1" t="s">
        <v>266</v>
      </c>
      <c r="D580" s="1" t="s">
        <v>267</v>
      </c>
      <c r="E580" s="26" t="e">
        <f>+#REF!</f>
        <v>#REF!</v>
      </c>
      <c r="F580" s="26" t="e">
        <f>+#REF!</f>
        <v>#REF!</v>
      </c>
      <c r="G580" s="17">
        <v>3</v>
      </c>
      <c r="H580" s="17" t="s">
        <v>9</v>
      </c>
      <c r="I580" s="30" t="s">
        <v>58</v>
      </c>
      <c r="J580" s="22">
        <f>10.15+9.7</f>
        <v>19.850000000000001</v>
      </c>
      <c r="K580" s="22">
        <f>8.3+8.25</f>
        <v>16.55</v>
      </c>
      <c r="L580" s="8">
        <f t="shared" si="514"/>
        <v>3.3000000000000007</v>
      </c>
      <c r="M580" s="24">
        <f>+L580/SUMIF(C:C,C580,L:L)</f>
        <v>0.10610932475884251</v>
      </c>
      <c r="N580" s="14"/>
    </row>
    <row r="581" spans="1:17" x14ac:dyDescent="0.25">
      <c r="A581" s="20">
        <v>44523</v>
      </c>
      <c r="B581" s="1">
        <f>B578</f>
        <v>49</v>
      </c>
      <c r="C581" s="1" t="s">
        <v>266</v>
      </c>
      <c r="D581" s="1" t="s">
        <v>267</v>
      </c>
      <c r="E581" s="26" t="e">
        <f t="shared" ref="E581:F581" si="516">+E580</f>
        <v>#REF!</v>
      </c>
      <c r="F581" s="26" t="e">
        <f t="shared" si="516"/>
        <v>#REF!</v>
      </c>
      <c r="G581" s="17">
        <v>4</v>
      </c>
      <c r="H581" s="17" t="s">
        <v>9</v>
      </c>
      <c r="I581" s="30" t="s">
        <v>22</v>
      </c>
      <c r="J581" s="22">
        <v>0.9</v>
      </c>
      <c r="K581" s="22">
        <v>0.55000000000000004</v>
      </c>
      <c r="L581" s="8">
        <f t="shared" si="514"/>
        <v>0.35</v>
      </c>
      <c r="M581" s="24">
        <f t="shared" ref="M581:M588" si="517">+L581/SUMIF(C:C,C581,L:L)</f>
        <v>1.1254019292604505E-2</v>
      </c>
      <c r="N581" s="14"/>
    </row>
    <row r="582" spans="1:17" x14ac:dyDescent="0.25">
      <c r="A582" s="20">
        <v>44523</v>
      </c>
      <c r="B582" s="1">
        <f>B578</f>
        <v>49</v>
      </c>
      <c r="C582" s="1" t="s">
        <v>266</v>
      </c>
      <c r="D582" s="1" t="s">
        <v>267</v>
      </c>
      <c r="E582" s="26" t="e">
        <f t="shared" ref="E582:F582" si="518">+E581</f>
        <v>#REF!</v>
      </c>
      <c r="F582" s="26" t="e">
        <f t="shared" si="518"/>
        <v>#REF!</v>
      </c>
      <c r="G582" s="17">
        <v>5</v>
      </c>
      <c r="H582" s="17" t="s">
        <v>9</v>
      </c>
      <c r="I582" s="30" t="s">
        <v>34</v>
      </c>
      <c r="J582" s="22">
        <v>1.1000000000000001</v>
      </c>
      <c r="K582" s="22">
        <v>0.55000000000000004</v>
      </c>
      <c r="L582" s="8">
        <f t="shared" si="514"/>
        <v>0.55000000000000004</v>
      </c>
      <c r="M582" s="24">
        <f t="shared" si="517"/>
        <v>1.7684887459807081E-2</v>
      </c>
      <c r="N582" s="14"/>
    </row>
    <row r="583" spans="1:17" x14ac:dyDescent="0.25">
      <c r="A583" s="20">
        <v>44523</v>
      </c>
      <c r="B583" s="1">
        <f>B578</f>
        <v>49</v>
      </c>
      <c r="C583" s="1" t="s">
        <v>266</v>
      </c>
      <c r="D583" s="1" t="s">
        <v>267</v>
      </c>
      <c r="E583" s="26" t="e">
        <f t="shared" ref="E583:F583" si="519">+E582</f>
        <v>#REF!</v>
      </c>
      <c r="F583" s="26" t="e">
        <f t="shared" si="519"/>
        <v>#REF!</v>
      </c>
      <c r="G583" s="17">
        <v>6</v>
      </c>
      <c r="H583" s="17" t="s">
        <v>9</v>
      </c>
      <c r="I583" s="30" t="s">
        <v>35</v>
      </c>
      <c r="J583" s="22"/>
      <c r="K583" s="22"/>
      <c r="L583" s="8">
        <f t="shared" si="514"/>
        <v>0</v>
      </c>
      <c r="M583" s="24">
        <f t="shared" si="517"/>
        <v>0</v>
      </c>
      <c r="N583" s="14"/>
    </row>
    <row r="584" spans="1:17" x14ac:dyDescent="0.25">
      <c r="A584" s="20">
        <v>44523</v>
      </c>
      <c r="B584" s="1">
        <f>B578</f>
        <v>49</v>
      </c>
      <c r="C584" s="1" t="s">
        <v>266</v>
      </c>
      <c r="D584" s="1" t="s">
        <v>267</v>
      </c>
      <c r="E584" s="26" t="e">
        <f t="shared" ref="E584:F584" si="520">+E583</f>
        <v>#REF!</v>
      </c>
      <c r="F584" s="26" t="e">
        <f t="shared" si="520"/>
        <v>#REF!</v>
      </c>
      <c r="G584" s="17">
        <v>7</v>
      </c>
      <c r="H584" s="17" t="s">
        <v>9</v>
      </c>
      <c r="I584" s="30" t="s">
        <v>36</v>
      </c>
      <c r="J584" s="22">
        <v>0.5</v>
      </c>
      <c r="K584" s="22">
        <v>0</v>
      </c>
      <c r="L584" s="8">
        <f t="shared" si="514"/>
        <v>0.5</v>
      </c>
      <c r="M584" s="24">
        <f t="shared" si="517"/>
        <v>1.6077170418006437E-2</v>
      </c>
      <c r="N584" s="14"/>
    </row>
    <row r="585" spans="1:17" x14ac:dyDescent="0.25">
      <c r="A585" s="20">
        <v>44523</v>
      </c>
      <c r="B585" s="1">
        <f>B578</f>
        <v>49</v>
      </c>
      <c r="C585" s="1" t="s">
        <v>266</v>
      </c>
      <c r="D585" s="1" t="s">
        <v>267</v>
      </c>
      <c r="E585" s="26" t="e">
        <f>+E584</f>
        <v>#REF!</v>
      </c>
      <c r="F585" s="26" t="e">
        <f>+F584</f>
        <v>#REF!</v>
      </c>
      <c r="G585" s="17">
        <v>8</v>
      </c>
      <c r="H585" s="17" t="s">
        <v>9</v>
      </c>
      <c r="I585" s="30" t="s">
        <v>59</v>
      </c>
      <c r="J585" s="22">
        <f>1.25+3.8</f>
        <v>5.05</v>
      </c>
      <c r="K585" s="22">
        <f>0.55+0.55</f>
        <v>1.1000000000000001</v>
      </c>
      <c r="L585" s="8">
        <f t="shared" si="514"/>
        <v>3.9499999999999997</v>
      </c>
      <c r="M585" s="24">
        <f t="shared" si="517"/>
        <v>0.12700964630225084</v>
      </c>
      <c r="N585" s="14"/>
    </row>
    <row r="586" spans="1:17" x14ac:dyDescent="0.25">
      <c r="A586" s="20">
        <v>44523</v>
      </c>
      <c r="B586" s="1">
        <f>B578</f>
        <v>49</v>
      </c>
      <c r="C586" s="1" t="s">
        <v>266</v>
      </c>
      <c r="D586" s="1" t="s">
        <v>267</v>
      </c>
      <c r="E586" s="26" t="e">
        <f t="shared" ref="E586:F586" si="521">+E585</f>
        <v>#REF!</v>
      </c>
      <c r="F586" s="26" t="e">
        <f t="shared" si="521"/>
        <v>#REF!</v>
      </c>
      <c r="G586" s="17">
        <v>9</v>
      </c>
      <c r="H586" s="17" t="s">
        <v>9</v>
      </c>
      <c r="I586" s="30" t="s">
        <v>38</v>
      </c>
      <c r="J586" s="22"/>
      <c r="K586" s="22"/>
      <c r="L586" s="8">
        <f t="shared" si="514"/>
        <v>0</v>
      </c>
      <c r="M586" s="24">
        <f t="shared" si="517"/>
        <v>0</v>
      </c>
      <c r="N586" s="14"/>
    </row>
    <row r="587" spans="1:17" x14ac:dyDescent="0.25">
      <c r="A587" s="20">
        <v>44523</v>
      </c>
      <c r="B587" s="1">
        <f>B578</f>
        <v>49</v>
      </c>
      <c r="C587" s="1" t="s">
        <v>266</v>
      </c>
      <c r="D587" s="1" t="s">
        <v>267</v>
      </c>
      <c r="E587" s="26" t="e">
        <f t="shared" ref="E587:F587" si="522">+E586</f>
        <v>#REF!</v>
      </c>
      <c r="F587" s="26" t="e">
        <f t="shared" si="522"/>
        <v>#REF!</v>
      </c>
      <c r="G587" s="17">
        <v>10</v>
      </c>
      <c r="H587" s="17" t="s">
        <v>9</v>
      </c>
      <c r="I587" s="30" t="s">
        <v>23</v>
      </c>
      <c r="J587" s="22">
        <f>3+3.2+11.6</f>
        <v>17.8</v>
      </c>
      <c r="K587" s="22">
        <f>0.55+0.55+8.55</f>
        <v>9.65</v>
      </c>
      <c r="L587" s="8">
        <f t="shared" si="514"/>
        <v>8.15</v>
      </c>
      <c r="M587" s="24">
        <f t="shared" si="517"/>
        <v>0.26205787781350492</v>
      </c>
      <c r="N587" s="14"/>
    </row>
    <row r="588" spans="1:17" x14ac:dyDescent="0.25">
      <c r="A588" s="20">
        <v>44523</v>
      </c>
      <c r="B588" s="1">
        <f>B578</f>
        <v>49</v>
      </c>
      <c r="C588" s="1" t="s">
        <v>266</v>
      </c>
      <c r="D588" s="1" t="s">
        <v>267</v>
      </c>
      <c r="E588" s="26" t="e">
        <f t="shared" ref="E588:F588" si="523">+E587</f>
        <v>#REF!</v>
      </c>
      <c r="F588" s="26" t="e">
        <f t="shared" si="523"/>
        <v>#REF!</v>
      </c>
      <c r="G588" s="17">
        <v>11</v>
      </c>
      <c r="H588" s="17" t="s">
        <v>9</v>
      </c>
      <c r="I588" s="30" t="s">
        <v>60</v>
      </c>
      <c r="J588" s="22">
        <v>0.75</v>
      </c>
      <c r="K588" s="22">
        <v>0.55000000000000004</v>
      </c>
      <c r="L588" s="8">
        <f t="shared" si="514"/>
        <v>0.19999999999999996</v>
      </c>
      <c r="M588" s="24">
        <f t="shared" si="517"/>
        <v>6.4308681672025731E-3</v>
      </c>
      <c r="N588" s="14"/>
    </row>
    <row r="589" spans="1:17" s="2" customFormat="1" ht="105.75" thickBot="1" x14ac:dyDescent="0.3">
      <c r="A589" s="60">
        <v>44523</v>
      </c>
      <c r="B589" s="57">
        <f>B578</f>
        <v>49</v>
      </c>
      <c r="C589" s="57" t="s">
        <v>266</v>
      </c>
      <c r="D589" s="57" t="s">
        <v>267</v>
      </c>
      <c r="E589" s="61" t="e">
        <f t="shared" ref="E589:F589" si="524">+E588</f>
        <v>#REF!</v>
      </c>
      <c r="F589" s="61" t="e">
        <f t="shared" si="524"/>
        <v>#REF!</v>
      </c>
      <c r="G589" s="62">
        <f>+G588+1</f>
        <v>12</v>
      </c>
      <c r="H589" s="62" t="s">
        <v>10</v>
      </c>
      <c r="I589" s="46" t="s">
        <v>10</v>
      </c>
      <c r="J589" s="63">
        <f>11.35+12.45</f>
        <v>23.799999999999997</v>
      </c>
      <c r="K589" s="63">
        <f>8.5+8.55</f>
        <v>17.05</v>
      </c>
      <c r="L589" s="64">
        <f t="shared" si="514"/>
        <v>6.7499999999999964</v>
      </c>
      <c r="M589" s="65">
        <f>+L589/SUMIF(C:C,C589,L:L)</f>
        <v>0.21704180064308679</v>
      </c>
      <c r="N589" s="66" t="s">
        <v>268</v>
      </c>
      <c r="Q589" s="5"/>
    </row>
    <row r="590" spans="1:17" x14ac:dyDescent="0.25">
      <c r="A590" s="19">
        <v>44523</v>
      </c>
      <c r="B590" s="15">
        <f>B578+1</f>
        <v>50</v>
      </c>
      <c r="C590" s="15" t="s">
        <v>270</v>
      </c>
      <c r="D590" s="15" t="s">
        <v>271</v>
      </c>
      <c r="E590" s="25">
        <f>11.4-1.2</f>
        <v>10.200000000000001</v>
      </c>
      <c r="F590" s="25">
        <f>+SUM(L590:L601)</f>
        <v>10.249999999999998</v>
      </c>
      <c r="G590" s="16">
        <v>1</v>
      </c>
      <c r="H590" s="16" t="s">
        <v>9</v>
      </c>
      <c r="I590" s="59" t="s">
        <v>56</v>
      </c>
      <c r="J590" s="21">
        <f>0.95</f>
        <v>0.95</v>
      </c>
      <c r="K590" s="21">
        <f>0.55</f>
        <v>0.55000000000000004</v>
      </c>
      <c r="L590" s="12">
        <f>+J590-K590</f>
        <v>0.39999999999999991</v>
      </c>
      <c r="M590" s="23">
        <f>+L590/SUMIF(C:C,C590,L:L)</f>
        <v>3.9024390243902439E-2</v>
      </c>
      <c r="N590" s="13"/>
      <c r="O590" t="s">
        <v>287</v>
      </c>
    </row>
    <row r="591" spans="1:17" x14ac:dyDescent="0.25">
      <c r="A591" s="20">
        <v>44523</v>
      </c>
      <c r="B591" s="1">
        <f>B590</f>
        <v>50</v>
      </c>
      <c r="C591" s="1" t="s">
        <v>270</v>
      </c>
      <c r="D591" s="1" t="s">
        <v>271</v>
      </c>
      <c r="E591" s="26">
        <f>+E590</f>
        <v>10.200000000000001</v>
      </c>
      <c r="F591" s="28">
        <f>+(F590-E590)/E590</f>
        <v>4.9019607843134461E-3</v>
      </c>
      <c r="G591" s="17">
        <v>2</v>
      </c>
      <c r="H591" s="17" t="s">
        <v>9</v>
      </c>
      <c r="I591" s="30" t="s">
        <v>57</v>
      </c>
      <c r="J591" s="22">
        <f>9.5+9.05</f>
        <v>18.55</v>
      </c>
      <c r="K591" s="22">
        <f>8.5+8.3</f>
        <v>16.8</v>
      </c>
      <c r="L591" s="8">
        <f t="shared" ref="L591:L601" si="525">+J591-K591</f>
        <v>1.75</v>
      </c>
      <c r="M591" s="24">
        <f t="shared" ref="M591" si="526">+L591/SUMIF(C:C,C591,L:L)</f>
        <v>0.17073170731707321</v>
      </c>
      <c r="N591" s="14"/>
      <c r="O591" t="s">
        <v>269</v>
      </c>
    </row>
    <row r="592" spans="1:17" x14ac:dyDescent="0.25">
      <c r="A592" s="20">
        <v>44523</v>
      </c>
      <c r="B592" s="1">
        <f>B590</f>
        <v>50</v>
      </c>
      <c r="C592" s="1" t="s">
        <v>270</v>
      </c>
      <c r="D592" s="1" t="s">
        <v>271</v>
      </c>
      <c r="E592" s="26" t="e">
        <f>+#REF!</f>
        <v>#REF!</v>
      </c>
      <c r="F592" s="26" t="e">
        <f>+#REF!</f>
        <v>#REF!</v>
      </c>
      <c r="G592" s="17">
        <v>3</v>
      </c>
      <c r="H592" s="17" t="s">
        <v>9</v>
      </c>
      <c r="I592" s="30" t="s">
        <v>58</v>
      </c>
      <c r="J592" s="22">
        <f>8.95+9.4</f>
        <v>18.350000000000001</v>
      </c>
      <c r="K592" s="22">
        <f>8.55+8.3</f>
        <v>16.850000000000001</v>
      </c>
      <c r="L592" s="8">
        <f t="shared" si="525"/>
        <v>1.5</v>
      </c>
      <c r="M592" s="24">
        <f>+L592/SUMIF(C:C,C592,L:L)</f>
        <v>0.14634146341463417</v>
      </c>
      <c r="N592" s="14"/>
    </row>
    <row r="593" spans="1:17" x14ac:dyDescent="0.25">
      <c r="A593" s="20">
        <v>44523</v>
      </c>
      <c r="B593" s="1">
        <f>B590</f>
        <v>50</v>
      </c>
      <c r="C593" s="1" t="s">
        <v>270</v>
      </c>
      <c r="D593" s="1" t="s">
        <v>271</v>
      </c>
      <c r="E593" s="26" t="e">
        <f t="shared" ref="E593:F593" si="527">+E592</f>
        <v>#REF!</v>
      </c>
      <c r="F593" s="26" t="e">
        <f t="shared" si="527"/>
        <v>#REF!</v>
      </c>
      <c r="G593" s="17">
        <v>4</v>
      </c>
      <c r="H593" s="17" t="s">
        <v>9</v>
      </c>
      <c r="I593" s="30" t="s">
        <v>22</v>
      </c>
      <c r="J593" s="22">
        <f>0.75</f>
        <v>0.75</v>
      </c>
      <c r="K593" s="22">
        <f>0.55</f>
        <v>0.55000000000000004</v>
      </c>
      <c r="L593" s="8">
        <f t="shared" si="525"/>
        <v>0.19999999999999996</v>
      </c>
      <c r="M593" s="24">
        <f t="shared" ref="M593:M600" si="528">+L593/SUMIF(C:C,C593,L:L)</f>
        <v>1.9512195121951219E-2</v>
      </c>
      <c r="N593" s="14"/>
    </row>
    <row r="594" spans="1:17" x14ac:dyDescent="0.25">
      <c r="A594" s="20">
        <v>44523</v>
      </c>
      <c r="B594" s="1">
        <f>B590</f>
        <v>50</v>
      </c>
      <c r="C594" s="1" t="s">
        <v>270</v>
      </c>
      <c r="D594" s="1" t="s">
        <v>271</v>
      </c>
      <c r="E594" s="26" t="e">
        <f t="shared" ref="E594:F594" si="529">+E593</f>
        <v>#REF!</v>
      </c>
      <c r="F594" s="26" t="e">
        <f t="shared" si="529"/>
        <v>#REF!</v>
      </c>
      <c r="G594" s="17">
        <v>5</v>
      </c>
      <c r="H594" s="17" t="s">
        <v>9</v>
      </c>
      <c r="I594" s="30" t="s">
        <v>34</v>
      </c>
      <c r="J594" s="22">
        <v>0.05</v>
      </c>
      <c r="K594" s="22">
        <v>0</v>
      </c>
      <c r="L594" s="8">
        <f t="shared" si="525"/>
        <v>0.05</v>
      </c>
      <c r="M594" s="24">
        <f t="shared" si="528"/>
        <v>4.8780487804878057E-3</v>
      </c>
      <c r="N594" s="14"/>
    </row>
    <row r="595" spans="1:17" x14ac:dyDescent="0.25">
      <c r="A595" s="20">
        <v>44523</v>
      </c>
      <c r="B595" s="1">
        <f>B590</f>
        <v>50</v>
      </c>
      <c r="C595" s="1" t="s">
        <v>270</v>
      </c>
      <c r="D595" s="1" t="s">
        <v>271</v>
      </c>
      <c r="E595" s="26" t="e">
        <f t="shared" ref="E595:F595" si="530">+E594</f>
        <v>#REF!</v>
      </c>
      <c r="F595" s="26" t="e">
        <f t="shared" si="530"/>
        <v>#REF!</v>
      </c>
      <c r="G595" s="17">
        <v>6</v>
      </c>
      <c r="H595" s="17" t="s">
        <v>9</v>
      </c>
      <c r="I595" s="30" t="s">
        <v>35</v>
      </c>
      <c r="J595" s="22"/>
      <c r="K595" s="22"/>
      <c r="L595" s="8">
        <f t="shared" si="525"/>
        <v>0</v>
      </c>
      <c r="M595" s="24">
        <f t="shared" si="528"/>
        <v>0</v>
      </c>
      <c r="N595" s="14"/>
    </row>
    <row r="596" spans="1:17" x14ac:dyDescent="0.25">
      <c r="A596" s="20">
        <v>44523</v>
      </c>
      <c r="B596" s="1">
        <f>B590</f>
        <v>50</v>
      </c>
      <c r="C596" s="1" t="s">
        <v>270</v>
      </c>
      <c r="D596" s="1" t="s">
        <v>271</v>
      </c>
      <c r="E596" s="26" t="e">
        <f t="shared" ref="E596:F596" si="531">+E595</f>
        <v>#REF!</v>
      </c>
      <c r="F596" s="26" t="e">
        <f t="shared" si="531"/>
        <v>#REF!</v>
      </c>
      <c r="G596" s="17">
        <v>7</v>
      </c>
      <c r="H596" s="17" t="s">
        <v>9</v>
      </c>
      <c r="I596" s="30" t="s">
        <v>36</v>
      </c>
      <c r="J596" s="22"/>
      <c r="K596" s="22"/>
      <c r="L596" s="8">
        <f t="shared" si="525"/>
        <v>0</v>
      </c>
      <c r="M596" s="24">
        <f t="shared" si="528"/>
        <v>0</v>
      </c>
      <c r="N596" s="14"/>
    </row>
    <row r="597" spans="1:17" x14ac:dyDescent="0.25">
      <c r="A597" s="20">
        <v>44523</v>
      </c>
      <c r="B597" s="1">
        <f>B590</f>
        <v>50</v>
      </c>
      <c r="C597" s="1" t="s">
        <v>270</v>
      </c>
      <c r="D597" s="1" t="s">
        <v>271</v>
      </c>
      <c r="E597" s="26" t="e">
        <f>+E596</f>
        <v>#REF!</v>
      </c>
      <c r="F597" s="26" t="e">
        <f>+F596</f>
        <v>#REF!</v>
      </c>
      <c r="G597" s="17">
        <v>8</v>
      </c>
      <c r="H597" s="17" t="s">
        <v>9</v>
      </c>
      <c r="I597" s="30" t="s">
        <v>59</v>
      </c>
      <c r="J597" s="22">
        <f>0.85</f>
        <v>0.85</v>
      </c>
      <c r="K597" s="22">
        <f>0.55</f>
        <v>0.55000000000000004</v>
      </c>
      <c r="L597" s="8">
        <f t="shared" si="525"/>
        <v>0.29999999999999993</v>
      </c>
      <c r="M597" s="24">
        <f t="shared" si="528"/>
        <v>2.9268292682926828E-2</v>
      </c>
      <c r="N597" s="14"/>
    </row>
    <row r="598" spans="1:17" x14ac:dyDescent="0.25">
      <c r="A598" s="20">
        <v>44523</v>
      </c>
      <c r="B598" s="1">
        <f>B590</f>
        <v>50</v>
      </c>
      <c r="C598" s="1" t="s">
        <v>270</v>
      </c>
      <c r="D598" s="1" t="s">
        <v>271</v>
      </c>
      <c r="E598" s="26" t="e">
        <f t="shared" ref="E598:F598" si="532">+E597</f>
        <v>#REF!</v>
      </c>
      <c r="F598" s="26" t="e">
        <f t="shared" si="532"/>
        <v>#REF!</v>
      </c>
      <c r="G598" s="17">
        <v>9</v>
      </c>
      <c r="H598" s="17" t="s">
        <v>9</v>
      </c>
      <c r="I598" s="30" t="s">
        <v>38</v>
      </c>
      <c r="J598" s="22"/>
      <c r="K598" s="22"/>
      <c r="L598" s="8">
        <f t="shared" si="525"/>
        <v>0</v>
      </c>
      <c r="M598" s="24">
        <f t="shared" si="528"/>
        <v>0</v>
      </c>
      <c r="N598" s="14"/>
    </row>
    <row r="599" spans="1:17" x14ac:dyDescent="0.25">
      <c r="A599" s="20">
        <v>44523</v>
      </c>
      <c r="B599" s="1">
        <f>B590</f>
        <v>50</v>
      </c>
      <c r="C599" s="1" t="s">
        <v>270</v>
      </c>
      <c r="D599" s="1" t="s">
        <v>271</v>
      </c>
      <c r="E599" s="26" t="e">
        <f t="shared" ref="E599:F599" si="533">+E598</f>
        <v>#REF!</v>
      </c>
      <c r="F599" s="26" t="e">
        <f t="shared" si="533"/>
        <v>#REF!</v>
      </c>
      <c r="G599" s="17">
        <v>10</v>
      </c>
      <c r="H599" s="17" t="s">
        <v>9</v>
      </c>
      <c r="I599" s="30" t="s">
        <v>23</v>
      </c>
      <c r="J599" s="22">
        <v>0.95</v>
      </c>
      <c r="K599" s="22">
        <f>0.55</f>
        <v>0.55000000000000004</v>
      </c>
      <c r="L599" s="8">
        <f t="shared" si="525"/>
        <v>0.39999999999999991</v>
      </c>
      <c r="M599" s="24">
        <f t="shared" si="528"/>
        <v>3.9024390243902439E-2</v>
      </c>
      <c r="N599" s="14"/>
    </row>
    <row r="600" spans="1:17" x14ac:dyDescent="0.25">
      <c r="A600" s="20">
        <v>44523</v>
      </c>
      <c r="B600" s="1">
        <f>B590</f>
        <v>50</v>
      </c>
      <c r="C600" s="1" t="s">
        <v>270</v>
      </c>
      <c r="D600" s="1" t="s">
        <v>271</v>
      </c>
      <c r="E600" s="26" t="e">
        <f t="shared" ref="E600:F600" si="534">+E599</f>
        <v>#REF!</v>
      </c>
      <c r="F600" s="26" t="e">
        <f t="shared" si="534"/>
        <v>#REF!</v>
      </c>
      <c r="G600" s="17">
        <v>11</v>
      </c>
      <c r="H600" s="17" t="s">
        <v>9</v>
      </c>
      <c r="I600" s="30" t="s">
        <v>60</v>
      </c>
      <c r="J600" s="22">
        <f>8.8+9.25+8.75</f>
        <v>26.8</v>
      </c>
      <c r="K600" s="22">
        <f>8.3+8.55+8.55</f>
        <v>25.400000000000002</v>
      </c>
      <c r="L600" s="8">
        <f t="shared" si="525"/>
        <v>1.3999999999999986</v>
      </c>
      <c r="M600" s="24">
        <f t="shared" si="528"/>
        <v>0.13658536585365841</v>
      </c>
      <c r="N600" s="14"/>
    </row>
    <row r="601" spans="1:17" s="2" customFormat="1" ht="90.75" thickBot="1" x14ac:dyDescent="0.3">
      <c r="A601" s="60">
        <v>44523</v>
      </c>
      <c r="B601" s="57">
        <f>B590</f>
        <v>50</v>
      </c>
      <c r="C601" s="57" t="s">
        <v>270</v>
      </c>
      <c r="D601" s="57" t="s">
        <v>271</v>
      </c>
      <c r="E601" s="61" t="e">
        <f t="shared" ref="E601:F601" si="535">+E600</f>
        <v>#REF!</v>
      </c>
      <c r="F601" s="61" t="e">
        <f t="shared" si="535"/>
        <v>#REF!</v>
      </c>
      <c r="G601" s="62">
        <f>+G600+1</f>
        <v>12</v>
      </c>
      <c r="H601" s="62" t="s">
        <v>10</v>
      </c>
      <c r="I601" s="46" t="s">
        <v>10</v>
      </c>
      <c r="J601" s="63">
        <f>10.7+10.65</f>
        <v>21.35</v>
      </c>
      <c r="K601" s="63">
        <f>8.55+8.55</f>
        <v>17.100000000000001</v>
      </c>
      <c r="L601" s="64">
        <f t="shared" si="525"/>
        <v>4.25</v>
      </c>
      <c r="M601" s="65">
        <f>+L601/SUMIF(C:C,C601,L:L)</f>
        <v>0.41463414634146351</v>
      </c>
      <c r="N601" s="66" t="s">
        <v>272</v>
      </c>
      <c r="Q601" s="5"/>
    </row>
    <row r="602" spans="1:17" x14ac:dyDescent="0.25">
      <c r="A602" s="19">
        <v>44523</v>
      </c>
      <c r="B602" s="15">
        <f>B590+1</f>
        <v>51</v>
      </c>
      <c r="C602" s="15" t="s">
        <v>273</v>
      </c>
      <c r="D602" s="15" t="s">
        <v>274</v>
      </c>
      <c r="E602" s="25">
        <f>10.6-1.2</f>
        <v>9.4</v>
      </c>
      <c r="F602" s="25">
        <f>+SUM(L602:L613)</f>
        <v>9.5000000000000018</v>
      </c>
      <c r="G602" s="16">
        <v>1</v>
      </c>
      <c r="H602" s="16" t="s">
        <v>9</v>
      </c>
      <c r="I602" s="59" t="s">
        <v>56</v>
      </c>
      <c r="J602" s="21">
        <v>0.65</v>
      </c>
      <c r="K602" s="21">
        <v>0.55000000000000004</v>
      </c>
      <c r="L602" s="12">
        <f>+J602-K602</f>
        <v>9.9999999999999978E-2</v>
      </c>
      <c r="M602" s="23">
        <f>+L602/SUMIF(C:C,C602,L:L)</f>
        <v>1.0526315789473681E-2</v>
      </c>
      <c r="N602" s="13"/>
      <c r="O602" t="s">
        <v>286</v>
      </c>
    </row>
    <row r="603" spans="1:17" x14ac:dyDescent="0.25">
      <c r="A603" s="20">
        <v>44523</v>
      </c>
      <c r="B603" s="1">
        <f>B602</f>
        <v>51</v>
      </c>
      <c r="C603" s="1" t="s">
        <v>273</v>
      </c>
      <c r="D603" s="1" t="s">
        <v>274</v>
      </c>
      <c r="E603" s="26">
        <f>+E602</f>
        <v>9.4</v>
      </c>
      <c r="F603" s="28">
        <f>+(F602-E602)/E602</f>
        <v>1.0638297872340576E-2</v>
      </c>
      <c r="G603" s="17">
        <v>2</v>
      </c>
      <c r="H603" s="17" t="s">
        <v>9</v>
      </c>
      <c r="I603" s="30" t="s">
        <v>57</v>
      </c>
      <c r="J603" s="22">
        <v>0.1</v>
      </c>
      <c r="K603" s="22">
        <v>0</v>
      </c>
      <c r="L603" s="8">
        <f t="shared" ref="L603:L613" si="536">+J603-K603</f>
        <v>0.1</v>
      </c>
      <c r="M603" s="24">
        <f t="shared" ref="M603" si="537">+L603/SUMIF(C:C,C603,L:L)</f>
        <v>1.0526315789473682E-2</v>
      </c>
      <c r="N603" s="14"/>
      <c r="O603" t="s">
        <v>279</v>
      </c>
    </row>
    <row r="604" spans="1:17" x14ac:dyDescent="0.25">
      <c r="A604" s="20">
        <v>44523</v>
      </c>
      <c r="B604" s="1">
        <f>B602</f>
        <v>51</v>
      </c>
      <c r="C604" s="1" t="s">
        <v>273</v>
      </c>
      <c r="D604" s="1" t="s">
        <v>274</v>
      </c>
      <c r="E604" s="26" t="e">
        <f>+#REF!</f>
        <v>#REF!</v>
      </c>
      <c r="F604" s="26" t="e">
        <f>+#REF!</f>
        <v>#REF!</v>
      </c>
      <c r="G604" s="17">
        <v>3</v>
      </c>
      <c r="H604" s="17" t="s">
        <v>9</v>
      </c>
      <c r="I604" s="30" t="s">
        <v>58</v>
      </c>
      <c r="J604" s="22">
        <v>1</v>
      </c>
      <c r="K604" s="22">
        <v>0.55000000000000004</v>
      </c>
      <c r="L604" s="8">
        <f t="shared" si="536"/>
        <v>0.44999999999999996</v>
      </c>
      <c r="M604" s="24">
        <f>+L604/SUMIF(C:C,C604,L:L)</f>
        <v>4.7368421052631567E-2</v>
      </c>
      <c r="N604" s="14"/>
    </row>
    <row r="605" spans="1:17" x14ac:dyDescent="0.25">
      <c r="A605" s="20">
        <v>44523</v>
      </c>
      <c r="B605" s="1">
        <f>B602</f>
        <v>51</v>
      </c>
      <c r="C605" s="1" t="s">
        <v>273</v>
      </c>
      <c r="D605" s="1" t="s">
        <v>274</v>
      </c>
      <c r="E605" s="26" t="e">
        <f t="shared" ref="E605:F605" si="538">+E604</f>
        <v>#REF!</v>
      </c>
      <c r="F605" s="26" t="e">
        <f t="shared" si="538"/>
        <v>#REF!</v>
      </c>
      <c r="G605" s="17">
        <v>4</v>
      </c>
      <c r="H605" s="17" t="s">
        <v>9</v>
      </c>
      <c r="I605" s="30" t="s">
        <v>22</v>
      </c>
      <c r="J605" s="22"/>
      <c r="K605" s="22"/>
      <c r="L605" s="8">
        <f t="shared" si="536"/>
        <v>0</v>
      </c>
      <c r="M605" s="24">
        <f t="shared" ref="M605:M612" si="539">+L605/SUMIF(C:C,C605,L:L)</f>
        <v>0</v>
      </c>
      <c r="N605" s="14"/>
    </row>
    <row r="606" spans="1:17" x14ac:dyDescent="0.25">
      <c r="A606" s="20">
        <v>44523</v>
      </c>
      <c r="B606" s="1">
        <f>B602</f>
        <v>51</v>
      </c>
      <c r="C606" s="1" t="s">
        <v>273</v>
      </c>
      <c r="D606" s="1" t="s">
        <v>274</v>
      </c>
      <c r="E606" s="26" t="e">
        <f t="shared" ref="E606:F606" si="540">+E605</f>
        <v>#REF!</v>
      </c>
      <c r="F606" s="26" t="e">
        <f t="shared" si="540"/>
        <v>#REF!</v>
      </c>
      <c r="G606" s="17">
        <v>5</v>
      </c>
      <c r="H606" s="17" t="s">
        <v>9</v>
      </c>
      <c r="I606" s="30" t="s">
        <v>34</v>
      </c>
      <c r="J606" s="22"/>
      <c r="K606" s="22"/>
      <c r="L606" s="8">
        <f t="shared" si="536"/>
        <v>0</v>
      </c>
      <c r="M606" s="24">
        <f t="shared" si="539"/>
        <v>0</v>
      </c>
      <c r="N606" s="14"/>
    </row>
    <row r="607" spans="1:17" x14ac:dyDescent="0.25">
      <c r="A607" s="20">
        <v>44523</v>
      </c>
      <c r="B607" s="1">
        <f>B602</f>
        <v>51</v>
      </c>
      <c r="C607" s="1" t="s">
        <v>273</v>
      </c>
      <c r="D607" s="1" t="s">
        <v>274</v>
      </c>
      <c r="E607" s="26" t="e">
        <f t="shared" ref="E607:F607" si="541">+E606</f>
        <v>#REF!</v>
      </c>
      <c r="F607" s="26" t="e">
        <f t="shared" si="541"/>
        <v>#REF!</v>
      </c>
      <c r="G607" s="17">
        <v>6</v>
      </c>
      <c r="H607" s="17" t="s">
        <v>9</v>
      </c>
      <c r="I607" s="30" t="s">
        <v>35</v>
      </c>
      <c r="J607" s="22"/>
      <c r="K607" s="22"/>
      <c r="L607" s="8">
        <f t="shared" si="536"/>
        <v>0</v>
      </c>
      <c r="M607" s="24">
        <f t="shared" si="539"/>
        <v>0</v>
      </c>
      <c r="N607" s="14"/>
    </row>
    <row r="608" spans="1:17" x14ac:dyDescent="0.25">
      <c r="A608" s="20">
        <v>44523</v>
      </c>
      <c r="B608" s="1">
        <f>B602</f>
        <v>51</v>
      </c>
      <c r="C608" s="1" t="s">
        <v>273</v>
      </c>
      <c r="D608" s="1" t="s">
        <v>274</v>
      </c>
      <c r="E608" s="26" t="e">
        <f t="shared" ref="E608:F608" si="542">+E607</f>
        <v>#REF!</v>
      </c>
      <c r="F608" s="26" t="e">
        <f t="shared" si="542"/>
        <v>#REF!</v>
      </c>
      <c r="G608" s="17">
        <v>7</v>
      </c>
      <c r="H608" s="17" t="s">
        <v>9</v>
      </c>
      <c r="I608" s="30" t="s">
        <v>36</v>
      </c>
      <c r="J608" s="22"/>
      <c r="K608" s="22"/>
      <c r="L608" s="8">
        <f t="shared" si="536"/>
        <v>0</v>
      </c>
      <c r="M608" s="24">
        <f t="shared" si="539"/>
        <v>0</v>
      </c>
      <c r="N608" s="14"/>
    </row>
    <row r="609" spans="1:17" x14ac:dyDescent="0.25">
      <c r="A609" s="20">
        <v>44523</v>
      </c>
      <c r="B609" s="1">
        <f>B602</f>
        <v>51</v>
      </c>
      <c r="C609" s="1" t="s">
        <v>273</v>
      </c>
      <c r="D609" s="1" t="s">
        <v>274</v>
      </c>
      <c r="E609" s="26" t="e">
        <f>+E608</f>
        <v>#REF!</v>
      </c>
      <c r="F609" s="26" t="e">
        <f>+F608</f>
        <v>#REF!</v>
      </c>
      <c r="G609" s="17">
        <v>8</v>
      </c>
      <c r="H609" s="17" t="s">
        <v>9</v>
      </c>
      <c r="I609" s="30" t="s">
        <v>59</v>
      </c>
      <c r="J609" s="22">
        <f>10+9.55</f>
        <v>19.55</v>
      </c>
      <c r="K609" s="22">
        <f>8.55+8.55</f>
        <v>17.100000000000001</v>
      </c>
      <c r="L609" s="8">
        <f t="shared" si="536"/>
        <v>2.4499999999999993</v>
      </c>
      <c r="M609" s="24">
        <f t="shared" si="539"/>
        <v>0.25789473684210512</v>
      </c>
      <c r="N609" s="14"/>
    </row>
    <row r="610" spans="1:17" x14ac:dyDescent="0.25">
      <c r="A610" s="20">
        <v>44523</v>
      </c>
      <c r="B610" s="1">
        <f>B602</f>
        <v>51</v>
      </c>
      <c r="C610" s="1" t="s">
        <v>273</v>
      </c>
      <c r="D610" s="1" t="s">
        <v>274</v>
      </c>
      <c r="E610" s="26" t="e">
        <f t="shared" ref="E610:F610" si="543">+E609</f>
        <v>#REF!</v>
      </c>
      <c r="F610" s="26" t="e">
        <f t="shared" si="543"/>
        <v>#REF!</v>
      </c>
      <c r="G610" s="17">
        <v>9</v>
      </c>
      <c r="H610" s="17" t="s">
        <v>9</v>
      </c>
      <c r="I610" s="30" t="s">
        <v>38</v>
      </c>
      <c r="J610" s="22"/>
      <c r="K610" s="22"/>
      <c r="L610" s="8">
        <f t="shared" si="536"/>
        <v>0</v>
      </c>
      <c r="M610" s="24">
        <f t="shared" si="539"/>
        <v>0</v>
      </c>
      <c r="N610" s="14"/>
    </row>
    <row r="611" spans="1:17" x14ac:dyDescent="0.25">
      <c r="A611" s="20">
        <v>44523</v>
      </c>
      <c r="B611" s="1">
        <f>B602</f>
        <v>51</v>
      </c>
      <c r="C611" s="1" t="s">
        <v>273</v>
      </c>
      <c r="D611" s="1" t="s">
        <v>274</v>
      </c>
      <c r="E611" s="26" t="e">
        <f t="shared" ref="E611:F611" si="544">+E610</f>
        <v>#REF!</v>
      </c>
      <c r="F611" s="26" t="e">
        <f t="shared" si="544"/>
        <v>#REF!</v>
      </c>
      <c r="G611" s="17">
        <v>10</v>
      </c>
      <c r="H611" s="17" t="s">
        <v>9</v>
      </c>
      <c r="I611" s="30" t="s">
        <v>23</v>
      </c>
      <c r="J611" s="22">
        <f>11+10.35+9.3</f>
        <v>30.650000000000002</v>
      </c>
      <c r="K611" s="22">
        <f>8.3+8.25+8.55</f>
        <v>25.1</v>
      </c>
      <c r="L611" s="8">
        <f t="shared" si="536"/>
        <v>5.5500000000000007</v>
      </c>
      <c r="M611" s="24">
        <f t="shared" si="539"/>
        <v>0.5842105263157894</v>
      </c>
      <c r="N611" s="14"/>
    </row>
    <row r="612" spans="1:17" x14ac:dyDescent="0.25">
      <c r="A612" s="20">
        <v>44523</v>
      </c>
      <c r="B612" s="1">
        <f>B602</f>
        <v>51</v>
      </c>
      <c r="C612" s="1" t="s">
        <v>273</v>
      </c>
      <c r="D612" s="1" t="s">
        <v>274</v>
      </c>
      <c r="E612" s="26" t="e">
        <f t="shared" ref="E612:F612" si="545">+E611</f>
        <v>#REF!</v>
      </c>
      <c r="F612" s="26" t="e">
        <f t="shared" si="545"/>
        <v>#REF!</v>
      </c>
      <c r="G612" s="17">
        <v>11</v>
      </c>
      <c r="H612" s="17" t="s">
        <v>9</v>
      </c>
      <c r="I612" s="30" t="s">
        <v>60</v>
      </c>
      <c r="J612" s="22"/>
      <c r="K612" s="22"/>
      <c r="L612" s="8">
        <f t="shared" si="536"/>
        <v>0</v>
      </c>
      <c r="M612" s="24">
        <f t="shared" si="539"/>
        <v>0</v>
      </c>
      <c r="N612" s="14"/>
    </row>
    <row r="613" spans="1:17" s="2" customFormat="1" ht="15.75" thickBot="1" x14ac:dyDescent="0.3">
      <c r="A613" s="60">
        <v>44523</v>
      </c>
      <c r="B613" s="57">
        <f>B602</f>
        <v>51</v>
      </c>
      <c r="C613" s="57" t="s">
        <v>273</v>
      </c>
      <c r="D613" s="57" t="s">
        <v>274</v>
      </c>
      <c r="E613" s="61" t="e">
        <f t="shared" ref="E613:F613" si="546">+E612</f>
        <v>#REF!</v>
      </c>
      <c r="F613" s="61" t="e">
        <f t="shared" si="546"/>
        <v>#REF!</v>
      </c>
      <c r="G613" s="62">
        <f>+G612+1</f>
        <v>12</v>
      </c>
      <c r="H613" s="62" t="s">
        <v>10</v>
      </c>
      <c r="I613" s="46" t="s">
        <v>10</v>
      </c>
      <c r="J613" s="63">
        <f>8.65+9.05</f>
        <v>17.700000000000003</v>
      </c>
      <c r="K613" s="63">
        <f>8.3+8.55</f>
        <v>16.850000000000001</v>
      </c>
      <c r="L613" s="64">
        <f t="shared" si="536"/>
        <v>0.85000000000000142</v>
      </c>
      <c r="M613" s="65">
        <f>+L613/SUMIF(C:C,C613,L:L)</f>
        <v>8.9473684210526455E-2</v>
      </c>
      <c r="N613" s="66"/>
      <c r="Q613" s="5"/>
    </row>
    <row r="614" spans="1:17" x14ac:dyDescent="0.25">
      <c r="A614" s="19">
        <v>44523</v>
      </c>
      <c r="B614" s="15">
        <f>B602+1</f>
        <v>52</v>
      </c>
      <c r="C614" s="15" t="s">
        <v>275</v>
      </c>
      <c r="D614" s="15" t="s">
        <v>276</v>
      </c>
      <c r="E614" s="25">
        <f>25.8-1.2</f>
        <v>24.6</v>
      </c>
      <c r="F614" s="25">
        <f>+SUM(L614:L625)</f>
        <v>24.399999999999984</v>
      </c>
      <c r="G614" s="16">
        <v>1</v>
      </c>
      <c r="H614" s="16" t="s">
        <v>9</v>
      </c>
      <c r="I614" s="59" t="s">
        <v>56</v>
      </c>
      <c r="J614" s="21">
        <v>2.65</v>
      </c>
      <c r="K614" s="21">
        <v>0.5</v>
      </c>
      <c r="L614" s="12">
        <f>+J614-K614</f>
        <v>2.15</v>
      </c>
      <c r="M614" s="23">
        <f>+L614/SUMIF(C:C,C614,L:L)</f>
        <v>8.8114754098360712E-2</v>
      </c>
      <c r="N614" s="13" t="s">
        <v>277</v>
      </c>
      <c r="O614" t="s">
        <v>286</v>
      </c>
    </row>
    <row r="615" spans="1:17" x14ac:dyDescent="0.25">
      <c r="A615" s="20">
        <v>44523</v>
      </c>
      <c r="B615" s="1">
        <f>B614</f>
        <v>52</v>
      </c>
      <c r="C615" s="1" t="s">
        <v>275</v>
      </c>
      <c r="D615" s="1" t="s">
        <v>276</v>
      </c>
      <c r="E615" s="26">
        <f>+E614</f>
        <v>24.6</v>
      </c>
      <c r="F615" s="28">
        <f>+(F614-E614)/E614</f>
        <v>-8.1300813008137011E-3</v>
      </c>
      <c r="G615" s="17">
        <v>2</v>
      </c>
      <c r="H615" s="17" t="s">
        <v>9</v>
      </c>
      <c r="I615" s="30" t="s">
        <v>57</v>
      </c>
      <c r="J615" s="22">
        <f>1.75</f>
        <v>1.75</v>
      </c>
      <c r="K615" s="22">
        <v>0.55000000000000004</v>
      </c>
      <c r="L615" s="8">
        <f t="shared" ref="L615:L625" si="547">+J615-K615</f>
        <v>1.2</v>
      </c>
      <c r="M615" s="24">
        <f t="shared" ref="M615" si="548">+L615/SUMIF(C:C,C615,L:L)</f>
        <v>4.9180327868852486E-2</v>
      </c>
      <c r="N615" s="14"/>
      <c r="O615" t="s">
        <v>278</v>
      </c>
    </row>
    <row r="616" spans="1:17" x14ac:dyDescent="0.25">
      <c r="A616" s="20">
        <v>44523</v>
      </c>
      <c r="B616" s="1">
        <f>B614</f>
        <v>52</v>
      </c>
      <c r="C616" s="1" t="s">
        <v>275</v>
      </c>
      <c r="D616" s="1" t="s">
        <v>276</v>
      </c>
      <c r="E616" s="26" t="e">
        <f>+#REF!</f>
        <v>#REF!</v>
      </c>
      <c r="F616" s="26" t="e">
        <f>+#REF!</f>
        <v>#REF!</v>
      </c>
      <c r="G616" s="17">
        <v>3</v>
      </c>
      <c r="H616" s="17" t="s">
        <v>9</v>
      </c>
      <c r="I616" s="30" t="s">
        <v>58</v>
      </c>
      <c r="J616" s="22">
        <f>10.1+10.9</f>
        <v>21</v>
      </c>
      <c r="K616" s="22">
        <f>8.25+8.3</f>
        <v>16.55</v>
      </c>
      <c r="L616" s="8">
        <f t="shared" si="547"/>
        <v>4.4499999999999993</v>
      </c>
      <c r="M616" s="24">
        <f>+L616/SUMIF(C:C,C616,L:L)</f>
        <v>0.18237704918032796</v>
      </c>
      <c r="N616" s="14"/>
    </row>
    <row r="617" spans="1:17" x14ac:dyDescent="0.25">
      <c r="A617" s="20">
        <v>44523</v>
      </c>
      <c r="B617" s="1">
        <f>B614</f>
        <v>52</v>
      </c>
      <c r="C617" s="1" t="s">
        <v>275</v>
      </c>
      <c r="D617" s="1" t="s">
        <v>276</v>
      </c>
      <c r="E617" s="26" t="e">
        <f t="shared" ref="E617:F617" si="549">+E616</f>
        <v>#REF!</v>
      </c>
      <c r="F617" s="26" t="e">
        <f t="shared" si="549"/>
        <v>#REF!</v>
      </c>
      <c r="G617" s="17">
        <v>4</v>
      </c>
      <c r="H617" s="17" t="s">
        <v>9</v>
      </c>
      <c r="I617" s="30" t="s">
        <v>22</v>
      </c>
      <c r="J617" s="22">
        <v>0.6</v>
      </c>
      <c r="K617" s="22">
        <v>0.55000000000000004</v>
      </c>
      <c r="L617" s="8">
        <f t="shared" si="547"/>
        <v>4.9999999999999933E-2</v>
      </c>
      <c r="M617" s="24">
        <f t="shared" ref="M617:M624" si="550">+L617/SUMIF(C:C,C617,L:L)</f>
        <v>2.0491803278688508E-3</v>
      </c>
      <c r="N617" s="14"/>
    </row>
    <row r="618" spans="1:17" x14ac:dyDescent="0.25">
      <c r="A618" s="20">
        <v>44523</v>
      </c>
      <c r="B618" s="1">
        <f>B614</f>
        <v>52</v>
      </c>
      <c r="C618" s="1" t="s">
        <v>275</v>
      </c>
      <c r="D618" s="1" t="s">
        <v>276</v>
      </c>
      <c r="E618" s="26" t="e">
        <f t="shared" ref="E618:F618" si="551">+E617</f>
        <v>#REF!</v>
      </c>
      <c r="F618" s="26" t="e">
        <f t="shared" si="551"/>
        <v>#REF!</v>
      </c>
      <c r="G618" s="17">
        <v>5</v>
      </c>
      <c r="H618" s="17" t="s">
        <v>9</v>
      </c>
      <c r="I618" s="30" t="s">
        <v>34</v>
      </c>
      <c r="J618" s="22">
        <v>0.8</v>
      </c>
      <c r="K618" s="22">
        <v>0.55000000000000004</v>
      </c>
      <c r="L618" s="8">
        <f t="shared" si="547"/>
        <v>0.25</v>
      </c>
      <c r="M618" s="24">
        <f t="shared" si="550"/>
        <v>1.0245901639344268E-2</v>
      </c>
      <c r="N618" s="14"/>
    </row>
    <row r="619" spans="1:17" x14ac:dyDescent="0.25">
      <c r="A619" s="20">
        <v>44523</v>
      </c>
      <c r="B619" s="1">
        <f>B614</f>
        <v>52</v>
      </c>
      <c r="C619" s="1" t="s">
        <v>275</v>
      </c>
      <c r="D619" s="1" t="s">
        <v>276</v>
      </c>
      <c r="E619" s="26" t="e">
        <f t="shared" ref="E619:F619" si="552">+E618</f>
        <v>#REF!</v>
      </c>
      <c r="F619" s="26" t="e">
        <f t="shared" si="552"/>
        <v>#REF!</v>
      </c>
      <c r="G619" s="17">
        <v>6</v>
      </c>
      <c r="H619" s="17" t="s">
        <v>9</v>
      </c>
      <c r="I619" s="30" t="s">
        <v>35</v>
      </c>
      <c r="J619" s="22"/>
      <c r="K619" s="22"/>
      <c r="L619" s="8">
        <f t="shared" si="547"/>
        <v>0</v>
      </c>
      <c r="M619" s="24">
        <f t="shared" si="550"/>
        <v>0</v>
      </c>
      <c r="N619" s="14"/>
    </row>
    <row r="620" spans="1:17" x14ac:dyDescent="0.25">
      <c r="A620" s="20">
        <v>44523</v>
      </c>
      <c r="B620" s="1">
        <f>B614</f>
        <v>52</v>
      </c>
      <c r="C620" s="1" t="s">
        <v>275</v>
      </c>
      <c r="D620" s="1" t="s">
        <v>276</v>
      </c>
      <c r="E620" s="26" t="e">
        <f t="shared" ref="E620:F620" si="553">+E619</f>
        <v>#REF!</v>
      </c>
      <c r="F620" s="26" t="e">
        <f t="shared" si="553"/>
        <v>#REF!</v>
      </c>
      <c r="G620" s="17">
        <v>7</v>
      </c>
      <c r="H620" s="17" t="s">
        <v>9</v>
      </c>
      <c r="I620" s="30" t="s">
        <v>36</v>
      </c>
      <c r="J620" s="22"/>
      <c r="K620" s="22"/>
      <c r="L620" s="8">
        <f t="shared" si="547"/>
        <v>0</v>
      </c>
      <c r="M620" s="24">
        <f t="shared" si="550"/>
        <v>0</v>
      </c>
      <c r="N620" s="14"/>
    </row>
    <row r="621" spans="1:17" x14ac:dyDescent="0.25">
      <c r="A621" s="20">
        <v>44523</v>
      </c>
      <c r="B621" s="1">
        <f>B614</f>
        <v>52</v>
      </c>
      <c r="C621" s="1" t="s">
        <v>275</v>
      </c>
      <c r="D621" s="1" t="s">
        <v>276</v>
      </c>
      <c r="E621" s="26" t="e">
        <f>+E620</f>
        <v>#REF!</v>
      </c>
      <c r="F621" s="26" t="e">
        <f>+F620</f>
        <v>#REF!</v>
      </c>
      <c r="G621" s="17">
        <v>8</v>
      </c>
      <c r="H621" s="17" t="s">
        <v>9</v>
      </c>
      <c r="I621" s="30" t="s">
        <v>59</v>
      </c>
      <c r="J621" s="22">
        <v>3</v>
      </c>
      <c r="K621" s="22">
        <v>0.55000000000000004</v>
      </c>
      <c r="L621" s="8">
        <f t="shared" si="547"/>
        <v>2.4500000000000002</v>
      </c>
      <c r="M621" s="24">
        <f t="shared" si="550"/>
        <v>0.10040983606557384</v>
      </c>
      <c r="N621" s="14"/>
    </row>
    <row r="622" spans="1:17" x14ac:dyDescent="0.25">
      <c r="A622" s="20">
        <v>44523</v>
      </c>
      <c r="B622" s="1">
        <f>B614</f>
        <v>52</v>
      </c>
      <c r="C622" s="1" t="s">
        <v>275</v>
      </c>
      <c r="D622" s="1" t="s">
        <v>276</v>
      </c>
      <c r="E622" s="26" t="e">
        <f t="shared" ref="E622:F622" si="554">+E621</f>
        <v>#REF!</v>
      </c>
      <c r="F622" s="26" t="e">
        <f t="shared" si="554"/>
        <v>#REF!</v>
      </c>
      <c r="G622" s="17">
        <v>9</v>
      </c>
      <c r="H622" s="17" t="s">
        <v>9</v>
      </c>
      <c r="I622" s="30" t="s">
        <v>38</v>
      </c>
      <c r="J622" s="22"/>
      <c r="K622" s="22"/>
      <c r="L622" s="8">
        <f t="shared" si="547"/>
        <v>0</v>
      </c>
      <c r="M622" s="24">
        <f t="shared" si="550"/>
        <v>0</v>
      </c>
      <c r="N622" s="14"/>
    </row>
    <row r="623" spans="1:17" x14ac:dyDescent="0.25">
      <c r="A623" s="20">
        <v>44523</v>
      </c>
      <c r="B623" s="1">
        <f>B614</f>
        <v>52</v>
      </c>
      <c r="C623" s="1" t="s">
        <v>275</v>
      </c>
      <c r="D623" s="1" t="s">
        <v>276</v>
      </c>
      <c r="E623" s="26" t="e">
        <f t="shared" ref="E623:F623" si="555">+E622</f>
        <v>#REF!</v>
      </c>
      <c r="F623" s="26" t="e">
        <f t="shared" si="555"/>
        <v>#REF!</v>
      </c>
      <c r="G623" s="17">
        <v>10</v>
      </c>
      <c r="H623" s="17" t="s">
        <v>9</v>
      </c>
      <c r="I623" s="30" t="s">
        <v>23</v>
      </c>
      <c r="J623" s="22">
        <f>13.45+11.85</f>
        <v>25.299999999999997</v>
      </c>
      <c r="K623" s="22">
        <f>8.55+8.55</f>
        <v>17.100000000000001</v>
      </c>
      <c r="L623" s="8">
        <f t="shared" si="547"/>
        <v>8.1999999999999957</v>
      </c>
      <c r="M623" s="24">
        <f t="shared" si="550"/>
        <v>0.33606557377049184</v>
      </c>
      <c r="N623" s="14"/>
    </row>
    <row r="624" spans="1:17" x14ac:dyDescent="0.25">
      <c r="A624" s="20">
        <v>44523</v>
      </c>
      <c r="B624" s="1">
        <f>B614</f>
        <v>52</v>
      </c>
      <c r="C624" s="1" t="s">
        <v>275</v>
      </c>
      <c r="D624" s="1" t="s">
        <v>276</v>
      </c>
      <c r="E624" s="26" t="e">
        <f t="shared" ref="E624:F624" si="556">+E623</f>
        <v>#REF!</v>
      </c>
      <c r="F624" s="26" t="e">
        <f t="shared" si="556"/>
        <v>#REF!</v>
      </c>
      <c r="G624" s="17">
        <v>11</v>
      </c>
      <c r="H624" s="17" t="s">
        <v>9</v>
      </c>
      <c r="I624" s="30" t="s">
        <v>60</v>
      </c>
      <c r="J624" s="22">
        <v>0.7</v>
      </c>
      <c r="K624" s="22">
        <v>0.55000000000000004</v>
      </c>
      <c r="L624" s="8">
        <f t="shared" si="547"/>
        <v>0.14999999999999991</v>
      </c>
      <c r="M624" s="24">
        <f t="shared" si="550"/>
        <v>6.1475409836065573E-3</v>
      </c>
      <c r="N624" s="14"/>
    </row>
    <row r="625" spans="1:17" s="2" customFormat="1" ht="15.75" thickBot="1" x14ac:dyDescent="0.3">
      <c r="A625" s="60">
        <v>44523</v>
      </c>
      <c r="B625" s="57">
        <f>B614</f>
        <v>52</v>
      </c>
      <c r="C625" s="57" t="s">
        <v>275</v>
      </c>
      <c r="D625" s="57" t="s">
        <v>276</v>
      </c>
      <c r="E625" s="61" t="e">
        <f t="shared" ref="E625:F625" si="557">+E624</f>
        <v>#REF!</v>
      </c>
      <c r="F625" s="61" t="e">
        <f t="shared" si="557"/>
        <v>#REF!</v>
      </c>
      <c r="G625" s="62">
        <f>+G624+1</f>
        <v>12</v>
      </c>
      <c r="H625" s="62" t="s">
        <v>10</v>
      </c>
      <c r="I625" s="46" t="s">
        <v>10</v>
      </c>
      <c r="J625" s="63">
        <f>10.15+8.9+10.2+9.9</f>
        <v>39.15</v>
      </c>
      <c r="K625" s="63">
        <f>8.55+8.25+8.3+8.55</f>
        <v>33.650000000000006</v>
      </c>
      <c r="L625" s="64">
        <f t="shared" si="547"/>
        <v>5.4999999999999929</v>
      </c>
      <c r="M625" s="65">
        <f>+L625/SUMIF(C:C,C625,L:L)</f>
        <v>0.22540983606557363</v>
      </c>
      <c r="N625" s="66"/>
      <c r="Q625" s="5"/>
    </row>
    <row r="626" spans="1:17" x14ac:dyDescent="0.25">
      <c r="A626" s="19">
        <v>44523</v>
      </c>
      <c r="B626" s="15">
        <f>B614+1</f>
        <v>53</v>
      </c>
      <c r="C626" s="15" t="s">
        <v>283</v>
      </c>
      <c r="D626" s="15" t="s">
        <v>284</v>
      </c>
      <c r="E626" s="25">
        <f>3-1.2</f>
        <v>1.8</v>
      </c>
      <c r="F626" s="25">
        <f>+SUM(L626:L637)</f>
        <v>1.6999999999999997</v>
      </c>
      <c r="G626" s="16">
        <v>1</v>
      </c>
      <c r="H626" s="16" t="s">
        <v>9</v>
      </c>
      <c r="I626" s="59" t="s">
        <v>56</v>
      </c>
      <c r="J626" s="21"/>
      <c r="K626" s="21"/>
      <c r="L626" s="12">
        <f>+J626-K626</f>
        <v>0</v>
      </c>
      <c r="M626" s="23">
        <f>+L626/SUMIF(C:C,C626,L:L)</f>
        <v>0</v>
      </c>
      <c r="N626" s="13"/>
      <c r="O626" t="s">
        <v>286</v>
      </c>
    </row>
    <row r="627" spans="1:17" x14ac:dyDescent="0.25">
      <c r="A627" s="20">
        <v>44523</v>
      </c>
      <c r="B627" s="1">
        <f>B626</f>
        <v>53</v>
      </c>
      <c r="C627" s="1" t="s">
        <v>283</v>
      </c>
      <c r="D627" s="1" t="s">
        <v>284</v>
      </c>
      <c r="E627" s="26">
        <f>+E626</f>
        <v>1.8</v>
      </c>
      <c r="F627" s="28">
        <f>+(F626-E626)/E626</f>
        <v>-5.5555555555555726E-2</v>
      </c>
      <c r="G627" s="17">
        <v>2</v>
      </c>
      <c r="H627" s="17" t="s">
        <v>9</v>
      </c>
      <c r="I627" s="30" t="s">
        <v>57</v>
      </c>
      <c r="J627" s="22">
        <v>0.05</v>
      </c>
      <c r="K627" s="22">
        <v>0</v>
      </c>
      <c r="L627" s="8">
        <f t="shared" ref="L627:L637" si="558">+J627-K627</f>
        <v>0.05</v>
      </c>
      <c r="M627" s="24">
        <f t="shared" ref="M627" si="559">+L627/SUMIF(C:C,C627,L:L)</f>
        <v>2.9411764705882359E-2</v>
      </c>
      <c r="N627" s="14"/>
      <c r="O627" t="s">
        <v>285</v>
      </c>
    </row>
    <row r="628" spans="1:17" x14ac:dyDescent="0.25">
      <c r="A628" s="20">
        <v>44523</v>
      </c>
      <c r="B628" s="1">
        <f>B626</f>
        <v>53</v>
      </c>
      <c r="C628" s="1" t="s">
        <v>283</v>
      </c>
      <c r="D628" s="1" t="s">
        <v>284</v>
      </c>
      <c r="E628" s="26" t="e">
        <f>+#REF!</f>
        <v>#REF!</v>
      </c>
      <c r="F628" s="26" t="e">
        <f>+#REF!</f>
        <v>#REF!</v>
      </c>
      <c r="G628" s="17">
        <v>3</v>
      </c>
      <c r="H628" s="17" t="s">
        <v>9</v>
      </c>
      <c r="I628" s="30" t="s">
        <v>58</v>
      </c>
      <c r="J628" s="22">
        <v>0.6</v>
      </c>
      <c r="K628" s="22">
        <v>0.55000000000000004</v>
      </c>
      <c r="L628" s="8">
        <f t="shared" si="558"/>
        <v>4.9999999999999933E-2</v>
      </c>
      <c r="M628" s="24">
        <f>+L628/SUMIF(C:C,C628,L:L)</f>
        <v>2.9411764705882318E-2</v>
      </c>
      <c r="N628" s="14"/>
    </row>
    <row r="629" spans="1:17" x14ac:dyDescent="0.25">
      <c r="A629" s="20">
        <v>44523</v>
      </c>
      <c r="B629" s="1">
        <f>B626</f>
        <v>53</v>
      </c>
      <c r="C629" s="1" t="s">
        <v>283</v>
      </c>
      <c r="D629" s="1" t="s">
        <v>284</v>
      </c>
      <c r="E629" s="26" t="e">
        <f t="shared" ref="E629:F629" si="560">+E628</f>
        <v>#REF!</v>
      </c>
      <c r="F629" s="26" t="e">
        <f t="shared" si="560"/>
        <v>#REF!</v>
      </c>
      <c r="G629" s="17">
        <v>4</v>
      </c>
      <c r="H629" s="17" t="s">
        <v>9</v>
      </c>
      <c r="I629" s="30" t="s">
        <v>22</v>
      </c>
      <c r="J629" s="22">
        <v>1.8</v>
      </c>
      <c r="K629" s="22">
        <v>0.55000000000000004</v>
      </c>
      <c r="L629" s="8">
        <f t="shared" si="558"/>
        <v>1.25</v>
      </c>
      <c r="M629" s="24">
        <f t="shared" ref="M629:M636" si="561">+L629/SUMIF(C:C,C629,L:L)</f>
        <v>0.73529411764705899</v>
      </c>
      <c r="N629" s="14"/>
    </row>
    <row r="630" spans="1:17" x14ac:dyDescent="0.25">
      <c r="A630" s="20">
        <v>44523</v>
      </c>
      <c r="B630" s="1">
        <f>B626</f>
        <v>53</v>
      </c>
      <c r="C630" s="1" t="s">
        <v>283</v>
      </c>
      <c r="D630" s="1" t="s">
        <v>284</v>
      </c>
      <c r="E630" s="26" t="e">
        <f t="shared" ref="E630:F630" si="562">+E629</f>
        <v>#REF!</v>
      </c>
      <c r="F630" s="26" t="e">
        <f t="shared" si="562"/>
        <v>#REF!</v>
      </c>
      <c r="G630" s="17">
        <v>5</v>
      </c>
      <c r="H630" s="17" t="s">
        <v>9</v>
      </c>
      <c r="I630" s="30" t="s">
        <v>34</v>
      </c>
      <c r="J630" s="22"/>
      <c r="K630" s="22"/>
      <c r="L630" s="8">
        <f t="shared" si="558"/>
        <v>0</v>
      </c>
      <c r="M630" s="24">
        <f t="shared" si="561"/>
        <v>0</v>
      </c>
      <c r="N630" s="14"/>
    </row>
    <row r="631" spans="1:17" x14ac:dyDescent="0.25">
      <c r="A631" s="20">
        <v>44523</v>
      </c>
      <c r="B631" s="1">
        <f>B626</f>
        <v>53</v>
      </c>
      <c r="C631" s="1" t="s">
        <v>283</v>
      </c>
      <c r="D631" s="1" t="s">
        <v>284</v>
      </c>
      <c r="E631" s="26" t="e">
        <f t="shared" ref="E631:F631" si="563">+E630</f>
        <v>#REF!</v>
      </c>
      <c r="F631" s="26" t="e">
        <f t="shared" si="563"/>
        <v>#REF!</v>
      </c>
      <c r="G631" s="17">
        <v>6</v>
      </c>
      <c r="H631" s="17" t="s">
        <v>9</v>
      </c>
      <c r="I631" s="30" t="s">
        <v>35</v>
      </c>
      <c r="J631" s="22"/>
      <c r="K631" s="22"/>
      <c r="L631" s="8">
        <f t="shared" si="558"/>
        <v>0</v>
      </c>
      <c r="M631" s="24">
        <f t="shared" si="561"/>
        <v>0</v>
      </c>
      <c r="N631" s="14"/>
    </row>
    <row r="632" spans="1:17" x14ac:dyDescent="0.25">
      <c r="A632" s="20">
        <v>44523</v>
      </c>
      <c r="B632" s="1">
        <f>B626</f>
        <v>53</v>
      </c>
      <c r="C632" s="1" t="s">
        <v>283</v>
      </c>
      <c r="D632" s="1" t="s">
        <v>284</v>
      </c>
      <c r="E632" s="26" t="e">
        <f t="shared" ref="E632:F632" si="564">+E631</f>
        <v>#REF!</v>
      </c>
      <c r="F632" s="26" t="e">
        <f t="shared" si="564"/>
        <v>#REF!</v>
      </c>
      <c r="G632" s="17">
        <v>7</v>
      </c>
      <c r="H632" s="17" t="s">
        <v>9</v>
      </c>
      <c r="I632" s="30" t="s">
        <v>36</v>
      </c>
      <c r="J632" s="22"/>
      <c r="K632" s="22"/>
      <c r="L632" s="8">
        <f t="shared" si="558"/>
        <v>0</v>
      </c>
      <c r="M632" s="24">
        <f t="shared" si="561"/>
        <v>0</v>
      </c>
      <c r="N632" s="14"/>
    </row>
    <row r="633" spans="1:17" x14ac:dyDescent="0.25">
      <c r="A633" s="20">
        <v>44523</v>
      </c>
      <c r="B633" s="1">
        <f>B626</f>
        <v>53</v>
      </c>
      <c r="C633" s="1" t="s">
        <v>283</v>
      </c>
      <c r="D633" s="1" t="s">
        <v>284</v>
      </c>
      <c r="E633" s="26" t="e">
        <f>+E632</f>
        <v>#REF!</v>
      </c>
      <c r="F633" s="26" t="e">
        <f>+F632</f>
        <v>#REF!</v>
      </c>
      <c r="G633" s="17">
        <v>8</v>
      </c>
      <c r="H633" s="17" t="s">
        <v>9</v>
      </c>
      <c r="I633" s="30" t="s">
        <v>59</v>
      </c>
      <c r="J633" s="22">
        <v>0.6</v>
      </c>
      <c r="K633" s="22">
        <v>0.55000000000000004</v>
      </c>
      <c r="L633" s="8">
        <f t="shared" si="558"/>
        <v>4.9999999999999933E-2</v>
      </c>
      <c r="M633" s="24">
        <f t="shared" si="561"/>
        <v>2.9411764705882318E-2</v>
      </c>
      <c r="N633" s="14"/>
    </row>
    <row r="634" spans="1:17" x14ac:dyDescent="0.25">
      <c r="A634" s="20">
        <v>44523</v>
      </c>
      <c r="B634" s="1">
        <f>B626</f>
        <v>53</v>
      </c>
      <c r="C634" s="1" t="s">
        <v>283</v>
      </c>
      <c r="D634" s="1" t="s">
        <v>284</v>
      </c>
      <c r="E634" s="26" t="e">
        <f t="shared" ref="E634:F634" si="565">+E633</f>
        <v>#REF!</v>
      </c>
      <c r="F634" s="26" t="e">
        <f t="shared" si="565"/>
        <v>#REF!</v>
      </c>
      <c r="G634" s="17">
        <v>9</v>
      </c>
      <c r="H634" s="17" t="s">
        <v>9</v>
      </c>
      <c r="I634" s="30" t="s">
        <v>38</v>
      </c>
      <c r="J634" s="22"/>
      <c r="K634" s="22"/>
      <c r="L634" s="8">
        <f t="shared" si="558"/>
        <v>0</v>
      </c>
      <c r="M634" s="24">
        <f t="shared" si="561"/>
        <v>0</v>
      </c>
      <c r="N634" s="14"/>
    </row>
    <row r="635" spans="1:17" x14ac:dyDescent="0.25">
      <c r="A635" s="20">
        <v>44523</v>
      </c>
      <c r="B635" s="1">
        <f>B626</f>
        <v>53</v>
      </c>
      <c r="C635" s="1" t="s">
        <v>283</v>
      </c>
      <c r="D635" s="1" t="s">
        <v>284</v>
      </c>
      <c r="E635" s="26" t="e">
        <f t="shared" ref="E635:F635" si="566">+E634</f>
        <v>#REF!</v>
      </c>
      <c r="F635" s="26" t="e">
        <f t="shared" si="566"/>
        <v>#REF!</v>
      </c>
      <c r="G635" s="17">
        <v>10</v>
      </c>
      <c r="H635" s="17" t="s">
        <v>9</v>
      </c>
      <c r="I635" s="30" t="s">
        <v>23</v>
      </c>
      <c r="J635" s="22">
        <v>0.7</v>
      </c>
      <c r="K635" s="22">
        <v>0.5</v>
      </c>
      <c r="L635" s="8">
        <f t="shared" si="558"/>
        <v>0.19999999999999996</v>
      </c>
      <c r="M635" s="24">
        <f t="shared" si="561"/>
        <v>0.11764705882352941</v>
      </c>
      <c r="N635" s="14"/>
    </row>
    <row r="636" spans="1:17" x14ac:dyDescent="0.25">
      <c r="A636" s="20">
        <v>44523</v>
      </c>
      <c r="B636" s="1">
        <f>B626</f>
        <v>53</v>
      </c>
      <c r="C636" s="1" t="s">
        <v>283</v>
      </c>
      <c r="D636" s="1" t="s">
        <v>284</v>
      </c>
      <c r="E636" s="26" t="e">
        <f t="shared" ref="E636:F636" si="567">+E635</f>
        <v>#REF!</v>
      </c>
      <c r="F636" s="26" t="e">
        <f t="shared" si="567"/>
        <v>#REF!</v>
      </c>
      <c r="G636" s="17">
        <v>11</v>
      </c>
      <c r="H636" s="17" t="s">
        <v>9</v>
      </c>
      <c r="I636" s="30" t="s">
        <v>60</v>
      </c>
      <c r="J636" s="22"/>
      <c r="K636" s="22"/>
      <c r="L636" s="8">
        <f t="shared" si="558"/>
        <v>0</v>
      </c>
      <c r="M636" s="24">
        <f t="shared" si="561"/>
        <v>0</v>
      </c>
      <c r="N636" s="14"/>
    </row>
    <row r="637" spans="1:17" s="2" customFormat="1" ht="15.75" thickBot="1" x14ac:dyDescent="0.3">
      <c r="A637" s="60">
        <v>44523</v>
      </c>
      <c r="B637" s="57">
        <f>B626</f>
        <v>53</v>
      </c>
      <c r="C637" s="57" t="s">
        <v>283</v>
      </c>
      <c r="D637" s="57" t="s">
        <v>284</v>
      </c>
      <c r="E637" s="61" t="e">
        <f t="shared" ref="E637:F637" si="568">+E636</f>
        <v>#REF!</v>
      </c>
      <c r="F637" s="61" t="e">
        <f t="shared" si="568"/>
        <v>#REF!</v>
      </c>
      <c r="G637" s="62">
        <f>+G636+1</f>
        <v>12</v>
      </c>
      <c r="H637" s="62" t="s">
        <v>10</v>
      </c>
      <c r="I637" s="46" t="s">
        <v>10</v>
      </c>
      <c r="J637" s="63">
        <v>0.65</v>
      </c>
      <c r="K637" s="63">
        <v>0.55000000000000004</v>
      </c>
      <c r="L637" s="64">
        <f t="shared" si="558"/>
        <v>9.9999999999999978E-2</v>
      </c>
      <c r="M637" s="65">
        <f>+L637/SUMIF(C:C,C637,L:L)</f>
        <v>5.8823529411764705E-2</v>
      </c>
      <c r="N637" s="66"/>
      <c r="Q637" s="5"/>
    </row>
    <row r="638" spans="1:17" x14ac:dyDescent="0.25">
      <c r="A638" s="19">
        <v>44523</v>
      </c>
      <c r="B638" s="15">
        <f>B626+1</f>
        <v>54</v>
      </c>
      <c r="C638" s="15" t="s">
        <v>292</v>
      </c>
      <c r="D638" s="15" t="s">
        <v>293</v>
      </c>
      <c r="E638" s="25">
        <f>3.7-1.2</f>
        <v>2.5</v>
      </c>
      <c r="F638" s="25">
        <f>+SUM(L638:L649)</f>
        <v>2.3499999999999996</v>
      </c>
      <c r="G638" s="16">
        <v>1</v>
      </c>
      <c r="H638" s="16" t="s">
        <v>9</v>
      </c>
      <c r="I638" s="59" t="s">
        <v>56</v>
      </c>
      <c r="J638" s="21">
        <v>0.75</v>
      </c>
      <c r="K638" s="21">
        <v>0.55000000000000004</v>
      </c>
      <c r="L638" s="12">
        <f>+J638-K638</f>
        <v>0.19999999999999996</v>
      </c>
      <c r="M638" s="23">
        <f>+L638/SUMIF(C:C,C638,L:L)</f>
        <v>8.5106382978723402E-2</v>
      </c>
      <c r="N638" s="13"/>
      <c r="O638" t="s">
        <v>286</v>
      </c>
    </row>
    <row r="639" spans="1:17" x14ac:dyDescent="0.25">
      <c r="A639" s="20">
        <v>44523</v>
      </c>
      <c r="B639" s="1">
        <f>B638</f>
        <v>54</v>
      </c>
      <c r="C639" s="1" t="s">
        <v>292</v>
      </c>
      <c r="D639" s="1" t="s">
        <v>293</v>
      </c>
      <c r="E639" s="26">
        <f>+E638</f>
        <v>2.5</v>
      </c>
      <c r="F639" s="28">
        <f>+(F638-E638)/E638</f>
        <v>-6.0000000000000143E-2</v>
      </c>
      <c r="G639" s="17">
        <v>2</v>
      </c>
      <c r="H639" s="17" t="s">
        <v>9</v>
      </c>
      <c r="I639" s="30" t="s">
        <v>57</v>
      </c>
      <c r="J639" s="22">
        <v>0.75</v>
      </c>
      <c r="K639" s="22">
        <v>0.5</v>
      </c>
      <c r="L639" s="8">
        <f t="shared" ref="L639:L649" si="569">+J639-K639</f>
        <v>0.25</v>
      </c>
      <c r="M639" s="24">
        <f t="shared" ref="M639" si="570">+L639/SUMIF(C:C,C639,L:L)</f>
        <v>0.10638297872340427</v>
      </c>
      <c r="N639" s="14"/>
      <c r="O639" t="s">
        <v>288</v>
      </c>
    </row>
    <row r="640" spans="1:17" x14ac:dyDescent="0.25">
      <c r="A640" s="20">
        <v>44523</v>
      </c>
      <c r="B640" s="1">
        <f>B638</f>
        <v>54</v>
      </c>
      <c r="C640" s="1" t="s">
        <v>292</v>
      </c>
      <c r="D640" s="1" t="s">
        <v>293</v>
      </c>
      <c r="E640" s="26" t="e">
        <f>+#REF!</f>
        <v>#REF!</v>
      </c>
      <c r="F640" s="26" t="e">
        <f>+#REF!</f>
        <v>#REF!</v>
      </c>
      <c r="G640" s="17">
        <v>3</v>
      </c>
      <c r="H640" s="17" t="s">
        <v>9</v>
      </c>
      <c r="I640" s="30" t="s">
        <v>58</v>
      </c>
      <c r="J640" s="22">
        <v>1.05</v>
      </c>
      <c r="K640" s="22">
        <v>0.55000000000000004</v>
      </c>
      <c r="L640" s="8">
        <f t="shared" si="569"/>
        <v>0.5</v>
      </c>
      <c r="M640" s="24">
        <f>+L640/SUMIF(C:C,C640,L:L)</f>
        <v>0.21276595744680854</v>
      </c>
      <c r="N640" s="14"/>
    </row>
    <row r="641" spans="1:17" x14ac:dyDescent="0.25">
      <c r="A641" s="20">
        <v>44523</v>
      </c>
      <c r="B641" s="1">
        <f>B638</f>
        <v>54</v>
      </c>
      <c r="C641" s="1" t="s">
        <v>292</v>
      </c>
      <c r="D641" s="1" t="s">
        <v>293</v>
      </c>
      <c r="E641" s="26" t="e">
        <f t="shared" ref="E641:F641" si="571">+E640</f>
        <v>#REF!</v>
      </c>
      <c r="F641" s="26" t="e">
        <f t="shared" si="571"/>
        <v>#REF!</v>
      </c>
      <c r="G641" s="17">
        <v>4</v>
      </c>
      <c r="H641" s="17" t="s">
        <v>9</v>
      </c>
      <c r="I641" s="30" t="s">
        <v>22</v>
      </c>
      <c r="J641" s="22">
        <v>0.65</v>
      </c>
      <c r="K641" s="22">
        <v>0.55000000000000004</v>
      </c>
      <c r="L641" s="8">
        <f t="shared" si="569"/>
        <v>9.9999999999999978E-2</v>
      </c>
      <c r="M641" s="24">
        <f t="shared" ref="M641:M648" si="572">+L641/SUMIF(C:C,C641,L:L)</f>
        <v>4.2553191489361701E-2</v>
      </c>
      <c r="N641" s="14"/>
    </row>
    <row r="642" spans="1:17" x14ac:dyDescent="0.25">
      <c r="A642" s="20">
        <v>44523</v>
      </c>
      <c r="B642" s="1">
        <f>B638</f>
        <v>54</v>
      </c>
      <c r="C642" s="1" t="s">
        <v>292</v>
      </c>
      <c r="D642" s="1" t="s">
        <v>293</v>
      </c>
      <c r="E642" s="26" t="e">
        <f t="shared" ref="E642:F642" si="573">+E641</f>
        <v>#REF!</v>
      </c>
      <c r="F642" s="26" t="e">
        <f t="shared" si="573"/>
        <v>#REF!</v>
      </c>
      <c r="G642" s="17">
        <v>5</v>
      </c>
      <c r="H642" s="17" t="s">
        <v>9</v>
      </c>
      <c r="I642" s="30" t="s">
        <v>34</v>
      </c>
      <c r="J642" s="22"/>
      <c r="K642" s="22"/>
      <c r="L642" s="8">
        <f t="shared" si="569"/>
        <v>0</v>
      </c>
      <c r="M642" s="24">
        <f t="shared" si="572"/>
        <v>0</v>
      </c>
      <c r="N642" s="14"/>
    </row>
    <row r="643" spans="1:17" x14ac:dyDescent="0.25">
      <c r="A643" s="20">
        <v>44523</v>
      </c>
      <c r="B643" s="1">
        <f>B638</f>
        <v>54</v>
      </c>
      <c r="C643" s="1" t="s">
        <v>292</v>
      </c>
      <c r="D643" s="1" t="s">
        <v>293</v>
      </c>
      <c r="E643" s="26" t="e">
        <f t="shared" ref="E643:F643" si="574">+E642</f>
        <v>#REF!</v>
      </c>
      <c r="F643" s="26" t="e">
        <f t="shared" si="574"/>
        <v>#REF!</v>
      </c>
      <c r="G643" s="17">
        <v>6</v>
      </c>
      <c r="H643" s="17" t="s">
        <v>9</v>
      </c>
      <c r="I643" s="30" t="s">
        <v>35</v>
      </c>
      <c r="J643" s="22"/>
      <c r="K643" s="22"/>
      <c r="L643" s="8">
        <f t="shared" si="569"/>
        <v>0</v>
      </c>
      <c r="M643" s="24">
        <f t="shared" si="572"/>
        <v>0</v>
      </c>
      <c r="N643" s="14"/>
    </row>
    <row r="644" spans="1:17" x14ac:dyDescent="0.25">
      <c r="A644" s="20">
        <v>44523</v>
      </c>
      <c r="B644" s="1">
        <f>B638</f>
        <v>54</v>
      </c>
      <c r="C644" s="1" t="s">
        <v>292</v>
      </c>
      <c r="D644" s="1" t="s">
        <v>293</v>
      </c>
      <c r="E644" s="26" t="e">
        <f t="shared" ref="E644:F644" si="575">+E643</f>
        <v>#REF!</v>
      </c>
      <c r="F644" s="26" t="e">
        <f t="shared" si="575"/>
        <v>#REF!</v>
      </c>
      <c r="G644" s="17">
        <v>7</v>
      </c>
      <c r="H644" s="17" t="s">
        <v>9</v>
      </c>
      <c r="I644" s="30" t="s">
        <v>36</v>
      </c>
      <c r="J644" s="22"/>
      <c r="K644" s="22"/>
      <c r="L644" s="8">
        <f t="shared" si="569"/>
        <v>0</v>
      </c>
      <c r="M644" s="24">
        <f t="shared" si="572"/>
        <v>0</v>
      </c>
      <c r="N644" s="14"/>
    </row>
    <row r="645" spans="1:17" x14ac:dyDescent="0.25">
      <c r="A645" s="20">
        <v>44523</v>
      </c>
      <c r="B645" s="1">
        <f>B638</f>
        <v>54</v>
      </c>
      <c r="C645" s="1" t="s">
        <v>292</v>
      </c>
      <c r="D645" s="1" t="s">
        <v>293</v>
      </c>
      <c r="E645" s="26" t="e">
        <f>+E644</f>
        <v>#REF!</v>
      </c>
      <c r="F645" s="26" t="e">
        <f>+F644</f>
        <v>#REF!</v>
      </c>
      <c r="G645" s="17">
        <v>8</v>
      </c>
      <c r="H645" s="17" t="s">
        <v>9</v>
      </c>
      <c r="I645" s="30" t="s">
        <v>59</v>
      </c>
      <c r="J645" s="22">
        <v>1.25</v>
      </c>
      <c r="K645" s="22">
        <v>0.55000000000000004</v>
      </c>
      <c r="L645" s="8">
        <f t="shared" si="569"/>
        <v>0.7</v>
      </c>
      <c r="M645" s="24">
        <f t="shared" si="572"/>
        <v>0.29787234042553196</v>
      </c>
      <c r="N645" s="14"/>
    </row>
    <row r="646" spans="1:17" x14ac:dyDescent="0.25">
      <c r="A646" s="20">
        <v>44523</v>
      </c>
      <c r="B646" s="1">
        <f>B638</f>
        <v>54</v>
      </c>
      <c r="C646" s="1" t="s">
        <v>292</v>
      </c>
      <c r="D646" s="1" t="s">
        <v>293</v>
      </c>
      <c r="E646" s="26" t="e">
        <f t="shared" ref="E646:F646" si="576">+E645</f>
        <v>#REF!</v>
      </c>
      <c r="F646" s="26" t="e">
        <f t="shared" si="576"/>
        <v>#REF!</v>
      </c>
      <c r="G646" s="17">
        <v>9</v>
      </c>
      <c r="H646" s="17" t="s">
        <v>9</v>
      </c>
      <c r="I646" s="30" t="s">
        <v>38</v>
      </c>
      <c r="J646" s="22"/>
      <c r="K646" s="22"/>
      <c r="L646" s="8">
        <f t="shared" si="569"/>
        <v>0</v>
      </c>
      <c r="M646" s="24">
        <f t="shared" si="572"/>
        <v>0</v>
      </c>
      <c r="N646" s="14"/>
    </row>
    <row r="647" spans="1:17" x14ac:dyDescent="0.25">
      <c r="A647" s="20">
        <v>44523</v>
      </c>
      <c r="B647" s="1">
        <f>B638</f>
        <v>54</v>
      </c>
      <c r="C647" s="1" t="s">
        <v>292</v>
      </c>
      <c r="D647" s="1" t="s">
        <v>293</v>
      </c>
      <c r="E647" s="26" t="e">
        <f t="shared" ref="E647:F647" si="577">+E646</f>
        <v>#REF!</v>
      </c>
      <c r="F647" s="26" t="e">
        <f t="shared" si="577"/>
        <v>#REF!</v>
      </c>
      <c r="G647" s="17">
        <v>10</v>
      </c>
      <c r="H647" s="17" t="s">
        <v>9</v>
      </c>
      <c r="I647" s="30" t="s">
        <v>23</v>
      </c>
      <c r="J647" s="22">
        <v>1</v>
      </c>
      <c r="K647" s="22">
        <v>0.55000000000000004</v>
      </c>
      <c r="L647" s="8">
        <f t="shared" si="569"/>
        <v>0.44999999999999996</v>
      </c>
      <c r="M647" s="24">
        <f t="shared" si="572"/>
        <v>0.19148936170212766</v>
      </c>
      <c r="N647" s="14"/>
    </row>
    <row r="648" spans="1:17" x14ac:dyDescent="0.25">
      <c r="A648" s="20">
        <v>44523</v>
      </c>
      <c r="B648" s="1">
        <f>B638</f>
        <v>54</v>
      </c>
      <c r="C648" s="1" t="s">
        <v>292</v>
      </c>
      <c r="D648" s="1" t="s">
        <v>293</v>
      </c>
      <c r="E648" s="26" t="e">
        <f t="shared" ref="E648:F648" si="578">+E647</f>
        <v>#REF!</v>
      </c>
      <c r="F648" s="26" t="e">
        <f t="shared" si="578"/>
        <v>#REF!</v>
      </c>
      <c r="G648" s="17">
        <v>11</v>
      </c>
      <c r="H648" s="17" t="s">
        <v>9</v>
      </c>
      <c r="I648" s="30" t="s">
        <v>60</v>
      </c>
      <c r="J648" s="22"/>
      <c r="K648" s="22"/>
      <c r="L648" s="8">
        <f t="shared" si="569"/>
        <v>0</v>
      </c>
      <c r="M648" s="24">
        <f t="shared" si="572"/>
        <v>0</v>
      </c>
      <c r="N648" s="14"/>
    </row>
    <row r="649" spans="1:17" s="2" customFormat="1" ht="15.75" thickBot="1" x14ac:dyDescent="0.3">
      <c r="A649" s="60">
        <v>44523</v>
      </c>
      <c r="B649" s="57">
        <f>B638</f>
        <v>54</v>
      </c>
      <c r="C649" s="57" t="s">
        <v>292</v>
      </c>
      <c r="D649" s="57" t="s">
        <v>293</v>
      </c>
      <c r="E649" s="61" t="e">
        <f t="shared" ref="E649:F649" si="579">+E648</f>
        <v>#REF!</v>
      </c>
      <c r="F649" s="61" t="e">
        <f t="shared" si="579"/>
        <v>#REF!</v>
      </c>
      <c r="G649" s="62">
        <f>+G648+1</f>
        <v>12</v>
      </c>
      <c r="H649" s="62" t="s">
        <v>10</v>
      </c>
      <c r="I649" s="46" t="s">
        <v>10</v>
      </c>
      <c r="J649" s="63">
        <v>0.7</v>
      </c>
      <c r="K649" s="63">
        <v>0.55000000000000004</v>
      </c>
      <c r="L649" s="64">
        <f t="shared" si="569"/>
        <v>0.14999999999999991</v>
      </c>
      <c r="M649" s="65">
        <f>+L649/SUMIF(C:C,C649,L:L)</f>
        <v>6.382978723404252E-2</v>
      </c>
      <c r="N649" s="66"/>
      <c r="Q649" s="5"/>
    </row>
    <row r="650" spans="1:17" x14ac:dyDescent="0.25">
      <c r="A650" s="19">
        <v>44523</v>
      </c>
      <c r="B650" s="15">
        <f>B638+1</f>
        <v>55</v>
      </c>
      <c r="C650" s="15" t="s">
        <v>289</v>
      </c>
      <c r="D650" s="15" t="s">
        <v>290</v>
      </c>
      <c r="E650" s="25">
        <f>6.5-1.2</f>
        <v>5.3</v>
      </c>
      <c r="F650" s="25">
        <f>+SUM(L650:L661)</f>
        <v>5.1499999999999977</v>
      </c>
      <c r="G650" s="16">
        <v>1</v>
      </c>
      <c r="H650" s="16" t="s">
        <v>9</v>
      </c>
      <c r="I650" s="59" t="s">
        <v>56</v>
      </c>
      <c r="J650" s="21">
        <v>2.8</v>
      </c>
      <c r="K650" s="21">
        <f>0.55*2</f>
        <v>1.1000000000000001</v>
      </c>
      <c r="L650" s="12">
        <f>+J650-K650</f>
        <v>1.6999999999999997</v>
      </c>
      <c r="M650" s="23">
        <f>+L650/SUMIF(C:C,C650,L:L)</f>
        <v>0.33009708737864085</v>
      </c>
      <c r="N650" s="13"/>
      <c r="O650" t="s">
        <v>286</v>
      </c>
    </row>
    <row r="651" spans="1:17" x14ac:dyDescent="0.25">
      <c r="A651" s="20">
        <v>44523</v>
      </c>
      <c r="B651" s="1">
        <f>B650</f>
        <v>55</v>
      </c>
      <c r="C651" s="1" t="s">
        <v>289</v>
      </c>
      <c r="D651" s="1" t="s">
        <v>290</v>
      </c>
      <c r="E651" s="26">
        <f>+E650</f>
        <v>5.3</v>
      </c>
      <c r="F651" s="28">
        <f>+(F650-E650)/E650</f>
        <v>-2.8301886792453233E-2</v>
      </c>
      <c r="G651" s="17">
        <v>2</v>
      </c>
      <c r="H651" s="17" t="s">
        <v>9</v>
      </c>
      <c r="I651" s="30" t="s">
        <v>57</v>
      </c>
      <c r="J651" s="22">
        <f>2.65+1.7</f>
        <v>4.3499999999999996</v>
      </c>
      <c r="K651" s="22">
        <f>3*0.55</f>
        <v>1.6500000000000001</v>
      </c>
      <c r="L651" s="8">
        <f t="shared" ref="L651:L661" si="580">+J651-K651</f>
        <v>2.6999999999999993</v>
      </c>
      <c r="M651" s="24">
        <f t="shared" ref="M651" si="581">+L651/SUMIF(C:C,C651,L:L)</f>
        <v>0.52427184466019428</v>
      </c>
      <c r="N651" s="14"/>
      <c r="O651" t="s">
        <v>291</v>
      </c>
    </row>
    <row r="652" spans="1:17" x14ac:dyDescent="0.25">
      <c r="A652" s="20">
        <v>44523</v>
      </c>
      <c r="B652" s="1">
        <f>B650</f>
        <v>55</v>
      </c>
      <c r="C652" s="1" t="s">
        <v>289</v>
      </c>
      <c r="D652" s="1" t="s">
        <v>290</v>
      </c>
      <c r="E652" s="26" t="e">
        <f>+#REF!</f>
        <v>#REF!</v>
      </c>
      <c r="F652" s="26" t="e">
        <f>+#REF!</f>
        <v>#REF!</v>
      </c>
      <c r="G652" s="17">
        <v>3</v>
      </c>
      <c r="H652" s="17" t="s">
        <v>9</v>
      </c>
      <c r="I652" s="30" t="s">
        <v>58</v>
      </c>
      <c r="J652" s="22">
        <v>0.85</v>
      </c>
      <c r="K652" s="22">
        <v>0.55000000000000004</v>
      </c>
      <c r="L652" s="8">
        <f t="shared" si="580"/>
        <v>0.29999999999999993</v>
      </c>
      <c r="M652" s="24">
        <f>+L652/SUMIF(C:C,C652,L:L)</f>
        <v>5.8252427184466035E-2</v>
      </c>
      <c r="N652" s="14"/>
    </row>
    <row r="653" spans="1:17" x14ac:dyDescent="0.25">
      <c r="A653" s="20">
        <v>44523</v>
      </c>
      <c r="B653" s="1">
        <f>B650</f>
        <v>55</v>
      </c>
      <c r="C653" s="1" t="s">
        <v>289</v>
      </c>
      <c r="D653" s="1" t="s">
        <v>290</v>
      </c>
      <c r="E653" s="26" t="e">
        <f t="shared" ref="E653:F653" si="582">+E652</f>
        <v>#REF!</v>
      </c>
      <c r="F653" s="26" t="e">
        <f t="shared" si="582"/>
        <v>#REF!</v>
      </c>
      <c r="G653" s="17">
        <v>4</v>
      </c>
      <c r="H653" s="17" t="s">
        <v>9</v>
      </c>
      <c r="I653" s="30" t="s">
        <v>22</v>
      </c>
      <c r="J653" s="22"/>
      <c r="K653" s="22"/>
      <c r="L653" s="8">
        <f t="shared" si="580"/>
        <v>0</v>
      </c>
      <c r="M653" s="24">
        <f t="shared" ref="M653:M660" si="583">+L653/SUMIF(C:C,C653,L:L)</f>
        <v>0</v>
      </c>
      <c r="N653" s="14"/>
    </row>
    <row r="654" spans="1:17" x14ac:dyDescent="0.25">
      <c r="A654" s="20">
        <v>44523</v>
      </c>
      <c r="B654" s="1">
        <f>B650</f>
        <v>55</v>
      </c>
      <c r="C654" s="1" t="s">
        <v>289</v>
      </c>
      <c r="D654" s="1" t="s">
        <v>290</v>
      </c>
      <c r="E654" s="26" t="e">
        <f t="shared" ref="E654:F654" si="584">+E653</f>
        <v>#REF!</v>
      </c>
      <c r="F654" s="26" t="e">
        <f t="shared" si="584"/>
        <v>#REF!</v>
      </c>
      <c r="G654" s="17">
        <v>5</v>
      </c>
      <c r="H654" s="17" t="s">
        <v>9</v>
      </c>
      <c r="I654" s="30" t="s">
        <v>34</v>
      </c>
      <c r="J654" s="22">
        <v>0.05</v>
      </c>
      <c r="K654" s="22">
        <v>0</v>
      </c>
      <c r="L654" s="8">
        <f t="shared" si="580"/>
        <v>0.05</v>
      </c>
      <c r="M654" s="24">
        <f t="shared" si="583"/>
        <v>9.7087378640776743E-3</v>
      </c>
      <c r="N654" s="14"/>
    </row>
    <row r="655" spans="1:17" x14ac:dyDescent="0.25">
      <c r="A655" s="20">
        <v>44523</v>
      </c>
      <c r="B655" s="1">
        <f>B650</f>
        <v>55</v>
      </c>
      <c r="C655" s="1" t="s">
        <v>289</v>
      </c>
      <c r="D655" s="1" t="s">
        <v>290</v>
      </c>
      <c r="E655" s="26" t="e">
        <f t="shared" ref="E655:F655" si="585">+E654</f>
        <v>#REF!</v>
      </c>
      <c r="F655" s="26" t="e">
        <f t="shared" si="585"/>
        <v>#REF!</v>
      </c>
      <c r="G655" s="17">
        <v>6</v>
      </c>
      <c r="H655" s="17" t="s">
        <v>9</v>
      </c>
      <c r="I655" s="30" t="s">
        <v>35</v>
      </c>
      <c r="J655" s="22"/>
      <c r="K655" s="22"/>
      <c r="L655" s="8">
        <f t="shared" si="580"/>
        <v>0</v>
      </c>
      <c r="M655" s="24">
        <f t="shared" si="583"/>
        <v>0</v>
      </c>
      <c r="N655" s="14"/>
    </row>
    <row r="656" spans="1:17" x14ac:dyDescent="0.25">
      <c r="A656" s="20">
        <v>44523</v>
      </c>
      <c r="B656" s="1">
        <f>B650</f>
        <v>55</v>
      </c>
      <c r="C656" s="1" t="s">
        <v>289</v>
      </c>
      <c r="D656" s="1" t="s">
        <v>290</v>
      </c>
      <c r="E656" s="26" t="e">
        <f t="shared" ref="E656:F656" si="586">+E655</f>
        <v>#REF!</v>
      </c>
      <c r="F656" s="26" t="e">
        <f t="shared" si="586"/>
        <v>#REF!</v>
      </c>
      <c r="G656" s="17">
        <v>7</v>
      </c>
      <c r="H656" s="17" t="s">
        <v>9</v>
      </c>
      <c r="I656" s="30" t="s">
        <v>36</v>
      </c>
      <c r="J656" s="22"/>
      <c r="K656" s="22"/>
      <c r="L656" s="8">
        <f t="shared" si="580"/>
        <v>0</v>
      </c>
      <c r="M656" s="24">
        <f t="shared" si="583"/>
        <v>0</v>
      </c>
      <c r="N656" s="14"/>
    </row>
    <row r="657" spans="1:17" x14ac:dyDescent="0.25">
      <c r="A657" s="20">
        <v>44523</v>
      </c>
      <c r="B657" s="1">
        <f>B650</f>
        <v>55</v>
      </c>
      <c r="C657" s="1" t="s">
        <v>289</v>
      </c>
      <c r="D657" s="1" t="s">
        <v>290</v>
      </c>
      <c r="E657" s="26" t="e">
        <f>+E656</f>
        <v>#REF!</v>
      </c>
      <c r="F657" s="26" t="e">
        <f>+F656</f>
        <v>#REF!</v>
      </c>
      <c r="G657" s="17">
        <v>8</v>
      </c>
      <c r="H657" s="17" t="s">
        <v>9</v>
      </c>
      <c r="I657" s="30" t="s">
        <v>59</v>
      </c>
      <c r="J657" s="22">
        <v>0.05</v>
      </c>
      <c r="K657" s="22"/>
      <c r="L657" s="8">
        <f t="shared" si="580"/>
        <v>0.05</v>
      </c>
      <c r="M657" s="24">
        <f t="shared" si="583"/>
        <v>9.7087378640776743E-3</v>
      </c>
      <c r="N657" s="14"/>
    </row>
    <row r="658" spans="1:17" x14ac:dyDescent="0.25">
      <c r="A658" s="20">
        <v>44523</v>
      </c>
      <c r="B658" s="1">
        <f>B650</f>
        <v>55</v>
      </c>
      <c r="C658" s="1" t="s">
        <v>289</v>
      </c>
      <c r="D658" s="1" t="s">
        <v>290</v>
      </c>
      <c r="E658" s="26" t="e">
        <f t="shared" ref="E658:F658" si="587">+E657</f>
        <v>#REF!</v>
      </c>
      <c r="F658" s="26" t="e">
        <f t="shared" si="587"/>
        <v>#REF!</v>
      </c>
      <c r="G658" s="17">
        <v>9</v>
      </c>
      <c r="H658" s="17" t="s">
        <v>9</v>
      </c>
      <c r="I658" s="30" t="s">
        <v>38</v>
      </c>
      <c r="J658" s="22"/>
      <c r="K658" s="22"/>
      <c r="L658" s="8">
        <f t="shared" si="580"/>
        <v>0</v>
      </c>
      <c r="M658" s="24">
        <f t="shared" si="583"/>
        <v>0</v>
      </c>
      <c r="N658" s="14"/>
    </row>
    <row r="659" spans="1:17" x14ac:dyDescent="0.25">
      <c r="A659" s="20">
        <v>44523</v>
      </c>
      <c r="B659" s="1">
        <f>B650</f>
        <v>55</v>
      </c>
      <c r="C659" s="1" t="s">
        <v>289</v>
      </c>
      <c r="D659" s="1" t="s">
        <v>290</v>
      </c>
      <c r="E659" s="26" t="e">
        <f t="shared" ref="E659:F659" si="588">+E658</f>
        <v>#REF!</v>
      </c>
      <c r="F659" s="26" t="e">
        <f t="shared" si="588"/>
        <v>#REF!</v>
      </c>
      <c r="G659" s="17">
        <v>10</v>
      </c>
      <c r="H659" s="17" t="s">
        <v>9</v>
      </c>
      <c r="I659" s="30" t="s">
        <v>23</v>
      </c>
      <c r="J659" s="22"/>
      <c r="K659" s="22"/>
      <c r="L659" s="8">
        <f t="shared" si="580"/>
        <v>0</v>
      </c>
      <c r="M659" s="24">
        <f t="shared" si="583"/>
        <v>0</v>
      </c>
      <c r="N659" s="14"/>
    </row>
    <row r="660" spans="1:17" x14ac:dyDescent="0.25">
      <c r="A660" s="20">
        <v>44523</v>
      </c>
      <c r="B660" s="1">
        <f>B650</f>
        <v>55</v>
      </c>
      <c r="C660" s="1" t="s">
        <v>289</v>
      </c>
      <c r="D660" s="1" t="s">
        <v>290</v>
      </c>
      <c r="E660" s="26" t="e">
        <f t="shared" ref="E660:F660" si="589">+E659</f>
        <v>#REF!</v>
      </c>
      <c r="F660" s="26" t="e">
        <f t="shared" si="589"/>
        <v>#REF!</v>
      </c>
      <c r="G660" s="17">
        <v>11</v>
      </c>
      <c r="H660" s="17" t="s">
        <v>9</v>
      </c>
      <c r="I660" s="30" t="s">
        <v>60</v>
      </c>
      <c r="J660" s="22"/>
      <c r="K660" s="22"/>
      <c r="L660" s="8">
        <f t="shared" si="580"/>
        <v>0</v>
      </c>
      <c r="M660" s="24">
        <f t="shared" si="583"/>
        <v>0</v>
      </c>
      <c r="N660" s="14"/>
    </row>
    <row r="661" spans="1:17" s="2" customFormat="1" ht="15.75" thickBot="1" x14ac:dyDescent="0.3">
      <c r="A661" s="60">
        <v>44523</v>
      </c>
      <c r="B661" s="57">
        <f>B650</f>
        <v>55</v>
      </c>
      <c r="C661" s="57" t="s">
        <v>289</v>
      </c>
      <c r="D661" s="57" t="s">
        <v>290</v>
      </c>
      <c r="E661" s="61" t="e">
        <f t="shared" ref="E661:F661" si="590">+E660</f>
        <v>#REF!</v>
      </c>
      <c r="F661" s="61" t="e">
        <f t="shared" si="590"/>
        <v>#REF!</v>
      </c>
      <c r="G661" s="62">
        <f>+G660+1</f>
        <v>12</v>
      </c>
      <c r="H661" s="62" t="s">
        <v>10</v>
      </c>
      <c r="I661" s="46" t="s">
        <v>10</v>
      </c>
      <c r="J661" s="63">
        <v>0.85</v>
      </c>
      <c r="K661" s="63">
        <v>0.5</v>
      </c>
      <c r="L661" s="64">
        <f t="shared" si="580"/>
        <v>0.35</v>
      </c>
      <c r="M661" s="65">
        <f>+L661/SUMIF(C:C,C661,L:L)</f>
        <v>6.7961165048543715E-2</v>
      </c>
      <c r="N661" s="66"/>
      <c r="Q661" s="5"/>
    </row>
    <row r="662" spans="1:17" x14ac:dyDescent="0.25">
      <c r="A662" s="19">
        <v>44523</v>
      </c>
      <c r="B662" s="15">
        <f>B650+1</f>
        <v>56</v>
      </c>
      <c r="C662" s="15" t="s">
        <v>294</v>
      </c>
      <c r="D662" s="15" t="s">
        <v>295</v>
      </c>
      <c r="E662" s="25">
        <f>6.5-1.2</f>
        <v>5.3</v>
      </c>
      <c r="F662" s="25">
        <f>+SUM(L662:L673)</f>
        <v>5.05</v>
      </c>
      <c r="G662" s="16">
        <v>1</v>
      </c>
      <c r="H662" s="16" t="s">
        <v>9</v>
      </c>
      <c r="I662" s="59" t="s">
        <v>56</v>
      </c>
      <c r="J662" s="21"/>
      <c r="K662" s="21"/>
      <c r="L662" s="12">
        <f>+J662-K662</f>
        <v>0</v>
      </c>
      <c r="M662" s="23">
        <f>+L662/SUMIF(C:C,C662,L:L)</f>
        <v>0</v>
      </c>
      <c r="N662" s="13"/>
      <c r="O662" t="s">
        <v>286</v>
      </c>
    </row>
    <row r="663" spans="1:17" x14ac:dyDescent="0.25">
      <c r="A663" s="20">
        <v>44523</v>
      </c>
      <c r="B663" s="1">
        <f>B662</f>
        <v>56</v>
      </c>
      <c r="C663" s="1" t="s">
        <v>294</v>
      </c>
      <c r="D663" s="1" t="s">
        <v>295</v>
      </c>
      <c r="E663" s="26">
        <f>+E662</f>
        <v>5.3</v>
      </c>
      <c r="F663" s="28">
        <f>+(F662-E662)/E662</f>
        <v>-4.716981132075472E-2</v>
      </c>
      <c r="G663" s="17">
        <v>2</v>
      </c>
      <c r="H663" s="17" t="s">
        <v>9</v>
      </c>
      <c r="I663" s="30" t="s">
        <v>57</v>
      </c>
      <c r="J663" s="22">
        <v>1</v>
      </c>
      <c r="K663" s="22">
        <v>0.55000000000000004</v>
      </c>
      <c r="L663" s="8">
        <f t="shared" ref="L663:L673" si="591">+J663-K663</f>
        <v>0.44999999999999996</v>
      </c>
      <c r="M663" s="24">
        <f t="shared" ref="M663" si="592">+L663/SUMIF(C:C,C663,L:L)</f>
        <v>8.9108910891089105E-2</v>
      </c>
      <c r="N663" s="14"/>
      <c r="O663" t="s">
        <v>296</v>
      </c>
    </row>
    <row r="664" spans="1:17" x14ac:dyDescent="0.25">
      <c r="A664" s="20">
        <v>44523</v>
      </c>
      <c r="B664" s="1">
        <f>B662</f>
        <v>56</v>
      </c>
      <c r="C664" s="1" t="s">
        <v>294</v>
      </c>
      <c r="D664" s="1" t="s">
        <v>295</v>
      </c>
      <c r="E664" s="26" t="e">
        <f>+#REF!</f>
        <v>#REF!</v>
      </c>
      <c r="F664" s="26" t="e">
        <f>+#REF!</f>
        <v>#REF!</v>
      </c>
      <c r="G664" s="17">
        <v>3</v>
      </c>
      <c r="H664" s="17" t="s">
        <v>9</v>
      </c>
      <c r="I664" s="30" t="s">
        <v>58</v>
      </c>
      <c r="J664" s="22">
        <f>3.5+1.45+1.1</f>
        <v>6.0500000000000007</v>
      </c>
      <c r="K664" s="22">
        <f>3*0.55+0.5</f>
        <v>2.1500000000000004</v>
      </c>
      <c r="L664" s="8">
        <f t="shared" si="591"/>
        <v>3.9000000000000004</v>
      </c>
      <c r="M664" s="24">
        <f>+L664/SUMIF(C:C,C664,L:L)</f>
        <v>0.77227722772277241</v>
      </c>
      <c r="N664" s="14"/>
    </row>
    <row r="665" spans="1:17" x14ac:dyDescent="0.25">
      <c r="A665" s="20">
        <v>44523</v>
      </c>
      <c r="B665" s="1">
        <f>B662</f>
        <v>56</v>
      </c>
      <c r="C665" s="1" t="s">
        <v>294</v>
      </c>
      <c r="D665" s="1" t="s">
        <v>295</v>
      </c>
      <c r="E665" s="26" t="e">
        <f t="shared" ref="E665:F665" si="593">+E664</f>
        <v>#REF!</v>
      </c>
      <c r="F665" s="26" t="e">
        <f t="shared" si="593"/>
        <v>#REF!</v>
      </c>
      <c r="G665" s="17">
        <v>4</v>
      </c>
      <c r="H665" s="17" t="s">
        <v>9</v>
      </c>
      <c r="I665" s="30" t="s">
        <v>22</v>
      </c>
      <c r="J665" s="22">
        <v>0.05</v>
      </c>
      <c r="K665" s="22">
        <v>0</v>
      </c>
      <c r="L665" s="8">
        <f t="shared" si="591"/>
        <v>0.05</v>
      </c>
      <c r="M665" s="24">
        <f t="shared" ref="M665:M672" si="594">+L665/SUMIF(C:C,C665,L:L)</f>
        <v>9.9009900990099011E-3</v>
      </c>
      <c r="N665" s="14"/>
    </row>
    <row r="666" spans="1:17" x14ac:dyDescent="0.25">
      <c r="A666" s="20">
        <v>44523</v>
      </c>
      <c r="B666" s="1">
        <f>B662</f>
        <v>56</v>
      </c>
      <c r="C666" s="1" t="s">
        <v>294</v>
      </c>
      <c r="D666" s="1" t="s">
        <v>295</v>
      </c>
      <c r="E666" s="26" t="e">
        <f t="shared" ref="E666:F666" si="595">+E665</f>
        <v>#REF!</v>
      </c>
      <c r="F666" s="26" t="e">
        <f t="shared" si="595"/>
        <v>#REF!</v>
      </c>
      <c r="G666" s="17">
        <v>5</v>
      </c>
      <c r="H666" s="17" t="s">
        <v>9</v>
      </c>
      <c r="I666" s="30" t="s">
        <v>34</v>
      </c>
      <c r="J666" s="22"/>
      <c r="K666" s="22"/>
      <c r="L666" s="8">
        <f t="shared" si="591"/>
        <v>0</v>
      </c>
      <c r="M666" s="24">
        <f t="shared" si="594"/>
        <v>0</v>
      </c>
      <c r="N666" s="14"/>
    </row>
    <row r="667" spans="1:17" x14ac:dyDescent="0.25">
      <c r="A667" s="20">
        <v>44523</v>
      </c>
      <c r="B667" s="1">
        <f>B662</f>
        <v>56</v>
      </c>
      <c r="C667" s="1" t="s">
        <v>294</v>
      </c>
      <c r="D667" s="1" t="s">
        <v>295</v>
      </c>
      <c r="E667" s="26" t="e">
        <f t="shared" ref="E667:F667" si="596">+E666</f>
        <v>#REF!</v>
      </c>
      <c r="F667" s="26" t="e">
        <f t="shared" si="596"/>
        <v>#REF!</v>
      </c>
      <c r="G667" s="17">
        <v>6</v>
      </c>
      <c r="H667" s="17" t="s">
        <v>9</v>
      </c>
      <c r="I667" s="30" t="s">
        <v>35</v>
      </c>
      <c r="J667" s="22"/>
      <c r="K667" s="22"/>
      <c r="L667" s="8">
        <f t="shared" si="591"/>
        <v>0</v>
      </c>
      <c r="M667" s="24">
        <f t="shared" si="594"/>
        <v>0</v>
      </c>
      <c r="N667" s="14"/>
    </row>
    <row r="668" spans="1:17" x14ac:dyDescent="0.25">
      <c r="A668" s="20">
        <v>44523</v>
      </c>
      <c r="B668" s="1">
        <f>B662</f>
        <v>56</v>
      </c>
      <c r="C668" s="1" t="s">
        <v>294</v>
      </c>
      <c r="D668" s="1" t="s">
        <v>295</v>
      </c>
      <c r="E668" s="26" t="e">
        <f t="shared" ref="E668:F668" si="597">+E667</f>
        <v>#REF!</v>
      </c>
      <c r="F668" s="26" t="e">
        <f t="shared" si="597"/>
        <v>#REF!</v>
      </c>
      <c r="G668" s="17">
        <v>7</v>
      </c>
      <c r="H668" s="17" t="s">
        <v>9</v>
      </c>
      <c r="I668" s="30" t="s">
        <v>36</v>
      </c>
      <c r="J668" s="22"/>
      <c r="K668" s="22"/>
      <c r="L668" s="8">
        <f t="shared" si="591"/>
        <v>0</v>
      </c>
      <c r="M668" s="24">
        <f t="shared" si="594"/>
        <v>0</v>
      </c>
      <c r="N668" s="14"/>
    </row>
    <row r="669" spans="1:17" x14ac:dyDescent="0.25">
      <c r="A669" s="20">
        <v>44523</v>
      </c>
      <c r="B669" s="1">
        <f>B662</f>
        <v>56</v>
      </c>
      <c r="C669" s="1" t="s">
        <v>294</v>
      </c>
      <c r="D669" s="1" t="s">
        <v>295</v>
      </c>
      <c r="E669" s="26" t="e">
        <f>+E668</f>
        <v>#REF!</v>
      </c>
      <c r="F669" s="26" t="e">
        <f>+F668</f>
        <v>#REF!</v>
      </c>
      <c r="G669" s="17">
        <v>8</v>
      </c>
      <c r="H669" s="17" t="s">
        <v>9</v>
      </c>
      <c r="I669" s="30" t="s">
        <v>59</v>
      </c>
      <c r="J669" s="22"/>
      <c r="K669" s="22"/>
      <c r="L669" s="8">
        <f t="shared" si="591"/>
        <v>0</v>
      </c>
      <c r="M669" s="24">
        <f t="shared" si="594"/>
        <v>0</v>
      </c>
      <c r="N669" s="14"/>
    </row>
    <row r="670" spans="1:17" x14ac:dyDescent="0.25">
      <c r="A670" s="20">
        <v>44523</v>
      </c>
      <c r="B670" s="1">
        <f>B662</f>
        <v>56</v>
      </c>
      <c r="C670" s="1" t="s">
        <v>294</v>
      </c>
      <c r="D670" s="1" t="s">
        <v>295</v>
      </c>
      <c r="E670" s="26" t="e">
        <f t="shared" ref="E670:F670" si="598">+E669</f>
        <v>#REF!</v>
      </c>
      <c r="F670" s="26" t="e">
        <f t="shared" si="598"/>
        <v>#REF!</v>
      </c>
      <c r="G670" s="17">
        <v>9</v>
      </c>
      <c r="H670" s="17" t="s">
        <v>9</v>
      </c>
      <c r="I670" s="30" t="s">
        <v>38</v>
      </c>
      <c r="J670" s="22"/>
      <c r="K670" s="22"/>
      <c r="L670" s="8">
        <f t="shared" si="591"/>
        <v>0</v>
      </c>
      <c r="M670" s="24">
        <f t="shared" si="594"/>
        <v>0</v>
      </c>
      <c r="N670" s="14"/>
    </row>
    <row r="671" spans="1:17" x14ac:dyDescent="0.25">
      <c r="A671" s="20">
        <v>44523</v>
      </c>
      <c r="B671" s="1">
        <f>B662</f>
        <v>56</v>
      </c>
      <c r="C671" s="1" t="s">
        <v>294</v>
      </c>
      <c r="D671" s="1" t="s">
        <v>295</v>
      </c>
      <c r="E671" s="26" t="e">
        <f t="shared" ref="E671:F671" si="599">+E670</f>
        <v>#REF!</v>
      </c>
      <c r="F671" s="26" t="e">
        <f t="shared" si="599"/>
        <v>#REF!</v>
      </c>
      <c r="G671" s="17">
        <v>10</v>
      </c>
      <c r="H671" s="17" t="s">
        <v>9</v>
      </c>
      <c r="I671" s="30" t="s">
        <v>23</v>
      </c>
      <c r="J671" s="22">
        <v>0.75</v>
      </c>
      <c r="K671" s="22">
        <v>0.55000000000000004</v>
      </c>
      <c r="L671" s="8">
        <f t="shared" si="591"/>
        <v>0.19999999999999996</v>
      </c>
      <c r="M671" s="24">
        <f t="shared" si="594"/>
        <v>3.9603960396039598E-2</v>
      </c>
      <c r="N671" s="14"/>
    </row>
    <row r="672" spans="1:17" x14ac:dyDescent="0.25">
      <c r="A672" s="20">
        <v>44523</v>
      </c>
      <c r="B672" s="1">
        <f>B662</f>
        <v>56</v>
      </c>
      <c r="C672" s="1" t="s">
        <v>294</v>
      </c>
      <c r="D672" s="1" t="s">
        <v>295</v>
      </c>
      <c r="E672" s="26" t="e">
        <f t="shared" ref="E672:F672" si="600">+E671</f>
        <v>#REF!</v>
      </c>
      <c r="F672" s="26" t="e">
        <f t="shared" si="600"/>
        <v>#REF!</v>
      </c>
      <c r="G672" s="17">
        <v>11</v>
      </c>
      <c r="H672" s="17" t="s">
        <v>9</v>
      </c>
      <c r="I672" s="30" t="s">
        <v>60</v>
      </c>
      <c r="J672" s="22">
        <v>0.7</v>
      </c>
      <c r="K672" s="22">
        <v>0.55000000000000004</v>
      </c>
      <c r="L672" s="8">
        <f t="shared" si="591"/>
        <v>0.14999999999999991</v>
      </c>
      <c r="M672" s="24">
        <f t="shared" si="594"/>
        <v>2.9702970297029688E-2</v>
      </c>
      <c r="N672" s="14"/>
    </row>
    <row r="673" spans="1:17" s="2" customFormat="1" ht="15.75" thickBot="1" x14ac:dyDescent="0.3">
      <c r="A673" s="60">
        <v>44523</v>
      </c>
      <c r="B673" s="57">
        <f>B662</f>
        <v>56</v>
      </c>
      <c r="C673" s="57" t="s">
        <v>294</v>
      </c>
      <c r="D673" s="57" t="s">
        <v>295</v>
      </c>
      <c r="E673" s="61" t="e">
        <f t="shared" ref="E673:F673" si="601">+E672</f>
        <v>#REF!</v>
      </c>
      <c r="F673" s="61" t="e">
        <f t="shared" si="601"/>
        <v>#REF!</v>
      </c>
      <c r="G673" s="62">
        <f>+G672+1</f>
        <v>12</v>
      </c>
      <c r="H673" s="62" t="s">
        <v>10</v>
      </c>
      <c r="I673" s="46" t="s">
        <v>10</v>
      </c>
      <c r="J673" s="63">
        <v>0.85</v>
      </c>
      <c r="K673" s="63">
        <v>0.55000000000000004</v>
      </c>
      <c r="L673" s="64">
        <f t="shared" si="591"/>
        <v>0.29999999999999993</v>
      </c>
      <c r="M673" s="65">
        <f>+L673/SUMIF(C:C,C673,L:L)</f>
        <v>5.9405940594059396E-2</v>
      </c>
      <c r="N673" s="66"/>
      <c r="Q673" s="5"/>
    </row>
    <row r="674" spans="1:17" x14ac:dyDescent="0.25">
      <c r="A674" s="19">
        <v>44523</v>
      </c>
      <c r="B674" s="15">
        <f>B662+1</f>
        <v>57</v>
      </c>
      <c r="C674" s="15" t="s">
        <v>297</v>
      </c>
      <c r="D674" s="15" t="s">
        <v>298</v>
      </c>
      <c r="E674" s="25">
        <f>18.8-1.2</f>
        <v>17.600000000000001</v>
      </c>
      <c r="F674" s="25">
        <f>+SUM(L674:L685)</f>
        <v>17.549999999999997</v>
      </c>
      <c r="G674" s="16">
        <v>1</v>
      </c>
      <c r="H674" s="16" t="s">
        <v>9</v>
      </c>
      <c r="I674" s="59" t="s">
        <v>56</v>
      </c>
      <c r="J674" s="21">
        <v>0.75</v>
      </c>
      <c r="K674" s="21">
        <v>0.55000000000000004</v>
      </c>
      <c r="L674" s="12">
        <f>+J674-K674</f>
        <v>0.19999999999999996</v>
      </c>
      <c r="M674" s="23">
        <f>+L674/SUMIF(C:C,C674,L:L)</f>
        <v>1.1396011396011395E-2</v>
      </c>
      <c r="N674" s="13"/>
      <c r="O674" t="s">
        <v>286</v>
      </c>
    </row>
    <row r="675" spans="1:17" x14ac:dyDescent="0.25">
      <c r="A675" s="20">
        <v>44523</v>
      </c>
      <c r="B675" s="1">
        <f>B674</f>
        <v>57</v>
      </c>
      <c r="C675" s="1" t="s">
        <v>297</v>
      </c>
      <c r="D675" s="1" t="s">
        <v>298</v>
      </c>
      <c r="E675" s="26">
        <f>+E674</f>
        <v>17.600000000000001</v>
      </c>
      <c r="F675" s="28">
        <f>+(F674-E674)/E674</f>
        <v>-2.840909090909333E-3</v>
      </c>
      <c r="G675" s="17">
        <v>2</v>
      </c>
      <c r="H675" s="17" t="s">
        <v>9</v>
      </c>
      <c r="I675" s="30" t="s">
        <v>57</v>
      </c>
      <c r="J675" s="22">
        <f>8.7</f>
        <v>8.6999999999999993</v>
      </c>
      <c r="K675" s="22">
        <f>8.3</f>
        <v>8.3000000000000007</v>
      </c>
      <c r="L675" s="8">
        <f t="shared" ref="L675:L685" si="602">+J675-K675</f>
        <v>0.39999999999999858</v>
      </c>
      <c r="M675" s="24">
        <f t="shared" ref="M675" si="603">+L675/SUMIF(C:C,C675,L:L)</f>
        <v>2.2792022792022713E-2</v>
      </c>
      <c r="N675" s="14"/>
      <c r="O675" t="s">
        <v>299</v>
      </c>
    </row>
    <row r="676" spans="1:17" x14ac:dyDescent="0.25">
      <c r="A676" s="20">
        <v>44523</v>
      </c>
      <c r="B676" s="1">
        <f>B674</f>
        <v>57</v>
      </c>
      <c r="C676" s="1" t="s">
        <v>297</v>
      </c>
      <c r="D676" s="1" t="s">
        <v>298</v>
      </c>
      <c r="E676" s="26" t="e">
        <f>+#REF!</f>
        <v>#REF!</v>
      </c>
      <c r="F676" s="26" t="e">
        <f>+#REF!</f>
        <v>#REF!</v>
      </c>
      <c r="G676" s="17">
        <v>3</v>
      </c>
      <c r="H676" s="17" t="s">
        <v>9</v>
      </c>
      <c r="I676" s="30" t="s">
        <v>58</v>
      </c>
      <c r="J676" s="22">
        <f>1.45+8.75</f>
        <v>10.199999999999999</v>
      </c>
      <c r="K676" s="22">
        <f>0.55+8.25</f>
        <v>8.8000000000000007</v>
      </c>
      <c r="L676" s="8">
        <f t="shared" si="602"/>
        <v>1.3999999999999986</v>
      </c>
      <c r="M676" s="24">
        <f>+L676/SUMIF(C:C,C676,L:L)</f>
        <v>7.9772079772079701E-2</v>
      </c>
      <c r="N676" s="14"/>
    </row>
    <row r="677" spans="1:17" x14ac:dyDescent="0.25">
      <c r="A677" s="20">
        <v>44523</v>
      </c>
      <c r="B677" s="1">
        <f>B674</f>
        <v>57</v>
      </c>
      <c r="C677" s="1" t="s">
        <v>297</v>
      </c>
      <c r="D677" s="1" t="s">
        <v>298</v>
      </c>
      <c r="E677" s="26" t="e">
        <f t="shared" ref="E677:F677" si="604">+E676</f>
        <v>#REF!</v>
      </c>
      <c r="F677" s="26" t="e">
        <f t="shared" si="604"/>
        <v>#REF!</v>
      </c>
      <c r="G677" s="17">
        <v>4</v>
      </c>
      <c r="H677" s="17" t="s">
        <v>9</v>
      </c>
      <c r="I677" s="30" t="s">
        <v>22</v>
      </c>
      <c r="J677" s="22"/>
      <c r="K677" s="22"/>
      <c r="L677" s="8">
        <f t="shared" si="602"/>
        <v>0</v>
      </c>
      <c r="M677" s="24">
        <f t="shared" ref="M677:M684" si="605">+L677/SUMIF(C:C,C677,L:L)</f>
        <v>0</v>
      </c>
      <c r="N677" s="14"/>
    </row>
    <row r="678" spans="1:17" x14ac:dyDescent="0.25">
      <c r="A678" s="20">
        <v>44523</v>
      </c>
      <c r="B678" s="1">
        <f>B674</f>
        <v>57</v>
      </c>
      <c r="C678" s="1" t="s">
        <v>297</v>
      </c>
      <c r="D678" s="1" t="s">
        <v>298</v>
      </c>
      <c r="E678" s="26" t="e">
        <f t="shared" ref="E678:F678" si="606">+E677</f>
        <v>#REF!</v>
      </c>
      <c r="F678" s="26" t="e">
        <f t="shared" si="606"/>
        <v>#REF!</v>
      </c>
      <c r="G678" s="17">
        <v>5</v>
      </c>
      <c r="H678" s="17" t="s">
        <v>9</v>
      </c>
      <c r="I678" s="30" t="s">
        <v>34</v>
      </c>
      <c r="J678" s="22">
        <v>0.9</v>
      </c>
      <c r="K678" s="22">
        <v>0.55000000000000004</v>
      </c>
      <c r="L678" s="8">
        <f t="shared" si="602"/>
        <v>0.35</v>
      </c>
      <c r="M678" s="24">
        <f t="shared" si="605"/>
        <v>1.9943019943019946E-2</v>
      </c>
      <c r="N678" s="14"/>
    </row>
    <row r="679" spans="1:17" x14ac:dyDescent="0.25">
      <c r="A679" s="20">
        <v>44523</v>
      </c>
      <c r="B679" s="1">
        <f>B674</f>
        <v>57</v>
      </c>
      <c r="C679" s="1" t="s">
        <v>297</v>
      </c>
      <c r="D679" s="1" t="s">
        <v>298</v>
      </c>
      <c r="E679" s="26" t="e">
        <f t="shared" ref="E679:F679" si="607">+E678</f>
        <v>#REF!</v>
      </c>
      <c r="F679" s="26" t="e">
        <f t="shared" si="607"/>
        <v>#REF!</v>
      </c>
      <c r="G679" s="17">
        <v>6</v>
      </c>
      <c r="H679" s="17" t="s">
        <v>9</v>
      </c>
      <c r="I679" s="30" t="s">
        <v>35</v>
      </c>
      <c r="J679" s="22"/>
      <c r="K679" s="22"/>
      <c r="L679" s="8">
        <f t="shared" si="602"/>
        <v>0</v>
      </c>
      <c r="M679" s="24">
        <f t="shared" si="605"/>
        <v>0</v>
      </c>
      <c r="N679" s="14"/>
    </row>
    <row r="680" spans="1:17" x14ac:dyDescent="0.25">
      <c r="A680" s="20">
        <v>44523</v>
      </c>
      <c r="B680" s="1">
        <f>B674</f>
        <v>57</v>
      </c>
      <c r="C680" s="1" t="s">
        <v>297</v>
      </c>
      <c r="D680" s="1" t="s">
        <v>298</v>
      </c>
      <c r="E680" s="26" t="e">
        <f t="shared" ref="E680:F680" si="608">+E679</f>
        <v>#REF!</v>
      </c>
      <c r="F680" s="26" t="e">
        <f t="shared" si="608"/>
        <v>#REF!</v>
      </c>
      <c r="G680" s="17">
        <v>7</v>
      </c>
      <c r="H680" s="17" t="s">
        <v>9</v>
      </c>
      <c r="I680" s="30" t="s">
        <v>36</v>
      </c>
      <c r="J680" s="22"/>
      <c r="K680" s="22"/>
      <c r="L680" s="8">
        <f t="shared" si="602"/>
        <v>0</v>
      </c>
      <c r="M680" s="24">
        <f t="shared" si="605"/>
        <v>0</v>
      </c>
      <c r="N680" s="14"/>
    </row>
    <row r="681" spans="1:17" x14ac:dyDescent="0.25">
      <c r="A681" s="20">
        <v>44523</v>
      </c>
      <c r="B681" s="1">
        <f>B674</f>
        <v>57</v>
      </c>
      <c r="C681" s="1" t="s">
        <v>297</v>
      </c>
      <c r="D681" s="1" t="s">
        <v>298</v>
      </c>
      <c r="E681" s="26" t="e">
        <f>+E680</f>
        <v>#REF!</v>
      </c>
      <c r="F681" s="26" t="e">
        <f>+F680</f>
        <v>#REF!</v>
      </c>
      <c r="G681" s="17">
        <v>8</v>
      </c>
      <c r="H681" s="17" t="s">
        <v>9</v>
      </c>
      <c r="I681" s="30" t="s">
        <v>59</v>
      </c>
      <c r="J681" s="22">
        <v>4.3</v>
      </c>
      <c r="K681" s="22">
        <v>0.55000000000000004</v>
      </c>
      <c r="L681" s="8">
        <f t="shared" si="602"/>
        <v>3.75</v>
      </c>
      <c r="M681" s="24">
        <f t="shared" si="605"/>
        <v>0.21367521367521372</v>
      </c>
      <c r="N681" s="14"/>
    </row>
    <row r="682" spans="1:17" x14ac:dyDescent="0.25">
      <c r="A682" s="20">
        <v>44523</v>
      </c>
      <c r="B682" s="1">
        <f>B674</f>
        <v>57</v>
      </c>
      <c r="C682" s="1" t="s">
        <v>297</v>
      </c>
      <c r="D682" s="1" t="s">
        <v>298</v>
      </c>
      <c r="E682" s="26" t="e">
        <f t="shared" ref="E682:F682" si="609">+E681</f>
        <v>#REF!</v>
      </c>
      <c r="F682" s="26" t="e">
        <f t="shared" si="609"/>
        <v>#REF!</v>
      </c>
      <c r="G682" s="17">
        <v>9</v>
      </c>
      <c r="H682" s="17" t="s">
        <v>9</v>
      </c>
      <c r="I682" s="30" t="s">
        <v>38</v>
      </c>
      <c r="J682" s="22"/>
      <c r="K682" s="22"/>
      <c r="L682" s="8">
        <f t="shared" si="602"/>
        <v>0</v>
      </c>
      <c r="M682" s="24">
        <f t="shared" si="605"/>
        <v>0</v>
      </c>
      <c r="N682" s="14"/>
    </row>
    <row r="683" spans="1:17" x14ac:dyDescent="0.25">
      <c r="A683" s="20">
        <v>44523</v>
      </c>
      <c r="B683" s="1">
        <f>B674</f>
        <v>57</v>
      </c>
      <c r="C683" s="1" t="s">
        <v>297</v>
      </c>
      <c r="D683" s="1" t="s">
        <v>298</v>
      </c>
      <c r="E683" s="26" t="e">
        <f t="shared" ref="E683:F683" si="610">+E682</f>
        <v>#REF!</v>
      </c>
      <c r="F683" s="26" t="e">
        <f t="shared" si="610"/>
        <v>#REF!</v>
      </c>
      <c r="G683" s="17">
        <v>10</v>
      </c>
      <c r="H683" s="17" t="s">
        <v>9</v>
      </c>
      <c r="I683" s="30" t="s">
        <v>23</v>
      </c>
      <c r="J683" s="22">
        <f>14.3+10.85</f>
        <v>25.15</v>
      </c>
      <c r="K683" s="22">
        <f>8.55*2</f>
        <v>17.100000000000001</v>
      </c>
      <c r="L683" s="8">
        <f t="shared" si="602"/>
        <v>8.0499999999999972</v>
      </c>
      <c r="M683" s="24">
        <f t="shared" si="605"/>
        <v>0.4586894586894586</v>
      </c>
      <c r="N683" s="14"/>
    </row>
    <row r="684" spans="1:17" x14ac:dyDescent="0.25">
      <c r="A684" s="20">
        <v>44523</v>
      </c>
      <c r="B684" s="1">
        <f>B674</f>
        <v>57</v>
      </c>
      <c r="C684" s="1" t="s">
        <v>297</v>
      </c>
      <c r="D684" s="1" t="s">
        <v>298</v>
      </c>
      <c r="E684" s="26" t="e">
        <f t="shared" ref="E684:F684" si="611">+E683</f>
        <v>#REF!</v>
      </c>
      <c r="F684" s="26" t="e">
        <f t="shared" si="611"/>
        <v>#REF!</v>
      </c>
      <c r="G684" s="17">
        <v>11</v>
      </c>
      <c r="H684" s="17" t="s">
        <v>9</v>
      </c>
      <c r="I684" s="30" t="s">
        <v>60</v>
      </c>
      <c r="J684" s="22">
        <f>0.6+8.9</f>
        <v>9.5</v>
      </c>
      <c r="K684" s="22">
        <f>0.5+8.55</f>
        <v>9.0500000000000007</v>
      </c>
      <c r="L684" s="8">
        <f t="shared" si="602"/>
        <v>0.44999999999999929</v>
      </c>
      <c r="M684" s="24">
        <f t="shared" si="605"/>
        <v>2.5641025641025605E-2</v>
      </c>
      <c r="N684" s="14"/>
    </row>
    <row r="685" spans="1:17" s="2" customFormat="1" ht="15.75" thickBot="1" x14ac:dyDescent="0.3">
      <c r="A685" s="60">
        <v>44523</v>
      </c>
      <c r="B685" s="57">
        <f>B674</f>
        <v>57</v>
      </c>
      <c r="C685" s="57" t="s">
        <v>297</v>
      </c>
      <c r="D685" s="57" t="s">
        <v>298</v>
      </c>
      <c r="E685" s="61" t="e">
        <f t="shared" ref="E685:F685" si="612">+E684</f>
        <v>#REF!</v>
      </c>
      <c r="F685" s="61" t="e">
        <f t="shared" si="612"/>
        <v>#REF!</v>
      </c>
      <c r="G685" s="62">
        <f>+G684+1</f>
        <v>12</v>
      </c>
      <c r="H685" s="62" t="s">
        <v>10</v>
      </c>
      <c r="I685" s="46" t="s">
        <v>10</v>
      </c>
      <c r="J685" s="63">
        <f>9.05+9.9+9.6</f>
        <v>28.550000000000004</v>
      </c>
      <c r="K685" s="63">
        <f>8.5+8.55+8.55</f>
        <v>25.6</v>
      </c>
      <c r="L685" s="64">
        <f t="shared" si="602"/>
        <v>2.9500000000000028</v>
      </c>
      <c r="M685" s="65">
        <f>+L685/SUMIF(C:C,C685,L:L)</f>
        <v>0.16809116809116828</v>
      </c>
      <c r="N685" s="66"/>
      <c r="Q685" s="5"/>
    </row>
    <row r="686" spans="1:17" x14ac:dyDescent="0.25">
      <c r="A686" s="19">
        <v>44523</v>
      </c>
      <c r="B686" s="15">
        <f>B674+1</f>
        <v>58</v>
      </c>
      <c r="C686" s="15" t="s">
        <v>300</v>
      </c>
      <c r="D686" s="15" t="s">
        <v>301</v>
      </c>
      <c r="E686" s="25">
        <f>5.8-1.2</f>
        <v>4.5999999999999996</v>
      </c>
      <c r="F686" s="25">
        <f>+SUM(L686:L697)</f>
        <v>4.5500000000000007</v>
      </c>
      <c r="G686" s="16">
        <v>1</v>
      </c>
      <c r="H686" s="16" t="s">
        <v>9</v>
      </c>
      <c r="I686" s="59" t="s">
        <v>56</v>
      </c>
      <c r="J686" s="21">
        <f>10.75+10.6</f>
        <v>21.35</v>
      </c>
      <c r="K686" s="21">
        <f>8.5+8.55</f>
        <v>17.05</v>
      </c>
      <c r="L686" s="12">
        <f>+J686-K686</f>
        <v>4.3000000000000007</v>
      </c>
      <c r="M686" s="23">
        <f>+L686/SUMIF(C:C,C686,L:L)</f>
        <v>0.94505494505494503</v>
      </c>
      <c r="N686" s="13"/>
    </row>
    <row r="687" spans="1:17" x14ac:dyDescent="0.25">
      <c r="A687" s="20">
        <v>44523</v>
      </c>
      <c r="B687" s="1">
        <f>B686</f>
        <v>58</v>
      </c>
      <c r="C687" s="1" t="s">
        <v>300</v>
      </c>
      <c r="D687" s="1" t="s">
        <v>301</v>
      </c>
      <c r="E687" s="26">
        <f>+E686</f>
        <v>4.5999999999999996</v>
      </c>
      <c r="F687" s="28">
        <f>+(F686-E686)/E686</f>
        <v>-1.0869565217391073E-2</v>
      </c>
      <c r="G687" s="17">
        <v>2</v>
      </c>
      <c r="H687" s="17" t="s">
        <v>9</v>
      </c>
      <c r="I687" s="30" t="s">
        <v>57</v>
      </c>
      <c r="J687" s="22">
        <v>0.8</v>
      </c>
      <c r="K687" s="22">
        <v>0.55000000000000004</v>
      </c>
      <c r="L687" s="8">
        <f t="shared" ref="L687:L697" si="613">+J687-K687</f>
        <v>0.25</v>
      </c>
      <c r="M687" s="24">
        <f t="shared" ref="M687" si="614">+L687/SUMIF(C:C,C687,L:L)</f>
        <v>5.4945054945054937E-2</v>
      </c>
      <c r="N687" s="14"/>
    </row>
    <row r="688" spans="1:17" x14ac:dyDescent="0.25">
      <c r="A688" s="20">
        <v>44523</v>
      </c>
      <c r="B688" s="1">
        <f>B686</f>
        <v>58</v>
      </c>
      <c r="C688" s="1" t="s">
        <v>300</v>
      </c>
      <c r="D688" s="1" t="s">
        <v>301</v>
      </c>
      <c r="E688" s="26" t="e">
        <f>+#REF!</f>
        <v>#REF!</v>
      </c>
      <c r="F688" s="26" t="e">
        <f>+#REF!</f>
        <v>#REF!</v>
      </c>
      <c r="G688" s="17">
        <v>3</v>
      </c>
      <c r="H688" s="17" t="s">
        <v>9</v>
      </c>
      <c r="I688" s="30" t="s">
        <v>58</v>
      </c>
      <c r="J688" s="22"/>
      <c r="K688" s="22"/>
      <c r="L688" s="8">
        <f t="shared" si="613"/>
        <v>0</v>
      </c>
      <c r="M688" s="24">
        <f>+L688/SUMIF(C:C,C688,L:L)</f>
        <v>0</v>
      </c>
      <c r="N688" s="14"/>
    </row>
    <row r="689" spans="1:17" x14ac:dyDescent="0.25">
      <c r="A689" s="20">
        <v>44523</v>
      </c>
      <c r="B689" s="1">
        <f>B686</f>
        <v>58</v>
      </c>
      <c r="C689" s="1" t="s">
        <v>300</v>
      </c>
      <c r="D689" s="1" t="s">
        <v>301</v>
      </c>
      <c r="E689" s="26" t="e">
        <f t="shared" ref="E689:F689" si="615">+E688</f>
        <v>#REF!</v>
      </c>
      <c r="F689" s="26" t="e">
        <f t="shared" si="615"/>
        <v>#REF!</v>
      </c>
      <c r="G689" s="17">
        <v>4</v>
      </c>
      <c r="H689" s="17" t="s">
        <v>9</v>
      </c>
      <c r="I689" s="30" t="s">
        <v>22</v>
      </c>
      <c r="J689" s="22"/>
      <c r="K689" s="22"/>
      <c r="L689" s="8">
        <f t="shared" si="613"/>
        <v>0</v>
      </c>
      <c r="M689" s="24">
        <f t="shared" ref="M689:M696" si="616">+L689/SUMIF(C:C,C689,L:L)</f>
        <v>0</v>
      </c>
      <c r="N689" s="14"/>
    </row>
    <row r="690" spans="1:17" x14ac:dyDescent="0.25">
      <c r="A690" s="20">
        <v>44523</v>
      </c>
      <c r="B690" s="1">
        <f>B686</f>
        <v>58</v>
      </c>
      <c r="C690" s="1" t="s">
        <v>300</v>
      </c>
      <c r="D690" s="1" t="s">
        <v>301</v>
      </c>
      <c r="E690" s="26" t="e">
        <f t="shared" ref="E690:F690" si="617">+E689</f>
        <v>#REF!</v>
      </c>
      <c r="F690" s="26" t="e">
        <f t="shared" si="617"/>
        <v>#REF!</v>
      </c>
      <c r="G690" s="17">
        <v>5</v>
      </c>
      <c r="H690" s="17" t="s">
        <v>9</v>
      </c>
      <c r="I690" s="30" t="s">
        <v>34</v>
      </c>
      <c r="J690" s="22"/>
      <c r="K690" s="22"/>
      <c r="L690" s="8">
        <f t="shared" si="613"/>
        <v>0</v>
      </c>
      <c r="M690" s="24">
        <f t="shared" si="616"/>
        <v>0</v>
      </c>
      <c r="N690" s="14"/>
    </row>
    <row r="691" spans="1:17" x14ac:dyDescent="0.25">
      <c r="A691" s="20">
        <v>44523</v>
      </c>
      <c r="B691" s="1">
        <f>B686</f>
        <v>58</v>
      </c>
      <c r="C691" s="1" t="s">
        <v>300</v>
      </c>
      <c r="D691" s="1" t="s">
        <v>301</v>
      </c>
      <c r="E691" s="26" t="e">
        <f t="shared" ref="E691:F691" si="618">+E690</f>
        <v>#REF!</v>
      </c>
      <c r="F691" s="26" t="e">
        <f t="shared" si="618"/>
        <v>#REF!</v>
      </c>
      <c r="G691" s="17">
        <v>6</v>
      </c>
      <c r="H691" s="17" t="s">
        <v>9</v>
      </c>
      <c r="I691" s="30" t="s">
        <v>35</v>
      </c>
      <c r="J691" s="22"/>
      <c r="K691" s="22"/>
      <c r="L691" s="8">
        <f t="shared" si="613"/>
        <v>0</v>
      </c>
      <c r="M691" s="24">
        <f t="shared" si="616"/>
        <v>0</v>
      </c>
      <c r="N691" s="14"/>
    </row>
    <row r="692" spans="1:17" x14ac:dyDescent="0.25">
      <c r="A692" s="20">
        <v>44523</v>
      </c>
      <c r="B692" s="1">
        <f>B686</f>
        <v>58</v>
      </c>
      <c r="C692" s="1" t="s">
        <v>300</v>
      </c>
      <c r="D692" s="1" t="s">
        <v>301</v>
      </c>
      <c r="E692" s="26" t="e">
        <f t="shared" ref="E692:F692" si="619">+E691</f>
        <v>#REF!</v>
      </c>
      <c r="F692" s="26" t="e">
        <f t="shared" si="619"/>
        <v>#REF!</v>
      </c>
      <c r="G692" s="17">
        <v>7</v>
      </c>
      <c r="H692" s="17" t="s">
        <v>9</v>
      </c>
      <c r="I692" s="30" t="s">
        <v>36</v>
      </c>
      <c r="J692" s="22"/>
      <c r="K692" s="22"/>
      <c r="L692" s="8">
        <f t="shared" si="613"/>
        <v>0</v>
      </c>
      <c r="M692" s="24">
        <f t="shared" si="616"/>
        <v>0</v>
      </c>
      <c r="N692" s="14"/>
    </row>
    <row r="693" spans="1:17" x14ac:dyDescent="0.25">
      <c r="A693" s="20">
        <v>44523</v>
      </c>
      <c r="B693" s="1">
        <f>B686</f>
        <v>58</v>
      </c>
      <c r="C693" s="1" t="s">
        <v>300</v>
      </c>
      <c r="D693" s="1" t="s">
        <v>301</v>
      </c>
      <c r="E693" s="26" t="e">
        <f>+E692</f>
        <v>#REF!</v>
      </c>
      <c r="F693" s="26" t="e">
        <f>+F692</f>
        <v>#REF!</v>
      </c>
      <c r="G693" s="17">
        <v>8</v>
      </c>
      <c r="H693" s="17" t="s">
        <v>9</v>
      </c>
      <c r="I693" s="30" t="s">
        <v>59</v>
      </c>
      <c r="J693" s="22"/>
      <c r="K693" s="22"/>
      <c r="L693" s="8">
        <f t="shared" si="613"/>
        <v>0</v>
      </c>
      <c r="M693" s="24">
        <f t="shared" si="616"/>
        <v>0</v>
      </c>
      <c r="N693" s="14"/>
    </row>
    <row r="694" spans="1:17" x14ac:dyDescent="0.25">
      <c r="A694" s="20">
        <v>44523</v>
      </c>
      <c r="B694" s="1">
        <f>B686</f>
        <v>58</v>
      </c>
      <c r="C694" s="1" t="s">
        <v>300</v>
      </c>
      <c r="D694" s="1" t="s">
        <v>301</v>
      </c>
      <c r="E694" s="26" t="e">
        <f t="shared" ref="E694:F694" si="620">+E693</f>
        <v>#REF!</v>
      </c>
      <c r="F694" s="26" t="e">
        <f t="shared" si="620"/>
        <v>#REF!</v>
      </c>
      <c r="G694" s="17">
        <v>9</v>
      </c>
      <c r="H694" s="17" t="s">
        <v>9</v>
      </c>
      <c r="I694" s="30" t="s">
        <v>38</v>
      </c>
      <c r="J694" s="22"/>
      <c r="K694" s="22"/>
      <c r="L694" s="8">
        <f t="shared" si="613"/>
        <v>0</v>
      </c>
      <c r="M694" s="24">
        <f t="shared" si="616"/>
        <v>0</v>
      </c>
      <c r="N694" s="14"/>
    </row>
    <row r="695" spans="1:17" x14ac:dyDescent="0.25">
      <c r="A695" s="20">
        <v>44523</v>
      </c>
      <c r="B695" s="1">
        <f>B686</f>
        <v>58</v>
      </c>
      <c r="C695" s="1" t="s">
        <v>300</v>
      </c>
      <c r="D695" s="1" t="s">
        <v>301</v>
      </c>
      <c r="E695" s="26" t="e">
        <f t="shared" ref="E695:F695" si="621">+E694</f>
        <v>#REF!</v>
      </c>
      <c r="F695" s="26" t="e">
        <f t="shared" si="621"/>
        <v>#REF!</v>
      </c>
      <c r="G695" s="17">
        <v>10</v>
      </c>
      <c r="H695" s="17" t="s">
        <v>9</v>
      </c>
      <c r="I695" s="30" t="s">
        <v>23</v>
      </c>
      <c r="J695" s="22"/>
      <c r="K695" s="22"/>
      <c r="L695" s="8">
        <f t="shared" si="613"/>
        <v>0</v>
      </c>
      <c r="M695" s="24">
        <f t="shared" si="616"/>
        <v>0</v>
      </c>
      <c r="N695" s="14"/>
    </row>
    <row r="696" spans="1:17" x14ac:dyDescent="0.25">
      <c r="A696" s="20">
        <v>44523</v>
      </c>
      <c r="B696" s="1">
        <f>B686</f>
        <v>58</v>
      </c>
      <c r="C696" s="1" t="s">
        <v>300</v>
      </c>
      <c r="D696" s="1" t="s">
        <v>301</v>
      </c>
      <c r="E696" s="26" t="e">
        <f t="shared" ref="E696:F696" si="622">+E695</f>
        <v>#REF!</v>
      </c>
      <c r="F696" s="26" t="e">
        <f t="shared" si="622"/>
        <v>#REF!</v>
      </c>
      <c r="G696" s="17">
        <v>11</v>
      </c>
      <c r="H696" s="17" t="s">
        <v>9</v>
      </c>
      <c r="I696" s="30" t="s">
        <v>60</v>
      </c>
      <c r="J696" s="22"/>
      <c r="K696" s="22"/>
      <c r="L696" s="8">
        <f t="shared" si="613"/>
        <v>0</v>
      </c>
      <c r="M696" s="24">
        <f t="shared" si="616"/>
        <v>0</v>
      </c>
      <c r="N696" s="14"/>
    </row>
    <row r="697" spans="1:17" s="2" customFormat="1" ht="15.75" thickBot="1" x14ac:dyDescent="0.3">
      <c r="A697" s="60">
        <v>44523</v>
      </c>
      <c r="B697" s="57">
        <f>B686</f>
        <v>58</v>
      </c>
      <c r="C697" s="57" t="s">
        <v>300</v>
      </c>
      <c r="D697" s="57" t="s">
        <v>301</v>
      </c>
      <c r="E697" s="61" t="e">
        <f t="shared" ref="E697:F697" si="623">+E696</f>
        <v>#REF!</v>
      </c>
      <c r="F697" s="61" t="e">
        <f t="shared" si="623"/>
        <v>#REF!</v>
      </c>
      <c r="G697" s="62">
        <f>+G696+1</f>
        <v>12</v>
      </c>
      <c r="H697" s="62" t="s">
        <v>10</v>
      </c>
      <c r="I697" s="46" t="s">
        <v>10</v>
      </c>
      <c r="J697" s="63"/>
      <c r="K697" s="63"/>
      <c r="L697" s="64">
        <f t="shared" si="613"/>
        <v>0</v>
      </c>
      <c r="M697" s="65">
        <f>+L697/SUMIF(C:C,C697,L:L)</f>
        <v>0</v>
      </c>
      <c r="N697" s="66"/>
      <c r="Q697" s="5"/>
    </row>
    <row r="698" spans="1:17" x14ac:dyDescent="0.25">
      <c r="A698" s="19">
        <v>44523</v>
      </c>
      <c r="B698" s="15">
        <f>B686+1</f>
        <v>59</v>
      </c>
      <c r="C698" s="15" t="s">
        <v>302</v>
      </c>
      <c r="D698" s="15" t="s">
        <v>303</v>
      </c>
      <c r="E698" s="25">
        <f>5-1.2</f>
        <v>3.8</v>
      </c>
      <c r="F698" s="25">
        <f>+SUM(L698:L709)</f>
        <v>3.6999999999999984</v>
      </c>
      <c r="G698" s="16">
        <v>1</v>
      </c>
      <c r="H698" s="16" t="s">
        <v>9</v>
      </c>
      <c r="I698" s="59" t="s">
        <v>56</v>
      </c>
      <c r="J698" s="21"/>
      <c r="K698" s="21"/>
      <c r="L698" s="12">
        <f>+J698-K698</f>
        <v>0</v>
      </c>
      <c r="M698" s="23">
        <f>+L698/SUMIF(C:C,C698,L:L)</f>
        <v>0</v>
      </c>
      <c r="N698" s="13"/>
    </row>
    <row r="699" spans="1:17" x14ac:dyDescent="0.25">
      <c r="A699" s="20">
        <v>44523</v>
      </c>
      <c r="B699" s="1">
        <f>B698</f>
        <v>59</v>
      </c>
      <c r="C699" s="1" t="s">
        <v>302</v>
      </c>
      <c r="D699" s="1" t="s">
        <v>303</v>
      </c>
      <c r="E699" s="26">
        <f>+E698</f>
        <v>3.8</v>
      </c>
      <c r="F699" s="28">
        <f>+(F698-E698)/E698</f>
        <v>-2.6315789473684587E-2</v>
      </c>
      <c r="G699" s="17">
        <v>2</v>
      </c>
      <c r="H699" s="17" t="s">
        <v>9</v>
      </c>
      <c r="I699" s="30" t="s">
        <v>57</v>
      </c>
      <c r="J699" s="22">
        <v>0.6</v>
      </c>
      <c r="K699" s="22">
        <v>0.55000000000000004</v>
      </c>
      <c r="L699" s="8">
        <f t="shared" ref="L699:L709" si="624">+J699-K699</f>
        <v>4.9999999999999933E-2</v>
      </c>
      <c r="M699" s="24">
        <f t="shared" ref="M699" si="625">+L699/SUMIF(C:C,C699,L:L)</f>
        <v>1.3513513513513502E-2</v>
      </c>
      <c r="N699" s="14"/>
    </row>
    <row r="700" spans="1:17" x14ac:dyDescent="0.25">
      <c r="A700" s="20">
        <v>44523</v>
      </c>
      <c r="B700" s="1">
        <f>B698</f>
        <v>59</v>
      </c>
      <c r="C700" s="1" t="s">
        <v>302</v>
      </c>
      <c r="D700" s="1" t="s">
        <v>303</v>
      </c>
      <c r="E700" s="26" t="e">
        <f>+#REF!</f>
        <v>#REF!</v>
      </c>
      <c r="F700" s="26" t="e">
        <f>+#REF!</f>
        <v>#REF!</v>
      </c>
      <c r="G700" s="17">
        <v>3</v>
      </c>
      <c r="H700" s="17" t="s">
        <v>9</v>
      </c>
      <c r="I700" s="30" t="s">
        <v>58</v>
      </c>
      <c r="J700" s="22"/>
      <c r="K700" s="22"/>
      <c r="L700" s="8">
        <f t="shared" si="624"/>
        <v>0</v>
      </c>
      <c r="M700" s="24">
        <f>+L700/SUMIF(C:C,C700,L:L)</f>
        <v>0</v>
      </c>
      <c r="N700" s="14"/>
    </row>
    <row r="701" spans="1:17" x14ac:dyDescent="0.25">
      <c r="A701" s="20">
        <v>44523</v>
      </c>
      <c r="B701" s="1">
        <f>B698</f>
        <v>59</v>
      </c>
      <c r="C701" s="1" t="s">
        <v>302</v>
      </c>
      <c r="D701" s="1" t="s">
        <v>303</v>
      </c>
      <c r="E701" s="26" t="e">
        <f t="shared" ref="E701:F701" si="626">+E700</f>
        <v>#REF!</v>
      </c>
      <c r="F701" s="26" t="e">
        <f t="shared" si="626"/>
        <v>#REF!</v>
      </c>
      <c r="G701" s="17">
        <v>4</v>
      </c>
      <c r="H701" s="17" t="s">
        <v>9</v>
      </c>
      <c r="I701" s="30" t="s">
        <v>22</v>
      </c>
      <c r="J701" s="22"/>
      <c r="K701" s="22"/>
      <c r="L701" s="8">
        <f t="shared" si="624"/>
        <v>0</v>
      </c>
      <c r="M701" s="24">
        <f t="shared" ref="M701:M708" si="627">+L701/SUMIF(C:C,C701,L:L)</f>
        <v>0</v>
      </c>
      <c r="N701" s="14"/>
    </row>
    <row r="702" spans="1:17" x14ac:dyDescent="0.25">
      <c r="A702" s="20">
        <v>44523</v>
      </c>
      <c r="B702" s="1">
        <f>B698</f>
        <v>59</v>
      </c>
      <c r="C702" s="1" t="s">
        <v>302</v>
      </c>
      <c r="D702" s="1" t="s">
        <v>303</v>
      </c>
      <c r="E702" s="26" t="e">
        <f t="shared" ref="E702:F702" si="628">+E701</f>
        <v>#REF!</v>
      </c>
      <c r="F702" s="26" t="e">
        <f t="shared" si="628"/>
        <v>#REF!</v>
      </c>
      <c r="G702" s="17">
        <v>5</v>
      </c>
      <c r="H702" s="17" t="s">
        <v>9</v>
      </c>
      <c r="I702" s="30" t="s">
        <v>34</v>
      </c>
      <c r="J702" s="22"/>
      <c r="K702" s="22"/>
      <c r="L702" s="8">
        <f t="shared" si="624"/>
        <v>0</v>
      </c>
      <c r="M702" s="24">
        <f t="shared" si="627"/>
        <v>0</v>
      </c>
      <c r="N702" s="14"/>
    </row>
    <row r="703" spans="1:17" x14ac:dyDescent="0.25">
      <c r="A703" s="20">
        <v>44523</v>
      </c>
      <c r="B703" s="1">
        <f>B698</f>
        <v>59</v>
      </c>
      <c r="C703" s="1" t="s">
        <v>302</v>
      </c>
      <c r="D703" s="1" t="s">
        <v>303</v>
      </c>
      <c r="E703" s="26" t="e">
        <f t="shared" ref="E703:F703" si="629">+E702</f>
        <v>#REF!</v>
      </c>
      <c r="F703" s="26" t="e">
        <f t="shared" si="629"/>
        <v>#REF!</v>
      </c>
      <c r="G703" s="17">
        <v>6</v>
      </c>
      <c r="H703" s="17" t="s">
        <v>9</v>
      </c>
      <c r="I703" s="30" t="s">
        <v>35</v>
      </c>
      <c r="J703" s="22"/>
      <c r="K703" s="22"/>
      <c r="L703" s="8">
        <f t="shared" si="624"/>
        <v>0</v>
      </c>
      <c r="M703" s="24">
        <f t="shared" si="627"/>
        <v>0</v>
      </c>
      <c r="N703" s="14"/>
    </row>
    <row r="704" spans="1:17" x14ac:dyDescent="0.25">
      <c r="A704" s="20">
        <v>44523</v>
      </c>
      <c r="B704" s="1">
        <f>B698</f>
        <v>59</v>
      </c>
      <c r="C704" s="1" t="s">
        <v>302</v>
      </c>
      <c r="D704" s="1" t="s">
        <v>303</v>
      </c>
      <c r="E704" s="26" t="e">
        <f t="shared" ref="E704:F704" si="630">+E703</f>
        <v>#REF!</v>
      </c>
      <c r="F704" s="26" t="e">
        <f t="shared" si="630"/>
        <v>#REF!</v>
      </c>
      <c r="G704" s="17">
        <v>7</v>
      </c>
      <c r="H704" s="17" t="s">
        <v>9</v>
      </c>
      <c r="I704" s="30" t="s">
        <v>36</v>
      </c>
      <c r="J704" s="22">
        <v>7.35</v>
      </c>
      <c r="K704" s="22">
        <v>6.05</v>
      </c>
      <c r="L704" s="8">
        <f t="shared" si="624"/>
        <v>1.2999999999999998</v>
      </c>
      <c r="M704" s="24">
        <f t="shared" si="627"/>
        <v>0.35135135135135148</v>
      </c>
      <c r="N704" s="14"/>
    </row>
    <row r="705" spans="1:17" x14ac:dyDescent="0.25">
      <c r="A705" s="20">
        <v>44523</v>
      </c>
      <c r="B705" s="1">
        <f>B698</f>
        <v>59</v>
      </c>
      <c r="C705" s="1" t="s">
        <v>302</v>
      </c>
      <c r="D705" s="1" t="s">
        <v>303</v>
      </c>
      <c r="E705" s="26" t="e">
        <f>+E704</f>
        <v>#REF!</v>
      </c>
      <c r="F705" s="26" t="e">
        <f>+F704</f>
        <v>#REF!</v>
      </c>
      <c r="G705" s="17">
        <v>8</v>
      </c>
      <c r="H705" s="17" t="s">
        <v>9</v>
      </c>
      <c r="I705" s="30" t="s">
        <v>59</v>
      </c>
      <c r="J705" s="22">
        <f>0.6+1</f>
        <v>1.6</v>
      </c>
      <c r="K705" s="22">
        <f>0.55+0.5</f>
        <v>1.05</v>
      </c>
      <c r="L705" s="8">
        <f t="shared" si="624"/>
        <v>0.55000000000000004</v>
      </c>
      <c r="M705" s="24">
        <f t="shared" si="627"/>
        <v>0.14864864864864871</v>
      </c>
      <c r="N705" s="14"/>
    </row>
    <row r="706" spans="1:17" x14ac:dyDescent="0.25">
      <c r="A706" s="20">
        <v>44523</v>
      </c>
      <c r="B706" s="1">
        <f>B698</f>
        <v>59</v>
      </c>
      <c r="C706" s="1" t="s">
        <v>302</v>
      </c>
      <c r="D706" s="1" t="s">
        <v>303</v>
      </c>
      <c r="E706" s="26" t="e">
        <f t="shared" ref="E706:F706" si="631">+E705</f>
        <v>#REF!</v>
      </c>
      <c r="F706" s="26" t="e">
        <f t="shared" si="631"/>
        <v>#REF!</v>
      </c>
      <c r="G706" s="17">
        <v>9</v>
      </c>
      <c r="H706" s="17" t="s">
        <v>9</v>
      </c>
      <c r="I706" s="30" t="s">
        <v>38</v>
      </c>
      <c r="J706" s="22"/>
      <c r="K706" s="22"/>
      <c r="L706" s="8">
        <f t="shared" si="624"/>
        <v>0</v>
      </c>
      <c r="M706" s="24">
        <f t="shared" si="627"/>
        <v>0</v>
      </c>
      <c r="N706" s="14"/>
    </row>
    <row r="707" spans="1:17" x14ac:dyDescent="0.25">
      <c r="A707" s="20">
        <v>44523</v>
      </c>
      <c r="B707" s="1">
        <f>B698</f>
        <v>59</v>
      </c>
      <c r="C707" s="1" t="s">
        <v>302</v>
      </c>
      <c r="D707" s="1" t="s">
        <v>303</v>
      </c>
      <c r="E707" s="26" t="e">
        <f t="shared" ref="E707:F707" si="632">+E706</f>
        <v>#REF!</v>
      </c>
      <c r="F707" s="26" t="e">
        <f t="shared" si="632"/>
        <v>#REF!</v>
      </c>
      <c r="G707" s="17">
        <v>10</v>
      </c>
      <c r="H707" s="17" t="s">
        <v>9</v>
      </c>
      <c r="I707" s="30" t="s">
        <v>23</v>
      </c>
      <c r="J707" s="22">
        <v>9.5</v>
      </c>
      <c r="K707" s="22">
        <v>8.5500000000000007</v>
      </c>
      <c r="L707" s="8">
        <f t="shared" si="624"/>
        <v>0.94999999999999929</v>
      </c>
      <c r="M707" s="24">
        <f t="shared" si="627"/>
        <v>0.25675675675675669</v>
      </c>
      <c r="N707" s="14"/>
    </row>
    <row r="708" spans="1:17" x14ac:dyDescent="0.25">
      <c r="A708" s="20">
        <v>44523</v>
      </c>
      <c r="B708" s="1">
        <f>B698</f>
        <v>59</v>
      </c>
      <c r="C708" s="1" t="s">
        <v>302</v>
      </c>
      <c r="D708" s="1" t="s">
        <v>303</v>
      </c>
      <c r="E708" s="26" t="e">
        <f t="shared" ref="E708:F708" si="633">+E707</f>
        <v>#REF!</v>
      </c>
      <c r="F708" s="26" t="e">
        <f t="shared" si="633"/>
        <v>#REF!</v>
      </c>
      <c r="G708" s="17">
        <v>11</v>
      </c>
      <c r="H708" s="17" t="s">
        <v>9</v>
      </c>
      <c r="I708" s="30" t="s">
        <v>60</v>
      </c>
      <c r="J708" s="22"/>
      <c r="K708" s="22"/>
      <c r="L708" s="8">
        <f t="shared" si="624"/>
        <v>0</v>
      </c>
      <c r="M708" s="24">
        <f t="shared" si="627"/>
        <v>0</v>
      </c>
      <c r="N708" s="14"/>
    </row>
    <row r="709" spans="1:17" s="2" customFormat="1" ht="15.75" thickBot="1" x14ac:dyDescent="0.3">
      <c r="A709" s="60">
        <v>44523</v>
      </c>
      <c r="B709" s="57">
        <f>B698</f>
        <v>59</v>
      </c>
      <c r="C709" s="57" t="s">
        <v>302</v>
      </c>
      <c r="D709" s="57" t="s">
        <v>303</v>
      </c>
      <c r="E709" s="61" t="e">
        <f t="shared" ref="E709:F709" si="634">+E708</f>
        <v>#REF!</v>
      </c>
      <c r="F709" s="61" t="e">
        <f t="shared" si="634"/>
        <v>#REF!</v>
      </c>
      <c r="G709" s="62">
        <f>+G708+1</f>
        <v>12</v>
      </c>
      <c r="H709" s="62" t="s">
        <v>10</v>
      </c>
      <c r="I709" s="46" t="s">
        <v>10</v>
      </c>
      <c r="J709" s="63">
        <f>9.15</f>
        <v>9.15</v>
      </c>
      <c r="K709" s="63">
        <f>8.3</f>
        <v>8.3000000000000007</v>
      </c>
      <c r="L709" s="64">
        <f t="shared" si="624"/>
        <v>0.84999999999999964</v>
      </c>
      <c r="M709" s="65">
        <f>+L709/SUMIF(C:C,C709,L:L)</f>
        <v>0.22972972972972974</v>
      </c>
      <c r="N709" s="66"/>
      <c r="Q709" s="5"/>
    </row>
    <row r="710" spans="1:17" x14ac:dyDescent="0.25">
      <c r="A710" s="19">
        <v>44523</v>
      </c>
      <c r="B710" s="15">
        <f>B698+1</f>
        <v>60</v>
      </c>
      <c r="C710" s="15" t="s">
        <v>304</v>
      </c>
      <c r="D710" s="15" t="s">
        <v>305</v>
      </c>
      <c r="E710" s="25">
        <f>1.8-1.2</f>
        <v>0.60000000000000009</v>
      </c>
      <c r="F710" s="25">
        <f>+SUM(L710:L721)</f>
        <v>0.49999999999999989</v>
      </c>
      <c r="G710" s="16">
        <v>1</v>
      </c>
      <c r="H710" s="16" t="s">
        <v>9</v>
      </c>
      <c r="I710" s="59" t="s">
        <v>56</v>
      </c>
      <c r="J710" s="21"/>
      <c r="K710" s="21"/>
      <c r="L710" s="12">
        <f>+J710-K710</f>
        <v>0</v>
      </c>
      <c r="M710" s="23">
        <f>+L710/SUMIF(C:C,C710,L:L)</f>
        <v>0</v>
      </c>
      <c r="N710" s="13"/>
    </row>
    <row r="711" spans="1:17" x14ac:dyDescent="0.25">
      <c r="A711" s="20">
        <v>44523</v>
      </c>
      <c r="B711" s="1">
        <f>B710</f>
        <v>60</v>
      </c>
      <c r="C711" s="1" t="s">
        <v>304</v>
      </c>
      <c r="D711" s="1" t="s">
        <v>305</v>
      </c>
      <c r="E711" s="26">
        <f>+E710</f>
        <v>0.60000000000000009</v>
      </c>
      <c r="F711" s="28">
        <f>+(F710-E710)/E710</f>
        <v>-0.16666666666666696</v>
      </c>
      <c r="G711" s="17">
        <v>2</v>
      </c>
      <c r="H711" s="17" t="s">
        <v>9</v>
      </c>
      <c r="I711" s="30" t="s">
        <v>57</v>
      </c>
      <c r="J711" s="22"/>
      <c r="K711" s="22"/>
      <c r="L711" s="8">
        <f t="shared" ref="L711:L721" si="635">+J711-K711</f>
        <v>0</v>
      </c>
      <c r="M711" s="24">
        <f t="shared" ref="M711" si="636">+L711/SUMIF(C:C,C711,L:L)</f>
        <v>0</v>
      </c>
      <c r="N711" s="14"/>
    </row>
    <row r="712" spans="1:17" x14ac:dyDescent="0.25">
      <c r="A712" s="20">
        <v>44523</v>
      </c>
      <c r="B712" s="1">
        <f>B710</f>
        <v>60</v>
      </c>
      <c r="C712" s="1" t="s">
        <v>304</v>
      </c>
      <c r="D712" s="1" t="s">
        <v>305</v>
      </c>
      <c r="E712" s="26" t="e">
        <f>+#REF!</f>
        <v>#REF!</v>
      </c>
      <c r="F712" s="26" t="e">
        <f>+#REF!</f>
        <v>#REF!</v>
      </c>
      <c r="G712" s="17">
        <v>3</v>
      </c>
      <c r="H712" s="17" t="s">
        <v>9</v>
      </c>
      <c r="I712" s="30" t="s">
        <v>58</v>
      </c>
      <c r="J712" s="22"/>
      <c r="K712" s="22"/>
      <c r="L712" s="8">
        <f t="shared" si="635"/>
        <v>0</v>
      </c>
      <c r="M712" s="24">
        <f>+L712/SUMIF(C:C,C712,L:L)</f>
        <v>0</v>
      </c>
      <c r="N712" s="14"/>
    </row>
    <row r="713" spans="1:17" x14ac:dyDescent="0.25">
      <c r="A713" s="20">
        <v>44523</v>
      </c>
      <c r="B713" s="1">
        <f>B710</f>
        <v>60</v>
      </c>
      <c r="C713" s="1" t="s">
        <v>304</v>
      </c>
      <c r="D713" s="1" t="s">
        <v>305</v>
      </c>
      <c r="E713" s="26" t="e">
        <f t="shared" ref="E713:F713" si="637">+E712</f>
        <v>#REF!</v>
      </c>
      <c r="F713" s="26" t="e">
        <f t="shared" si="637"/>
        <v>#REF!</v>
      </c>
      <c r="G713" s="17">
        <v>4</v>
      </c>
      <c r="H713" s="17" t="s">
        <v>9</v>
      </c>
      <c r="I713" s="30" t="s">
        <v>22</v>
      </c>
      <c r="J713" s="22"/>
      <c r="K713" s="22"/>
      <c r="L713" s="8">
        <f t="shared" si="635"/>
        <v>0</v>
      </c>
      <c r="M713" s="24">
        <f t="shared" ref="M713:M720" si="638">+L713/SUMIF(C:C,C713,L:L)</f>
        <v>0</v>
      </c>
      <c r="N713" s="14"/>
    </row>
    <row r="714" spans="1:17" x14ac:dyDescent="0.25">
      <c r="A714" s="20">
        <v>44523</v>
      </c>
      <c r="B714" s="1">
        <f>B710</f>
        <v>60</v>
      </c>
      <c r="C714" s="1" t="s">
        <v>304</v>
      </c>
      <c r="D714" s="1" t="s">
        <v>305</v>
      </c>
      <c r="E714" s="26" t="e">
        <f t="shared" ref="E714:F714" si="639">+E713</f>
        <v>#REF!</v>
      </c>
      <c r="F714" s="26" t="e">
        <f t="shared" si="639"/>
        <v>#REF!</v>
      </c>
      <c r="G714" s="17">
        <v>5</v>
      </c>
      <c r="H714" s="17" t="s">
        <v>9</v>
      </c>
      <c r="I714" s="30" t="s">
        <v>34</v>
      </c>
      <c r="J714" s="22"/>
      <c r="K714" s="22"/>
      <c r="L714" s="8">
        <f t="shared" si="635"/>
        <v>0</v>
      </c>
      <c r="M714" s="24">
        <f t="shared" si="638"/>
        <v>0</v>
      </c>
      <c r="N714" s="14"/>
    </row>
    <row r="715" spans="1:17" x14ac:dyDescent="0.25">
      <c r="A715" s="20">
        <v>44523</v>
      </c>
      <c r="B715" s="1">
        <f>B710</f>
        <v>60</v>
      </c>
      <c r="C715" s="1" t="s">
        <v>304</v>
      </c>
      <c r="D715" s="1" t="s">
        <v>305</v>
      </c>
      <c r="E715" s="26" t="e">
        <f t="shared" ref="E715:F715" si="640">+E714</f>
        <v>#REF!</v>
      </c>
      <c r="F715" s="26" t="e">
        <f t="shared" si="640"/>
        <v>#REF!</v>
      </c>
      <c r="G715" s="17">
        <v>6</v>
      </c>
      <c r="H715" s="17" t="s">
        <v>9</v>
      </c>
      <c r="I715" s="30" t="s">
        <v>35</v>
      </c>
      <c r="J715" s="22"/>
      <c r="K715" s="22"/>
      <c r="L715" s="8">
        <f t="shared" si="635"/>
        <v>0</v>
      </c>
      <c r="M715" s="24">
        <f t="shared" si="638"/>
        <v>0</v>
      </c>
      <c r="N715" s="14"/>
    </row>
    <row r="716" spans="1:17" x14ac:dyDescent="0.25">
      <c r="A716" s="20">
        <v>44523</v>
      </c>
      <c r="B716" s="1">
        <f>B710</f>
        <v>60</v>
      </c>
      <c r="C716" s="1" t="s">
        <v>304</v>
      </c>
      <c r="D716" s="1" t="s">
        <v>305</v>
      </c>
      <c r="E716" s="26" t="e">
        <f t="shared" ref="E716:F716" si="641">+E715</f>
        <v>#REF!</v>
      </c>
      <c r="F716" s="26" t="e">
        <f t="shared" si="641"/>
        <v>#REF!</v>
      </c>
      <c r="G716" s="17">
        <v>7</v>
      </c>
      <c r="H716" s="17" t="s">
        <v>9</v>
      </c>
      <c r="I716" s="30" t="s">
        <v>36</v>
      </c>
      <c r="J716" s="22">
        <v>0.6</v>
      </c>
      <c r="K716" s="22">
        <v>0.55000000000000004</v>
      </c>
      <c r="L716" s="8">
        <f t="shared" si="635"/>
        <v>4.9999999999999933E-2</v>
      </c>
      <c r="M716" s="24">
        <f t="shared" si="638"/>
        <v>9.9999999999999895E-2</v>
      </c>
      <c r="N716" s="14"/>
    </row>
    <row r="717" spans="1:17" x14ac:dyDescent="0.25">
      <c r="A717" s="20">
        <v>44523</v>
      </c>
      <c r="B717" s="1">
        <f>B710</f>
        <v>60</v>
      </c>
      <c r="C717" s="1" t="s">
        <v>304</v>
      </c>
      <c r="D717" s="1" t="s">
        <v>305</v>
      </c>
      <c r="E717" s="26" t="e">
        <f>+E716</f>
        <v>#REF!</v>
      </c>
      <c r="F717" s="26" t="e">
        <f>+F716</f>
        <v>#REF!</v>
      </c>
      <c r="G717" s="17">
        <v>8</v>
      </c>
      <c r="H717" s="17" t="s">
        <v>9</v>
      </c>
      <c r="I717" s="30" t="s">
        <v>59</v>
      </c>
      <c r="J717" s="22">
        <v>0.85</v>
      </c>
      <c r="K717" s="22">
        <v>0.5</v>
      </c>
      <c r="L717" s="8">
        <f t="shared" si="635"/>
        <v>0.35</v>
      </c>
      <c r="M717" s="24">
        <f t="shared" si="638"/>
        <v>0.70000000000000007</v>
      </c>
      <c r="N717" s="14"/>
    </row>
    <row r="718" spans="1:17" x14ac:dyDescent="0.25">
      <c r="A718" s="20">
        <v>44523</v>
      </c>
      <c r="B718" s="1">
        <f>B710</f>
        <v>60</v>
      </c>
      <c r="C718" s="1" t="s">
        <v>304</v>
      </c>
      <c r="D718" s="1" t="s">
        <v>305</v>
      </c>
      <c r="E718" s="26" t="e">
        <f t="shared" ref="E718:F718" si="642">+E717</f>
        <v>#REF!</v>
      </c>
      <c r="F718" s="26" t="e">
        <f t="shared" si="642"/>
        <v>#REF!</v>
      </c>
      <c r="G718" s="17">
        <v>9</v>
      </c>
      <c r="H718" s="17" t="s">
        <v>9</v>
      </c>
      <c r="I718" s="30" t="s">
        <v>38</v>
      </c>
      <c r="J718" s="22"/>
      <c r="K718" s="22"/>
      <c r="L718" s="8">
        <f t="shared" si="635"/>
        <v>0</v>
      </c>
      <c r="M718" s="24">
        <f t="shared" si="638"/>
        <v>0</v>
      </c>
      <c r="N718" s="14"/>
    </row>
    <row r="719" spans="1:17" x14ac:dyDescent="0.25">
      <c r="A719" s="20">
        <v>44523</v>
      </c>
      <c r="B719" s="1">
        <f>B710</f>
        <v>60</v>
      </c>
      <c r="C719" s="1" t="s">
        <v>304</v>
      </c>
      <c r="D719" s="1" t="s">
        <v>305</v>
      </c>
      <c r="E719" s="26" t="e">
        <f t="shared" ref="E719:F719" si="643">+E718</f>
        <v>#REF!</v>
      </c>
      <c r="F719" s="26" t="e">
        <f t="shared" si="643"/>
        <v>#REF!</v>
      </c>
      <c r="G719" s="17">
        <v>10</v>
      </c>
      <c r="H719" s="17" t="s">
        <v>9</v>
      </c>
      <c r="I719" s="30" t="s">
        <v>23</v>
      </c>
      <c r="J719" s="22">
        <v>0.55000000000000004</v>
      </c>
      <c r="K719" s="22">
        <v>0.5</v>
      </c>
      <c r="L719" s="8">
        <f t="shared" si="635"/>
        <v>5.0000000000000044E-2</v>
      </c>
      <c r="M719" s="24">
        <f t="shared" si="638"/>
        <v>0.10000000000000012</v>
      </c>
      <c r="N719" s="14"/>
    </row>
    <row r="720" spans="1:17" x14ac:dyDescent="0.25">
      <c r="A720" s="20">
        <v>44523</v>
      </c>
      <c r="B720" s="1">
        <f>B710</f>
        <v>60</v>
      </c>
      <c r="C720" s="1" t="s">
        <v>304</v>
      </c>
      <c r="D720" s="1" t="s">
        <v>305</v>
      </c>
      <c r="E720" s="26" t="e">
        <f t="shared" ref="E720:F720" si="644">+E719</f>
        <v>#REF!</v>
      </c>
      <c r="F720" s="26" t="e">
        <f t="shared" si="644"/>
        <v>#REF!</v>
      </c>
      <c r="G720" s="17">
        <v>11</v>
      </c>
      <c r="H720" s="17" t="s">
        <v>9</v>
      </c>
      <c r="I720" s="30" t="s">
        <v>60</v>
      </c>
      <c r="J720" s="22"/>
      <c r="K720" s="22"/>
      <c r="L720" s="8">
        <f t="shared" si="635"/>
        <v>0</v>
      </c>
      <c r="M720" s="24">
        <f t="shared" si="638"/>
        <v>0</v>
      </c>
      <c r="N720" s="14"/>
    </row>
    <row r="721" spans="1:17" s="2" customFormat="1" ht="15.75" thickBot="1" x14ac:dyDescent="0.3">
      <c r="A721" s="60">
        <v>44523</v>
      </c>
      <c r="B721" s="57">
        <f>B710</f>
        <v>60</v>
      </c>
      <c r="C721" s="57" t="s">
        <v>304</v>
      </c>
      <c r="D721" s="57" t="s">
        <v>305</v>
      </c>
      <c r="E721" s="61" t="e">
        <f t="shared" ref="E721:F721" si="645">+E720</f>
        <v>#REF!</v>
      </c>
      <c r="F721" s="61" t="e">
        <f t="shared" si="645"/>
        <v>#REF!</v>
      </c>
      <c r="G721" s="62">
        <f>+G720+1</f>
        <v>12</v>
      </c>
      <c r="H721" s="62" t="s">
        <v>10</v>
      </c>
      <c r="I721" s="46" t="s">
        <v>10</v>
      </c>
      <c r="J721" s="63">
        <v>0.6</v>
      </c>
      <c r="K721" s="63">
        <v>0.55000000000000004</v>
      </c>
      <c r="L721" s="64">
        <f t="shared" si="635"/>
        <v>4.9999999999999933E-2</v>
      </c>
      <c r="M721" s="65">
        <f>+L721/SUMIF(C:C,C721,L:L)</f>
        <v>9.9999999999999895E-2</v>
      </c>
      <c r="N721" s="66"/>
      <c r="Q721" s="5"/>
    </row>
    <row r="722" spans="1:17" x14ac:dyDescent="0.25">
      <c r="A722" s="19">
        <v>44523</v>
      </c>
      <c r="B722" s="15">
        <f>B710+1</f>
        <v>61</v>
      </c>
      <c r="C722" s="15" t="s">
        <v>306</v>
      </c>
      <c r="D722" s="15" t="s">
        <v>307</v>
      </c>
      <c r="E722" s="25">
        <f>2.2-1.2</f>
        <v>1.0000000000000002</v>
      </c>
      <c r="F722" s="25">
        <f>+SUM(L722:L733)</f>
        <v>0.94999999999999973</v>
      </c>
      <c r="G722" s="16">
        <v>1</v>
      </c>
      <c r="H722" s="16" t="s">
        <v>9</v>
      </c>
      <c r="I722" s="59" t="s">
        <v>56</v>
      </c>
      <c r="J722" s="21">
        <v>0.05</v>
      </c>
      <c r="K722" s="21">
        <v>0</v>
      </c>
      <c r="L722" s="12">
        <f>+J722-K722</f>
        <v>0.05</v>
      </c>
      <c r="M722" s="23">
        <f>+L722/SUMIF(C:C,C722,L:L)</f>
        <v>5.2631578947368439E-2</v>
      </c>
      <c r="N722" s="13"/>
    </row>
    <row r="723" spans="1:17" x14ac:dyDescent="0.25">
      <c r="A723" s="20">
        <v>44523</v>
      </c>
      <c r="B723" s="1">
        <f>B722</f>
        <v>61</v>
      </c>
      <c r="C723" s="1" t="s">
        <v>306</v>
      </c>
      <c r="D723" s="1" t="s">
        <v>307</v>
      </c>
      <c r="E723" s="26">
        <f>+E722</f>
        <v>1.0000000000000002</v>
      </c>
      <c r="F723" s="28">
        <f>+(F722-E722)/E722</f>
        <v>-5.0000000000000475E-2</v>
      </c>
      <c r="G723" s="17">
        <v>2</v>
      </c>
      <c r="H723" s="17" t="s">
        <v>9</v>
      </c>
      <c r="I723" s="30" t="s">
        <v>57</v>
      </c>
      <c r="J723" s="22">
        <v>0.6</v>
      </c>
      <c r="K723" s="22">
        <v>0.55000000000000004</v>
      </c>
      <c r="L723" s="8">
        <f t="shared" ref="L723:L733" si="646">+J723-K723</f>
        <v>4.9999999999999933E-2</v>
      </c>
      <c r="M723" s="24">
        <f t="shared" ref="M723" si="647">+L723/SUMIF(C:C,C723,L:L)</f>
        <v>5.2631578947368363E-2</v>
      </c>
      <c r="N723" s="14"/>
    </row>
    <row r="724" spans="1:17" x14ac:dyDescent="0.25">
      <c r="A724" s="20">
        <v>44523</v>
      </c>
      <c r="B724" s="1">
        <f>B722</f>
        <v>61</v>
      </c>
      <c r="C724" s="1" t="s">
        <v>306</v>
      </c>
      <c r="D724" s="1" t="s">
        <v>307</v>
      </c>
      <c r="E724" s="26" t="e">
        <f>+#REF!</f>
        <v>#REF!</v>
      </c>
      <c r="F724" s="26" t="e">
        <f>+#REF!</f>
        <v>#REF!</v>
      </c>
      <c r="G724" s="17">
        <v>3</v>
      </c>
      <c r="H724" s="17" t="s">
        <v>9</v>
      </c>
      <c r="I724" s="30" t="s">
        <v>58</v>
      </c>
      <c r="J724" s="22">
        <v>0.65</v>
      </c>
      <c r="K724" s="22">
        <v>0.55000000000000004</v>
      </c>
      <c r="L724" s="8">
        <f t="shared" si="646"/>
        <v>9.9999999999999978E-2</v>
      </c>
      <c r="M724" s="24">
        <f>+L724/SUMIF(C:C,C724,L:L)</f>
        <v>0.10526315789473685</v>
      </c>
      <c r="N724" s="14"/>
    </row>
    <row r="725" spans="1:17" x14ac:dyDescent="0.25">
      <c r="A725" s="20">
        <v>44523</v>
      </c>
      <c r="B725" s="1">
        <f>B722</f>
        <v>61</v>
      </c>
      <c r="C725" s="1" t="s">
        <v>306</v>
      </c>
      <c r="D725" s="1" t="s">
        <v>307</v>
      </c>
      <c r="E725" s="26" t="e">
        <f t="shared" ref="E725:F725" si="648">+E724</f>
        <v>#REF!</v>
      </c>
      <c r="F725" s="26" t="e">
        <f t="shared" si="648"/>
        <v>#REF!</v>
      </c>
      <c r="G725" s="17">
        <v>4</v>
      </c>
      <c r="H725" s="17" t="s">
        <v>9</v>
      </c>
      <c r="I725" s="30" t="s">
        <v>22</v>
      </c>
      <c r="J725" s="22"/>
      <c r="K725" s="22"/>
      <c r="L725" s="8">
        <f t="shared" si="646"/>
        <v>0</v>
      </c>
      <c r="M725" s="24">
        <f t="shared" ref="M725:M732" si="649">+L725/SUMIF(C:C,C725,L:L)</f>
        <v>0</v>
      </c>
      <c r="N725" s="14"/>
    </row>
    <row r="726" spans="1:17" x14ac:dyDescent="0.25">
      <c r="A726" s="20">
        <v>44523</v>
      </c>
      <c r="B726" s="1">
        <f>B722</f>
        <v>61</v>
      </c>
      <c r="C726" s="1" t="s">
        <v>306</v>
      </c>
      <c r="D726" s="1" t="s">
        <v>307</v>
      </c>
      <c r="E726" s="26" t="e">
        <f t="shared" ref="E726:F726" si="650">+E725</f>
        <v>#REF!</v>
      </c>
      <c r="F726" s="26" t="e">
        <f t="shared" si="650"/>
        <v>#REF!</v>
      </c>
      <c r="G726" s="17">
        <v>5</v>
      </c>
      <c r="H726" s="17" t="s">
        <v>9</v>
      </c>
      <c r="I726" s="30" t="s">
        <v>34</v>
      </c>
      <c r="J726" s="22"/>
      <c r="K726" s="22"/>
      <c r="L726" s="8">
        <f t="shared" si="646"/>
        <v>0</v>
      </c>
      <c r="M726" s="24">
        <f t="shared" si="649"/>
        <v>0</v>
      </c>
      <c r="N726" s="14"/>
    </row>
    <row r="727" spans="1:17" x14ac:dyDescent="0.25">
      <c r="A727" s="20">
        <v>44523</v>
      </c>
      <c r="B727" s="1">
        <f>B722</f>
        <v>61</v>
      </c>
      <c r="C727" s="1" t="s">
        <v>306</v>
      </c>
      <c r="D727" s="1" t="s">
        <v>307</v>
      </c>
      <c r="E727" s="26" t="e">
        <f t="shared" ref="E727:F727" si="651">+E726</f>
        <v>#REF!</v>
      </c>
      <c r="F727" s="26" t="e">
        <f t="shared" si="651"/>
        <v>#REF!</v>
      </c>
      <c r="G727" s="17">
        <v>6</v>
      </c>
      <c r="H727" s="17" t="s">
        <v>9</v>
      </c>
      <c r="I727" s="30" t="s">
        <v>35</v>
      </c>
      <c r="J727" s="22"/>
      <c r="K727" s="22"/>
      <c r="L727" s="8">
        <f t="shared" si="646"/>
        <v>0</v>
      </c>
      <c r="M727" s="24">
        <f t="shared" si="649"/>
        <v>0</v>
      </c>
      <c r="N727" s="14"/>
    </row>
    <row r="728" spans="1:17" x14ac:dyDescent="0.25">
      <c r="A728" s="20">
        <v>44523</v>
      </c>
      <c r="B728" s="1">
        <f>B722</f>
        <v>61</v>
      </c>
      <c r="C728" s="1" t="s">
        <v>306</v>
      </c>
      <c r="D728" s="1" t="s">
        <v>307</v>
      </c>
      <c r="E728" s="26" t="e">
        <f t="shared" ref="E728:F728" si="652">+E727</f>
        <v>#REF!</v>
      </c>
      <c r="F728" s="26" t="e">
        <f t="shared" si="652"/>
        <v>#REF!</v>
      </c>
      <c r="G728" s="17">
        <v>7</v>
      </c>
      <c r="H728" s="17" t="s">
        <v>9</v>
      </c>
      <c r="I728" s="30" t="s">
        <v>36</v>
      </c>
      <c r="J728" s="22"/>
      <c r="K728" s="22"/>
      <c r="L728" s="8">
        <f t="shared" si="646"/>
        <v>0</v>
      </c>
      <c r="M728" s="24">
        <f t="shared" si="649"/>
        <v>0</v>
      </c>
      <c r="N728" s="14"/>
    </row>
    <row r="729" spans="1:17" x14ac:dyDescent="0.25">
      <c r="A729" s="20">
        <v>44523</v>
      </c>
      <c r="B729" s="1">
        <f>B722</f>
        <v>61</v>
      </c>
      <c r="C729" s="1" t="s">
        <v>306</v>
      </c>
      <c r="D729" s="1" t="s">
        <v>307</v>
      </c>
      <c r="E729" s="26" t="e">
        <f>+E728</f>
        <v>#REF!</v>
      </c>
      <c r="F729" s="26" t="e">
        <f>+F728</f>
        <v>#REF!</v>
      </c>
      <c r="G729" s="17">
        <v>8</v>
      </c>
      <c r="H729" s="17" t="s">
        <v>9</v>
      </c>
      <c r="I729" s="30" t="s">
        <v>59</v>
      </c>
      <c r="J729" s="22"/>
      <c r="K729" s="22"/>
      <c r="L729" s="8">
        <f t="shared" si="646"/>
        <v>0</v>
      </c>
      <c r="M729" s="24">
        <f t="shared" si="649"/>
        <v>0</v>
      </c>
      <c r="N729" s="14"/>
    </row>
    <row r="730" spans="1:17" x14ac:dyDescent="0.25">
      <c r="A730" s="20">
        <v>44523</v>
      </c>
      <c r="B730" s="1">
        <f>B722</f>
        <v>61</v>
      </c>
      <c r="C730" s="1" t="s">
        <v>306</v>
      </c>
      <c r="D730" s="1" t="s">
        <v>307</v>
      </c>
      <c r="E730" s="26" t="e">
        <f t="shared" ref="E730:F730" si="653">+E729</f>
        <v>#REF!</v>
      </c>
      <c r="F730" s="26" t="e">
        <f t="shared" si="653"/>
        <v>#REF!</v>
      </c>
      <c r="G730" s="17">
        <v>9</v>
      </c>
      <c r="H730" s="17" t="s">
        <v>9</v>
      </c>
      <c r="I730" s="30" t="s">
        <v>38</v>
      </c>
      <c r="J730" s="22"/>
      <c r="K730" s="22"/>
      <c r="L730" s="8">
        <f t="shared" si="646"/>
        <v>0</v>
      </c>
      <c r="M730" s="24">
        <f t="shared" si="649"/>
        <v>0</v>
      </c>
      <c r="N730" s="14"/>
    </row>
    <row r="731" spans="1:17" x14ac:dyDescent="0.25">
      <c r="A731" s="20">
        <v>44523</v>
      </c>
      <c r="B731" s="1">
        <f>B722</f>
        <v>61</v>
      </c>
      <c r="C731" s="1" t="s">
        <v>306</v>
      </c>
      <c r="D731" s="1" t="s">
        <v>307</v>
      </c>
      <c r="E731" s="26" t="e">
        <f t="shared" ref="E731:F731" si="654">+E730</f>
        <v>#REF!</v>
      </c>
      <c r="F731" s="26" t="e">
        <f t="shared" si="654"/>
        <v>#REF!</v>
      </c>
      <c r="G731" s="17">
        <v>10</v>
      </c>
      <c r="H731" s="17" t="s">
        <v>9</v>
      </c>
      <c r="I731" s="30" t="s">
        <v>23</v>
      </c>
      <c r="J731" s="22">
        <v>0.65</v>
      </c>
      <c r="K731" s="22">
        <v>0.5</v>
      </c>
      <c r="L731" s="8">
        <f t="shared" si="646"/>
        <v>0.15000000000000002</v>
      </c>
      <c r="M731" s="24">
        <f t="shared" si="649"/>
        <v>0.15789473684210534</v>
      </c>
      <c r="N731" s="14"/>
    </row>
    <row r="732" spans="1:17" x14ac:dyDescent="0.25">
      <c r="A732" s="20">
        <v>44523</v>
      </c>
      <c r="B732" s="1">
        <f>B722</f>
        <v>61</v>
      </c>
      <c r="C732" s="1" t="s">
        <v>306</v>
      </c>
      <c r="D732" s="1" t="s">
        <v>307</v>
      </c>
      <c r="E732" s="26" t="e">
        <f t="shared" ref="E732:F732" si="655">+E731</f>
        <v>#REF!</v>
      </c>
      <c r="F732" s="26" t="e">
        <f t="shared" si="655"/>
        <v>#REF!</v>
      </c>
      <c r="G732" s="17">
        <v>11</v>
      </c>
      <c r="H732" s="17" t="s">
        <v>9</v>
      </c>
      <c r="I732" s="30" t="s">
        <v>60</v>
      </c>
      <c r="J732" s="22">
        <v>0.6</v>
      </c>
      <c r="K732" s="22">
        <v>0.55000000000000004</v>
      </c>
      <c r="L732" s="8">
        <f t="shared" si="646"/>
        <v>4.9999999999999933E-2</v>
      </c>
      <c r="M732" s="24">
        <f t="shared" si="649"/>
        <v>5.2631578947368363E-2</v>
      </c>
      <c r="N732" s="14"/>
    </row>
    <row r="733" spans="1:17" s="2" customFormat="1" ht="15.75" thickBot="1" x14ac:dyDescent="0.3">
      <c r="A733" s="60">
        <v>44523</v>
      </c>
      <c r="B733" s="57">
        <f>B722</f>
        <v>61</v>
      </c>
      <c r="C733" s="57" t="s">
        <v>306</v>
      </c>
      <c r="D733" s="57" t="s">
        <v>307</v>
      </c>
      <c r="E733" s="61" t="e">
        <f t="shared" ref="E733:F733" si="656">+E732</f>
        <v>#REF!</v>
      </c>
      <c r="F733" s="61" t="e">
        <f t="shared" si="656"/>
        <v>#REF!</v>
      </c>
      <c r="G733" s="62">
        <f>+G732+1</f>
        <v>12</v>
      </c>
      <c r="H733" s="62" t="s">
        <v>10</v>
      </c>
      <c r="I733" s="46" t="s">
        <v>10</v>
      </c>
      <c r="J733" s="63">
        <v>1.65</v>
      </c>
      <c r="K733" s="63">
        <v>1.1000000000000001</v>
      </c>
      <c r="L733" s="64">
        <f t="shared" si="646"/>
        <v>0.54999999999999982</v>
      </c>
      <c r="M733" s="65">
        <f>+L733/SUMIF(C:C,C733,L:L)</f>
        <v>0.57894736842105265</v>
      </c>
      <c r="N733" s="66"/>
      <c r="Q733" s="5"/>
    </row>
    <row r="734" spans="1:17" x14ac:dyDescent="0.25">
      <c r="A734" s="19">
        <v>44523</v>
      </c>
      <c r="B734" s="15">
        <f>B722+1</f>
        <v>62</v>
      </c>
      <c r="C734" s="15" t="s">
        <v>308</v>
      </c>
      <c r="D734" s="15" t="s">
        <v>309</v>
      </c>
      <c r="E734" s="25">
        <f>12-1.2</f>
        <v>10.8</v>
      </c>
      <c r="F734" s="25">
        <f>+SUM(L734:L745)</f>
        <v>10.549999999999997</v>
      </c>
      <c r="G734" s="16">
        <v>1</v>
      </c>
      <c r="H734" s="16" t="s">
        <v>9</v>
      </c>
      <c r="I734" s="59" t="s">
        <v>56</v>
      </c>
      <c r="J734" s="21"/>
      <c r="K734" s="21"/>
      <c r="L734" s="12">
        <f>+J734-K734</f>
        <v>0</v>
      </c>
      <c r="M734" s="23">
        <f>+L734/SUMIF(C:C,C734,L:L)</f>
        <v>0</v>
      </c>
      <c r="N734" s="13"/>
    </row>
    <row r="735" spans="1:17" x14ac:dyDescent="0.25">
      <c r="A735" s="20">
        <v>44523</v>
      </c>
      <c r="B735" s="1">
        <f>B734</f>
        <v>62</v>
      </c>
      <c r="C735" s="1" t="s">
        <v>308</v>
      </c>
      <c r="D735" s="1" t="s">
        <v>309</v>
      </c>
      <c r="E735" s="26">
        <f>+E734</f>
        <v>10.8</v>
      </c>
      <c r="F735" s="28">
        <f>+(F734-E734)/E734</f>
        <v>-2.3148148148148476E-2</v>
      </c>
      <c r="G735" s="17">
        <v>2</v>
      </c>
      <c r="H735" s="17" t="s">
        <v>9</v>
      </c>
      <c r="I735" s="30" t="s">
        <v>57</v>
      </c>
      <c r="J735" s="22"/>
      <c r="K735" s="22"/>
      <c r="L735" s="8">
        <f t="shared" ref="L735:L745" si="657">+J735-K735</f>
        <v>0</v>
      </c>
      <c r="M735" s="24">
        <f t="shared" ref="M735" si="658">+L735/SUMIF(C:C,C735,L:L)</f>
        <v>0</v>
      </c>
      <c r="N735" s="14"/>
    </row>
    <row r="736" spans="1:17" x14ac:dyDescent="0.25">
      <c r="A736" s="20">
        <v>44523</v>
      </c>
      <c r="B736" s="1">
        <f>B734</f>
        <v>62</v>
      </c>
      <c r="C736" s="1" t="s">
        <v>308</v>
      </c>
      <c r="D736" s="1" t="s">
        <v>309</v>
      </c>
      <c r="E736" s="26" t="e">
        <f>+#REF!</f>
        <v>#REF!</v>
      </c>
      <c r="F736" s="26" t="e">
        <f>+#REF!</f>
        <v>#REF!</v>
      </c>
      <c r="G736" s="17">
        <v>3</v>
      </c>
      <c r="H736" s="17" t="s">
        <v>9</v>
      </c>
      <c r="I736" s="30" t="s">
        <v>58</v>
      </c>
      <c r="J736" s="22"/>
      <c r="K736" s="22"/>
      <c r="L736" s="8">
        <f t="shared" si="657"/>
        <v>0</v>
      </c>
      <c r="M736" s="24">
        <f>+L736/SUMIF(C:C,C736,L:L)</f>
        <v>0</v>
      </c>
      <c r="N736" s="14"/>
    </row>
    <row r="737" spans="1:17" x14ac:dyDescent="0.25">
      <c r="A737" s="20">
        <v>44523</v>
      </c>
      <c r="B737" s="1">
        <f>B734</f>
        <v>62</v>
      </c>
      <c r="C737" s="1" t="s">
        <v>308</v>
      </c>
      <c r="D737" s="1" t="s">
        <v>309</v>
      </c>
      <c r="E737" s="26" t="e">
        <f t="shared" ref="E737:F737" si="659">+E736</f>
        <v>#REF!</v>
      </c>
      <c r="F737" s="26" t="e">
        <f t="shared" si="659"/>
        <v>#REF!</v>
      </c>
      <c r="G737" s="17">
        <v>4</v>
      </c>
      <c r="H737" s="17" t="s">
        <v>9</v>
      </c>
      <c r="I737" s="30" t="s">
        <v>22</v>
      </c>
      <c r="J737" s="22"/>
      <c r="K737" s="22"/>
      <c r="L737" s="8">
        <f t="shared" si="657"/>
        <v>0</v>
      </c>
      <c r="M737" s="24">
        <f t="shared" ref="M737:M744" si="660">+L737/SUMIF(C:C,C737,L:L)</f>
        <v>0</v>
      </c>
      <c r="N737" s="14"/>
    </row>
    <row r="738" spans="1:17" x14ac:dyDescent="0.25">
      <c r="A738" s="20">
        <v>44523</v>
      </c>
      <c r="B738" s="1">
        <f>B734</f>
        <v>62</v>
      </c>
      <c r="C738" s="1" t="s">
        <v>308</v>
      </c>
      <c r="D738" s="1" t="s">
        <v>309</v>
      </c>
      <c r="E738" s="26" t="e">
        <f t="shared" ref="E738:F738" si="661">+E737</f>
        <v>#REF!</v>
      </c>
      <c r="F738" s="26" t="e">
        <f t="shared" si="661"/>
        <v>#REF!</v>
      </c>
      <c r="G738" s="17">
        <v>5</v>
      </c>
      <c r="H738" s="17" t="s">
        <v>9</v>
      </c>
      <c r="I738" s="30" t="s">
        <v>34</v>
      </c>
      <c r="J738" s="22"/>
      <c r="K738" s="22"/>
      <c r="L738" s="8">
        <f t="shared" si="657"/>
        <v>0</v>
      </c>
      <c r="M738" s="24">
        <f t="shared" si="660"/>
        <v>0</v>
      </c>
      <c r="N738" s="14"/>
    </row>
    <row r="739" spans="1:17" x14ac:dyDescent="0.25">
      <c r="A739" s="20">
        <v>44523</v>
      </c>
      <c r="B739" s="1">
        <f>B734</f>
        <v>62</v>
      </c>
      <c r="C739" s="1" t="s">
        <v>308</v>
      </c>
      <c r="D739" s="1" t="s">
        <v>309</v>
      </c>
      <c r="E739" s="26" t="e">
        <f t="shared" ref="E739:F739" si="662">+E738</f>
        <v>#REF!</v>
      </c>
      <c r="F739" s="26" t="e">
        <f t="shared" si="662"/>
        <v>#REF!</v>
      </c>
      <c r="G739" s="17">
        <v>6</v>
      </c>
      <c r="H739" s="17" t="s">
        <v>9</v>
      </c>
      <c r="I739" s="30" t="s">
        <v>35</v>
      </c>
      <c r="J739" s="22"/>
      <c r="K739" s="22"/>
      <c r="L739" s="8">
        <f t="shared" si="657"/>
        <v>0</v>
      </c>
      <c r="M739" s="24">
        <f t="shared" si="660"/>
        <v>0</v>
      </c>
      <c r="N739" s="14"/>
    </row>
    <row r="740" spans="1:17" x14ac:dyDescent="0.25">
      <c r="A740" s="20">
        <v>44523</v>
      </c>
      <c r="B740" s="1">
        <f>B734</f>
        <v>62</v>
      </c>
      <c r="C740" s="1" t="s">
        <v>308</v>
      </c>
      <c r="D740" s="1" t="s">
        <v>309</v>
      </c>
      <c r="E740" s="26" t="e">
        <f t="shared" ref="E740:F740" si="663">+E739</f>
        <v>#REF!</v>
      </c>
      <c r="F740" s="26" t="e">
        <f t="shared" si="663"/>
        <v>#REF!</v>
      </c>
      <c r="G740" s="17">
        <v>7</v>
      </c>
      <c r="H740" s="17" t="s">
        <v>9</v>
      </c>
      <c r="I740" s="30" t="s">
        <v>36</v>
      </c>
      <c r="J740" s="22"/>
      <c r="K740" s="22"/>
      <c r="L740" s="8">
        <f t="shared" si="657"/>
        <v>0</v>
      </c>
      <c r="M740" s="24">
        <f t="shared" si="660"/>
        <v>0</v>
      </c>
      <c r="N740" s="14"/>
    </row>
    <row r="741" spans="1:17" x14ac:dyDescent="0.25">
      <c r="A741" s="20">
        <v>44523</v>
      </c>
      <c r="B741" s="1">
        <f>B734</f>
        <v>62</v>
      </c>
      <c r="C741" s="1" t="s">
        <v>308</v>
      </c>
      <c r="D741" s="1" t="s">
        <v>309</v>
      </c>
      <c r="E741" s="26" t="e">
        <f>+E740</f>
        <v>#REF!</v>
      </c>
      <c r="F741" s="26" t="e">
        <f>+F740</f>
        <v>#REF!</v>
      </c>
      <c r="G741" s="17">
        <v>8</v>
      </c>
      <c r="H741" s="17" t="s">
        <v>9</v>
      </c>
      <c r="I741" s="30" t="s">
        <v>59</v>
      </c>
      <c r="J741" s="22">
        <v>9</v>
      </c>
      <c r="K741" s="22">
        <v>8.3000000000000007</v>
      </c>
      <c r="L741" s="8">
        <f t="shared" si="657"/>
        <v>0.69999999999999929</v>
      </c>
      <c r="M741" s="24">
        <f t="shared" si="660"/>
        <v>6.6350710900473883E-2</v>
      </c>
      <c r="N741" s="14"/>
    </row>
    <row r="742" spans="1:17" x14ac:dyDescent="0.25">
      <c r="A742" s="20">
        <v>44523</v>
      </c>
      <c r="B742" s="1">
        <f>B734</f>
        <v>62</v>
      </c>
      <c r="C742" s="1" t="s">
        <v>308</v>
      </c>
      <c r="D742" s="1" t="s">
        <v>309</v>
      </c>
      <c r="E742" s="26" t="e">
        <f t="shared" ref="E742:F742" si="664">+E741</f>
        <v>#REF!</v>
      </c>
      <c r="F742" s="26" t="e">
        <f t="shared" si="664"/>
        <v>#REF!</v>
      </c>
      <c r="G742" s="17">
        <v>9</v>
      </c>
      <c r="H742" s="17" t="s">
        <v>9</v>
      </c>
      <c r="I742" s="30" t="s">
        <v>38</v>
      </c>
      <c r="J742" s="22"/>
      <c r="K742" s="22"/>
      <c r="L742" s="8">
        <f t="shared" si="657"/>
        <v>0</v>
      </c>
      <c r="M742" s="24">
        <f t="shared" si="660"/>
        <v>0</v>
      </c>
      <c r="N742" s="14"/>
    </row>
    <row r="743" spans="1:17" x14ac:dyDescent="0.25">
      <c r="A743" s="20">
        <v>44523</v>
      </c>
      <c r="B743" s="1">
        <f>B734</f>
        <v>62</v>
      </c>
      <c r="C743" s="1" t="s">
        <v>308</v>
      </c>
      <c r="D743" s="1" t="s">
        <v>309</v>
      </c>
      <c r="E743" s="26" t="e">
        <f t="shared" ref="E743:F743" si="665">+E742</f>
        <v>#REF!</v>
      </c>
      <c r="F743" s="26" t="e">
        <f t="shared" si="665"/>
        <v>#REF!</v>
      </c>
      <c r="G743" s="17">
        <v>10</v>
      </c>
      <c r="H743" s="17" t="s">
        <v>9</v>
      </c>
      <c r="I743" s="30" t="s">
        <v>23</v>
      </c>
      <c r="J743" s="22">
        <f>12.45+13</f>
        <v>25.45</v>
      </c>
      <c r="K743" s="22">
        <f>8.3+8.3</f>
        <v>16.600000000000001</v>
      </c>
      <c r="L743" s="8">
        <f t="shared" si="657"/>
        <v>8.8499999999999979</v>
      </c>
      <c r="M743" s="24">
        <f t="shared" si="660"/>
        <v>0.83886255924170616</v>
      </c>
      <c r="N743" s="14"/>
    </row>
    <row r="744" spans="1:17" x14ac:dyDescent="0.25">
      <c r="A744" s="20">
        <v>44523</v>
      </c>
      <c r="B744" s="1">
        <f>B734</f>
        <v>62</v>
      </c>
      <c r="C744" s="1" t="s">
        <v>308</v>
      </c>
      <c r="D744" s="1" t="s">
        <v>309</v>
      </c>
      <c r="E744" s="26" t="e">
        <f t="shared" ref="E744:F744" si="666">+E743</f>
        <v>#REF!</v>
      </c>
      <c r="F744" s="26" t="e">
        <f t="shared" si="666"/>
        <v>#REF!</v>
      </c>
      <c r="G744" s="17">
        <v>11</v>
      </c>
      <c r="H744" s="17" t="s">
        <v>9</v>
      </c>
      <c r="I744" s="30" t="s">
        <v>60</v>
      </c>
      <c r="J744" s="22"/>
      <c r="K744" s="22"/>
      <c r="L744" s="8">
        <f t="shared" si="657"/>
        <v>0</v>
      </c>
      <c r="M744" s="24">
        <f t="shared" si="660"/>
        <v>0</v>
      </c>
      <c r="N744" s="14"/>
    </row>
    <row r="745" spans="1:17" s="2" customFormat="1" ht="15.75" thickBot="1" x14ac:dyDescent="0.3">
      <c r="A745" s="60">
        <v>44523</v>
      </c>
      <c r="B745" s="57">
        <f>B734</f>
        <v>62</v>
      </c>
      <c r="C745" s="57" t="s">
        <v>308</v>
      </c>
      <c r="D745" s="57" t="s">
        <v>309</v>
      </c>
      <c r="E745" s="61" t="e">
        <f t="shared" ref="E745:F745" si="667">+E744</f>
        <v>#REF!</v>
      </c>
      <c r="F745" s="61" t="e">
        <f t="shared" si="667"/>
        <v>#REF!</v>
      </c>
      <c r="G745" s="62">
        <f>+G744+1</f>
        <v>12</v>
      </c>
      <c r="H745" s="62" t="s">
        <v>10</v>
      </c>
      <c r="I745" s="46" t="s">
        <v>10</v>
      </c>
      <c r="J745" s="63">
        <f>9.55</f>
        <v>9.5500000000000007</v>
      </c>
      <c r="K745" s="63">
        <f>8.55</f>
        <v>8.5500000000000007</v>
      </c>
      <c r="L745" s="64">
        <f t="shared" si="657"/>
        <v>1</v>
      </c>
      <c r="M745" s="65">
        <f>+L745/SUMIF(C:C,C745,L:L)</f>
        <v>9.4786729857819926E-2</v>
      </c>
      <c r="N745" s="66"/>
      <c r="Q745" s="5"/>
    </row>
    <row r="746" spans="1:17" x14ac:dyDescent="0.25">
      <c r="A746" s="19">
        <v>44537</v>
      </c>
      <c r="B746" s="15">
        <f t="shared" ref="B746" si="668">B734+1</f>
        <v>63</v>
      </c>
      <c r="C746" s="15" t="s">
        <v>341</v>
      </c>
      <c r="D746" s="15" t="s">
        <v>342</v>
      </c>
      <c r="E746" s="25">
        <f>86.4-37.8</f>
        <v>48.600000000000009</v>
      </c>
      <c r="F746" s="25">
        <f>+SUM(L746:L757)</f>
        <v>49.099999999999994</v>
      </c>
      <c r="G746" s="16">
        <v>1</v>
      </c>
      <c r="H746" s="16" t="s">
        <v>9</v>
      </c>
      <c r="I746" s="59" t="s">
        <v>56</v>
      </c>
      <c r="J746" s="21">
        <v>11.8</v>
      </c>
      <c r="K746" s="21">
        <v>8.6</v>
      </c>
      <c r="L746" s="12">
        <f>+J746-K746</f>
        <v>3.2000000000000011</v>
      </c>
      <c r="M746" s="23">
        <f t="shared" ref="M746:M781" si="669">+L746/SUMIF(C:C,C746,L:L)</f>
        <v>6.517311608961307E-2</v>
      </c>
      <c r="N746" s="13"/>
    </row>
    <row r="747" spans="1:17" x14ac:dyDescent="0.25">
      <c r="A747" s="20">
        <v>44537</v>
      </c>
      <c r="B747" s="1">
        <f t="shared" ref="B747" si="670">B746</f>
        <v>63</v>
      </c>
      <c r="C747" s="1" t="s">
        <v>341</v>
      </c>
      <c r="D747" s="1" t="s">
        <v>342</v>
      </c>
      <c r="E747" s="26">
        <f>+E746</f>
        <v>48.600000000000009</v>
      </c>
      <c r="F747" s="28">
        <f>+(F746-E746)/E746</f>
        <v>1.0288065843621104E-2</v>
      </c>
      <c r="G747" s="17">
        <v>2</v>
      </c>
      <c r="H747" s="17" t="s">
        <v>9</v>
      </c>
      <c r="I747" s="30" t="s">
        <v>57</v>
      </c>
      <c r="J747" s="22">
        <v>16.3</v>
      </c>
      <c r="K747" s="22">
        <f>8.55+0.55</f>
        <v>9.1000000000000014</v>
      </c>
      <c r="L747" s="8">
        <f t="shared" ref="L747:L757" si="671">+J747-K747</f>
        <v>7.1999999999999993</v>
      </c>
      <c r="M747" s="24">
        <f t="shared" si="669"/>
        <v>0.14663951120162932</v>
      </c>
      <c r="N747" s="14"/>
    </row>
    <row r="748" spans="1:17" x14ac:dyDescent="0.25">
      <c r="A748" s="20">
        <v>44537</v>
      </c>
      <c r="B748" s="1">
        <f t="shared" ref="B748" si="672">B746</f>
        <v>63</v>
      </c>
      <c r="C748" s="1" t="s">
        <v>341</v>
      </c>
      <c r="D748" s="1" t="s">
        <v>342</v>
      </c>
      <c r="E748" s="26" t="e">
        <f>+#REF!</f>
        <v>#REF!</v>
      </c>
      <c r="F748" s="26" t="e">
        <f>+#REF!</f>
        <v>#REF!</v>
      </c>
      <c r="G748" s="17">
        <v>3</v>
      </c>
      <c r="H748" s="17" t="s">
        <v>9</v>
      </c>
      <c r="I748" s="30" t="s">
        <v>58</v>
      </c>
      <c r="J748" s="22">
        <v>17.2</v>
      </c>
      <c r="K748" s="22">
        <f>8.3+0.5</f>
        <v>8.8000000000000007</v>
      </c>
      <c r="L748" s="8">
        <f t="shared" si="671"/>
        <v>8.3999999999999986</v>
      </c>
      <c r="M748" s="24">
        <f t="shared" si="669"/>
        <v>0.17107942973523421</v>
      </c>
      <c r="N748" s="14"/>
    </row>
    <row r="749" spans="1:17" x14ac:dyDescent="0.25">
      <c r="A749" s="20">
        <v>44537</v>
      </c>
      <c r="B749" s="1">
        <f t="shared" ref="B749" si="673">B746</f>
        <v>63</v>
      </c>
      <c r="C749" s="1" t="s">
        <v>341</v>
      </c>
      <c r="D749" s="1" t="s">
        <v>342</v>
      </c>
      <c r="E749" s="26" t="e">
        <f t="shared" ref="E749:F749" si="674">+E748</f>
        <v>#REF!</v>
      </c>
      <c r="F749" s="26" t="e">
        <f t="shared" si="674"/>
        <v>#REF!</v>
      </c>
      <c r="G749" s="17">
        <v>4</v>
      </c>
      <c r="H749" s="17" t="s">
        <v>9</v>
      </c>
      <c r="I749" s="30" t="s">
        <v>22</v>
      </c>
      <c r="J749" s="22">
        <f>1.2</f>
        <v>1.2</v>
      </c>
      <c r="K749" s="22">
        <f>0.55</f>
        <v>0.55000000000000004</v>
      </c>
      <c r="L749" s="8">
        <f t="shared" si="671"/>
        <v>0.64999999999999991</v>
      </c>
      <c r="M749" s="24">
        <f t="shared" si="669"/>
        <v>1.3238289205702648E-2</v>
      </c>
      <c r="N749" s="14"/>
    </row>
    <row r="750" spans="1:17" x14ac:dyDescent="0.25">
      <c r="A750" s="20">
        <v>44537</v>
      </c>
      <c r="B750" s="1">
        <f t="shared" ref="B750" si="675">B746</f>
        <v>63</v>
      </c>
      <c r="C750" s="1" t="s">
        <v>341</v>
      </c>
      <c r="D750" s="1" t="s">
        <v>342</v>
      </c>
      <c r="E750" s="26" t="e">
        <f t="shared" ref="E750:F750" si="676">+E749</f>
        <v>#REF!</v>
      </c>
      <c r="F750" s="26" t="e">
        <f t="shared" si="676"/>
        <v>#REF!</v>
      </c>
      <c r="G750" s="17">
        <v>5</v>
      </c>
      <c r="H750" s="17" t="s">
        <v>9</v>
      </c>
      <c r="I750" s="30" t="s">
        <v>34</v>
      </c>
      <c r="J750" s="22">
        <v>0.85</v>
      </c>
      <c r="K750" s="22">
        <v>0.55000000000000004</v>
      </c>
      <c r="L750" s="8">
        <f t="shared" si="671"/>
        <v>0.29999999999999993</v>
      </c>
      <c r="M750" s="24">
        <f t="shared" si="669"/>
        <v>6.109979633401221E-3</v>
      </c>
      <c r="N750" s="14"/>
    </row>
    <row r="751" spans="1:17" x14ac:dyDescent="0.25">
      <c r="A751" s="20">
        <v>44537</v>
      </c>
      <c r="B751" s="1">
        <f t="shared" ref="B751" si="677">B746</f>
        <v>63</v>
      </c>
      <c r="C751" s="1" t="s">
        <v>341</v>
      </c>
      <c r="D751" s="1" t="s">
        <v>342</v>
      </c>
      <c r="E751" s="26" t="e">
        <f t="shared" ref="E751:F751" si="678">+E750</f>
        <v>#REF!</v>
      </c>
      <c r="F751" s="26" t="e">
        <f t="shared" si="678"/>
        <v>#REF!</v>
      </c>
      <c r="G751" s="17">
        <v>6</v>
      </c>
      <c r="H751" s="17" t="s">
        <v>9</v>
      </c>
      <c r="I751" s="30" t="s">
        <v>35</v>
      </c>
      <c r="J751" s="22">
        <v>0.55000000000000004</v>
      </c>
      <c r="K751" s="22">
        <v>0.5</v>
      </c>
      <c r="L751" s="8">
        <f t="shared" si="671"/>
        <v>5.0000000000000044E-2</v>
      </c>
      <c r="M751" s="24">
        <f t="shared" si="669"/>
        <v>1.0183299389002047E-3</v>
      </c>
      <c r="N751" s="14"/>
    </row>
    <row r="752" spans="1:17" x14ac:dyDescent="0.25">
      <c r="A752" s="20">
        <v>44537</v>
      </c>
      <c r="B752" s="1">
        <f t="shared" ref="B752" si="679">B746</f>
        <v>63</v>
      </c>
      <c r="C752" s="1" t="s">
        <v>341</v>
      </c>
      <c r="D752" s="1" t="s">
        <v>342</v>
      </c>
      <c r="E752" s="26" t="e">
        <f t="shared" ref="E752:F752" si="680">+E751</f>
        <v>#REF!</v>
      </c>
      <c r="F752" s="26" t="e">
        <f t="shared" si="680"/>
        <v>#REF!</v>
      </c>
      <c r="G752" s="17">
        <v>7</v>
      </c>
      <c r="H752" s="17" t="s">
        <v>9</v>
      </c>
      <c r="I752" s="30" t="s">
        <v>36</v>
      </c>
      <c r="J752" s="22">
        <v>6.65</v>
      </c>
      <c r="K752" s="22">
        <v>6.05</v>
      </c>
      <c r="L752" s="8">
        <f t="shared" si="671"/>
        <v>0.60000000000000053</v>
      </c>
      <c r="M752" s="24">
        <f t="shared" si="669"/>
        <v>1.2219959266802456E-2</v>
      </c>
      <c r="N752" s="14"/>
    </row>
    <row r="753" spans="1:14" x14ac:dyDescent="0.25">
      <c r="A753" s="20">
        <v>44537</v>
      </c>
      <c r="B753" s="1">
        <f t="shared" ref="B753" si="681">B746</f>
        <v>63</v>
      </c>
      <c r="C753" s="1" t="s">
        <v>341</v>
      </c>
      <c r="D753" s="1" t="s">
        <v>342</v>
      </c>
      <c r="E753" s="26" t="e">
        <f>+E752</f>
        <v>#REF!</v>
      </c>
      <c r="F753" s="26" t="e">
        <f>+F752</f>
        <v>#REF!</v>
      </c>
      <c r="G753" s="17">
        <v>8</v>
      </c>
      <c r="H753" s="17" t="s">
        <v>9</v>
      </c>
      <c r="I753" s="30" t="s">
        <v>59</v>
      </c>
      <c r="J753" s="22">
        <f>12.95+15.3</f>
        <v>28.25</v>
      </c>
      <c r="K753" s="22">
        <f>8.5+8.3</f>
        <v>16.8</v>
      </c>
      <c r="L753" s="8">
        <f t="shared" si="671"/>
        <v>11.45</v>
      </c>
      <c r="M753" s="24">
        <f t="shared" si="669"/>
        <v>0.23319755600814665</v>
      </c>
      <c r="N753" s="14"/>
    </row>
    <row r="754" spans="1:14" x14ac:dyDescent="0.25">
      <c r="A754" s="20">
        <v>44537</v>
      </c>
      <c r="B754" s="1">
        <f t="shared" ref="B754" si="682">B746</f>
        <v>63</v>
      </c>
      <c r="C754" s="1" t="s">
        <v>341</v>
      </c>
      <c r="D754" s="1" t="s">
        <v>342</v>
      </c>
      <c r="E754" s="26" t="e">
        <f t="shared" ref="E754:F754" si="683">+E753</f>
        <v>#REF!</v>
      </c>
      <c r="F754" s="26" t="e">
        <f t="shared" si="683"/>
        <v>#REF!</v>
      </c>
      <c r="G754" s="17">
        <v>9</v>
      </c>
      <c r="H754" s="17" t="s">
        <v>9</v>
      </c>
      <c r="I754" s="30" t="s">
        <v>38</v>
      </c>
      <c r="J754" s="22">
        <v>1.65</v>
      </c>
      <c r="K754" s="22">
        <v>0.5</v>
      </c>
      <c r="L754" s="8">
        <f t="shared" si="671"/>
        <v>1.1499999999999999</v>
      </c>
      <c r="M754" s="24">
        <f t="shared" si="669"/>
        <v>2.3421588594704685E-2</v>
      </c>
      <c r="N754" s="14"/>
    </row>
    <row r="755" spans="1:14" x14ac:dyDescent="0.25">
      <c r="A755" s="20">
        <v>44537</v>
      </c>
      <c r="B755" s="1">
        <f t="shared" ref="B755" si="684">B746</f>
        <v>63</v>
      </c>
      <c r="C755" s="1" t="s">
        <v>341</v>
      </c>
      <c r="D755" s="1" t="s">
        <v>342</v>
      </c>
      <c r="E755" s="26" t="e">
        <f t="shared" ref="E755:F755" si="685">+E754</f>
        <v>#REF!</v>
      </c>
      <c r="F755" s="26" t="e">
        <f t="shared" si="685"/>
        <v>#REF!</v>
      </c>
      <c r="G755" s="17">
        <v>10</v>
      </c>
      <c r="H755" s="17" t="s">
        <v>9</v>
      </c>
      <c r="I755" s="30" t="s">
        <v>23</v>
      </c>
      <c r="J755" s="22">
        <f>13.25+12.55</f>
        <v>25.8</v>
      </c>
      <c r="K755" s="22">
        <f>8.3+8.55</f>
        <v>16.850000000000001</v>
      </c>
      <c r="L755" s="8">
        <f t="shared" si="671"/>
        <v>8.9499999999999993</v>
      </c>
      <c r="M755" s="24">
        <f t="shared" si="669"/>
        <v>0.18228105906313646</v>
      </c>
      <c r="N755" s="14"/>
    </row>
    <row r="756" spans="1:14" x14ac:dyDescent="0.25">
      <c r="A756" s="20">
        <v>44537</v>
      </c>
      <c r="B756" s="1">
        <f t="shared" ref="B756" si="686">B746</f>
        <v>63</v>
      </c>
      <c r="C756" s="1" t="s">
        <v>341</v>
      </c>
      <c r="D756" s="1" t="s">
        <v>342</v>
      </c>
      <c r="E756" s="26" t="e">
        <f t="shared" ref="E756:F756" si="687">+E755</f>
        <v>#REF!</v>
      </c>
      <c r="F756" s="26" t="e">
        <f t="shared" si="687"/>
        <v>#REF!</v>
      </c>
      <c r="G756" s="17">
        <v>11</v>
      </c>
      <c r="H756" s="17" t="s">
        <v>9</v>
      </c>
      <c r="I756" s="30" t="s">
        <v>60</v>
      </c>
      <c r="J756" s="22">
        <v>9.1</v>
      </c>
      <c r="K756" s="22">
        <v>8.3000000000000007</v>
      </c>
      <c r="L756" s="8">
        <f t="shared" si="671"/>
        <v>0.79999999999999893</v>
      </c>
      <c r="M756" s="24">
        <f t="shared" si="669"/>
        <v>1.629327902240324E-2</v>
      </c>
      <c r="N756" s="14"/>
    </row>
    <row r="757" spans="1:14" ht="15.75" thickBot="1" x14ac:dyDescent="0.3">
      <c r="A757" s="20">
        <v>44537</v>
      </c>
      <c r="B757" s="57">
        <f t="shared" ref="B757" si="688">B746</f>
        <v>63</v>
      </c>
      <c r="C757" s="1" t="s">
        <v>341</v>
      </c>
      <c r="D757" s="1" t="s">
        <v>342</v>
      </c>
      <c r="E757" s="26" t="e">
        <f t="shared" ref="E757:F757" si="689">+E756</f>
        <v>#REF!</v>
      </c>
      <c r="F757" s="26" t="e">
        <f t="shared" si="689"/>
        <v>#REF!</v>
      </c>
      <c r="G757" s="18">
        <f>+G756+1</f>
        <v>12</v>
      </c>
      <c r="H757" s="18" t="s">
        <v>10</v>
      </c>
      <c r="I757" s="46" t="s">
        <v>10</v>
      </c>
      <c r="J757" s="22">
        <f>10.35+13.1</f>
        <v>23.45</v>
      </c>
      <c r="K757" s="22">
        <f>8.55+8.55</f>
        <v>17.100000000000001</v>
      </c>
      <c r="L757" s="8">
        <f t="shared" si="671"/>
        <v>6.3499999999999979</v>
      </c>
      <c r="M757" s="24">
        <f t="shared" si="669"/>
        <v>0.12932790224032584</v>
      </c>
      <c r="N757" s="14"/>
    </row>
    <row r="758" spans="1:14" x14ac:dyDescent="0.25">
      <c r="A758" s="19">
        <v>44537</v>
      </c>
      <c r="B758" s="15">
        <f t="shared" ref="B758" si="690">B746+1</f>
        <v>64</v>
      </c>
      <c r="C758" s="15" t="s">
        <v>343</v>
      </c>
      <c r="D758" s="15" t="s">
        <v>342</v>
      </c>
      <c r="E758" s="25">
        <f>89.4-37.8</f>
        <v>51.600000000000009</v>
      </c>
      <c r="F758" s="25">
        <f>+SUM(L758:L769)</f>
        <v>52.9</v>
      </c>
      <c r="G758" s="16">
        <v>1</v>
      </c>
      <c r="H758" s="16" t="s">
        <v>9</v>
      </c>
      <c r="I758" s="59" t="s">
        <v>56</v>
      </c>
      <c r="J758" s="21">
        <v>10.85</v>
      </c>
      <c r="K758" s="21">
        <v>8.6</v>
      </c>
      <c r="L758" s="12">
        <f>+J758-K758</f>
        <v>2.25</v>
      </c>
      <c r="M758" s="23">
        <f t="shared" si="669"/>
        <v>4.2533081285444238E-2</v>
      </c>
      <c r="N758" s="13"/>
    </row>
    <row r="759" spans="1:14" x14ac:dyDescent="0.25">
      <c r="A759" s="20">
        <v>44537</v>
      </c>
      <c r="B759" s="1">
        <f t="shared" ref="B759" si="691">B758</f>
        <v>64</v>
      </c>
      <c r="C759" s="1" t="s">
        <v>343</v>
      </c>
      <c r="D759" s="1" t="s">
        <v>342</v>
      </c>
      <c r="E759" s="26">
        <v>3</v>
      </c>
      <c r="F759" s="28">
        <f>+(F758-E758)/E758</f>
        <v>2.5193798449612205E-2</v>
      </c>
      <c r="G759" s="17">
        <v>2</v>
      </c>
      <c r="H759" s="17" t="s">
        <v>9</v>
      </c>
      <c r="I759" s="30" t="s">
        <v>57</v>
      </c>
      <c r="J759" s="22">
        <v>11.15</v>
      </c>
      <c r="K759" s="22">
        <v>8.5500000000000007</v>
      </c>
      <c r="L759" s="8">
        <f t="shared" ref="L759:L769" si="692">+J759-K759</f>
        <v>2.5999999999999996</v>
      </c>
      <c r="M759" s="24">
        <f t="shared" si="669"/>
        <v>4.9149338374291113E-2</v>
      </c>
      <c r="N759" s="14"/>
    </row>
    <row r="760" spans="1:14" x14ac:dyDescent="0.25">
      <c r="A760" s="20">
        <v>44537</v>
      </c>
      <c r="B760" s="1">
        <f t="shared" ref="B760" si="693">B758</f>
        <v>64</v>
      </c>
      <c r="C760" s="1" t="s">
        <v>343</v>
      </c>
      <c r="D760" s="1" t="s">
        <v>342</v>
      </c>
      <c r="E760" s="26" t="e">
        <f>+#REF!</f>
        <v>#REF!</v>
      </c>
      <c r="F760" s="26" t="e">
        <f>+#REF!</f>
        <v>#REF!</v>
      </c>
      <c r="G760" s="17">
        <v>3</v>
      </c>
      <c r="H760" s="17" t="s">
        <v>9</v>
      </c>
      <c r="I760" s="30" t="s">
        <v>58</v>
      </c>
      <c r="J760" s="22">
        <v>12.05</v>
      </c>
      <c r="K760" s="22">
        <v>8.3000000000000007</v>
      </c>
      <c r="L760" s="8">
        <f t="shared" si="692"/>
        <v>3.75</v>
      </c>
      <c r="M760" s="24">
        <f t="shared" si="669"/>
        <v>7.0888468809073721E-2</v>
      </c>
      <c r="N760" s="14"/>
    </row>
    <row r="761" spans="1:14" x14ac:dyDescent="0.25">
      <c r="A761" s="20">
        <v>44537</v>
      </c>
      <c r="B761" s="1">
        <f t="shared" ref="B761" si="694">B758</f>
        <v>64</v>
      </c>
      <c r="C761" s="1" t="s">
        <v>343</v>
      </c>
      <c r="D761" s="1" t="s">
        <v>342</v>
      </c>
      <c r="E761" s="26" t="e">
        <f t="shared" ref="E761:F761" si="695">+E760</f>
        <v>#REF!</v>
      </c>
      <c r="F761" s="26" t="e">
        <f t="shared" si="695"/>
        <v>#REF!</v>
      </c>
      <c r="G761" s="17">
        <v>4</v>
      </c>
      <c r="H761" s="17" t="s">
        <v>9</v>
      </c>
      <c r="I761" s="30" t="s">
        <v>22</v>
      </c>
      <c r="J761" s="22">
        <v>1.75</v>
      </c>
      <c r="K761" s="22">
        <v>0.55000000000000004</v>
      </c>
      <c r="L761" s="8">
        <f t="shared" si="692"/>
        <v>1.2</v>
      </c>
      <c r="M761" s="24">
        <f t="shared" si="669"/>
        <v>2.2684310018903593E-2</v>
      </c>
      <c r="N761" s="14"/>
    </row>
    <row r="762" spans="1:14" x14ac:dyDescent="0.25">
      <c r="A762" s="20">
        <v>44537</v>
      </c>
      <c r="B762" s="1">
        <f t="shared" ref="B762" si="696">B758</f>
        <v>64</v>
      </c>
      <c r="C762" s="1" t="s">
        <v>343</v>
      </c>
      <c r="D762" s="1" t="s">
        <v>342</v>
      </c>
      <c r="E762" s="26" t="e">
        <f t="shared" ref="E762:F762" si="697">+E761</f>
        <v>#REF!</v>
      </c>
      <c r="F762" s="26" t="e">
        <f t="shared" si="697"/>
        <v>#REF!</v>
      </c>
      <c r="G762" s="17">
        <v>5</v>
      </c>
      <c r="H762" s="17" t="s">
        <v>9</v>
      </c>
      <c r="I762" s="30" t="s">
        <v>34</v>
      </c>
      <c r="J762" s="22">
        <v>0.85</v>
      </c>
      <c r="K762" s="22">
        <v>0.55000000000000004</v>
      </c>
      <c r="L762" s="8">
        <f t="shared" si="692"/>
        <v>0.29999999999999993</v>
      </c>
      <c r="M762" s="24">
        <f t="shared" si="669"/>
        <v>5.6710775047258966E-3</v>
      </c>
      <c r="N762" s="14"/>
    </row>
    <row r="763" spans="1:14" x14ac:dyDescent="0.25">
      <c r="A763" s="20">
        <v>44537</v>
      </c>
      <c r="B763" s="1">
        <f t="shared" ref="B763" si="698">B758</f>
        <v>64</v>
      </c>
      <c r="C763" s="1" t="s">
        <v>343</v>
      </c>
      <c r="D763" s="1" t="s">
        <v>342</v>
      </c>
      <c r="E763" s="26" t="e">
        <f t="shared" ref="E763:F763" si="699">+E762</f>
        <v>#REF!</v>
      </c>
      <c r="F763" s="26" t="e">
        <f t="shared" si="699"/>
        <v>#REF!</v>
      </c>
      <c r="G763" s="17">
        <v>6</v>
      </c>
      <c r="H763" s="17" t="s">
        <v>9</v>
      </c>
      <c r="I763" s="30" t="s">
        <v>35</v>
      </c>
      <c r="J763" s="22">
        <v>0.6</v>
      </c>
      <c r="K763" s="22">
        <v>0.55000000000000004</v>
      </c>
      <c r="L763" s="8">
        <f t="shared" si="692"/>
        <v>4.9999999999999933E-2</v>
      </c>
      <c r="M763" s="24">
        <f t="shared" si="669"/>
        <v>9.4517958412098171E-4</v>
      </c>
      <c r="N763" s="14"/>
    </row>
    <row r="764" spans="1:14" x14ac:dyDescent="0.25">
      <c r="A764" s="20">
        <v>44537</v>
      </c>
      <c r="B764" s="1">
        <f t="shared" ref="B764" si="700">B758</f>
        <v>64</v>
      </c>
      <c r="C764" s="1" t="s">
        <v>343</v>
      </c>
      <c r="D764" s="1" t="s">
        <v>342</v>
      </c>
      <c r="E764" s="26" t="e">
        <f t="shared" ref="E764:F764" si="701">+E763</f>
        <v>#REF!</v>
      </c>
      <c r="F764" s="26" t="e">
        <f t="shared" si="701"/>
        <v>#REF!</v>
      </c>
      <c r="G764" s="17">
        <v>7</v>
      </c>
      <c r="H764" s="17" t="s">
        <v>9</v>
      </c>
      <c r="I764" s="30" t="s">
        <v>36</v>
      </c>
      <c r="J764" s="22">
        <v>6.7</v>
      </c>
      <c r="K764" s="22">
        <v>6.05</v>
      </c>
      <c r="L764" s="8">
        <f t="shared" si="692"/>
        <v>0.65000000000000036</v>
      </c>
      <c r="M764" s="24">
        <f t="shared" si="669"/>
        <v>1.2287334593572785E-2</v>
      </c>
      <c r="N764" s="14"/>
    </row>
    <row r="765" spans="1:14" x14ac:dyDescent="0.25">
      <c r="A765" s="20">
        <v>44537</v>
      </c>
      <c r="B765" s="1">
        <f t="shared" ref="B765" si="702">B758</f>
        <v>64</v>
      </c>
      <c r="C765" s="1" t="s">
        <v>343</v>
      </c>
      <c r="D765" s="1" t="s">
        <v>342</v>
      </c>
      <c r="E765" s="26" t="e">
        <f>+E764</f>
        <v>#REF!</v>
      </c>
      <c r="F765" s="26" t="e">
        <f>+F764</f>
        <v>#REF!</v>
      </c>
      <c r="G765" s="17">
        <v>8</v>
      </c>
      <c r="H765" s="17" t="s">
        <v>9</v>
      </c>
      <c r="I765" s="30" t="s">
        <v>59</v>
      </c>
      <c r="J765" s="22">
        <f>19.45+14.5</f>
        <v>33.950000000000003</v>
      </c>
      <c r="K765" s="22">
        <f>8.3+8.55</f>
        <v>16.850000000000001</v>
      </c>
      <c r="L765" s="8">
        <f t="shared" si="692"/>
        <v>17.100000000000001</v>
      </c>
      <c r="M765" s="24">
        <f t="shared" si="669"/>
        <v>0.32325141776937621</v>
      </c>
      <c r="N765" s="14"/>
    </row>
    <row r="766" spans="1:14" x14ac:dyDescent="0.25">
      <c r="A766" s="20">
        <v>44537</v>
      </c>
      <c r="B766" s="1">
        <f t="shared" ref="B766" si="703">B758</f>
        <v>64</v>
      </c>
      <c r="C766" s="1" t="s">
        <v>343</v>
      </c>
      <c r="D766" s="1" t="s">
        <v>342</v>
      </c>
      <c r="E766" s="26" t="e">
        <f t="shared" ref="E766:F766" si="704">+E765</f>
        <v>#REF!</v>
      </c>
      <c r="F766" s="26" t="e">
        <f t="shared" si="704"/>
        <v>#REF!</v>
      </c>
      <c r="G766" s="17">
        <v>9</v>
      </c>
      <c r="H766" s="17" t="s">
        <v>9</v>
      </c>
      <c r="I766" s="30" t="s">
        <v>38</v>
      </c>
      <c r="J766" s="22">
        <v>2</v>
      </c>
      <c r="K766" s="22">
        <v>0.5</v>
      </c>
      <c r="L766" s="8">
        <f t="shared" si="692"/>
        <v>1.5</v>
      </c>
      <c r="M766" s="24">
        <f t="shared" si="669"/>
        <v>2.835538752362949E-2</v>
      </c>
      <c r="N766" s="14"/>
    </row>
    <row r="767" spans="1:14" x14ac:dyDescent="0.25">
      <c r="A767" s="20">
        <v>44537</v>
      </c>
      <c r="B767" s="1">
        <f t="shared" ref="B767" si="705">B758</f>
        <v>64</v>
      </c>
      <c r="C767" s="1" t="s">
        <v>343</v>
      </c>
      <c r="D767" s="1" t="s">
        <v>342</v>
      </c>
      <c r="E767" s="26" t="e">
        <f t="shared" ref="E767:F767" si="706">+E766</f>
        <v>#REF!</v>
      </c>
      <c r="F767" s="26" t="e">
        <f t="shared" si="706"/>
        <v>#REF!</v>
      </c>
      <c r="G767" s="17">
        <v>10</v>
      </c>
      <c r="H767" s="17" t="s">
        <v>9</v>
      </c>
      <c r="I767" s="30" t="s">
        <v>23</v>
      </c>
      <c r="J767" s="22">
        <f>13.3+17.9</f>
        <v>31.2</v>
      </c>
      <c r="K767" s="22">
        <f>8.3+8.3</f>
        <v>16.600000000000001</v>
      </c>
      <c r="L767" s="8">
        <f t="shared" si="692"/>
        <v>14.599999999999998</v>
      </c>
      <c r="M767" s="24">
        <f t="shared" si="669"/>
        <v>0.275992438563327</v>
      </c>
      <c r="N767" s="14"/>
    </row>
    <row r="768" spans="1:14" x14ac:dyDescent="0.25">
      <c r="A768" s="20">
        <v>44537</v>
      </c>
      <c r="B768" s="1">
        <f t="shared" ref="B768" si="707">B758</f>
        <v>64</v>
      </c>
      <c r="C768" s="1" t="s">
        <v>343</v>
      </c>
      <c r="D768" s="1" t="s">
        <v>342</v>
      </c>
      <c r="E768" s="26" t="e">
        <f t="shared" ref="E768:F768" si="708">+E767</f>
        <v>#REF!</v>
      </c>
      <c r="F768" s="26" t="e">
        <f t="shared" si="708"/>
        <v>#REF!</v>
      </c>
      <c r="G768" s="17">
        <v>11</v>
      </c>
      <c r="H768" s="17" t="s">
        <v>9</v>
      </c>
      <c r="I768" s="30" t="s">
        <v>60</v>
      </c>
      <c r="J768" s="22">
        <v>9.6999999999999993</v>
      </c>
      <c r="K768" s="22">
        <v>8.5500000000000007</v>
      </c>
      <c r="L768" s="8">
        <f t="shared" si="692"/>
        <v>1.1499999999999986</v>
      </c>
      <c r="M768" s="24">
        <f t="shared" si="669"/>
        <v>2.1739130434782584E-2</v>
      </c>
      <c r="N768" s="14"/>
    </row>
    <row r="769" spans="1:15" ht="30.75" thickBot="1" x14ac:dyDescent="0.3">
      <c r="A769" s="60">
        <v>44537</v>
      </c>
      <c r="B769" s="57">
        <f t="shared" ref="B769" si="709">B758</f>
        <v>64</v>
      </c>
      <c r="C769" s="57" t="s">
        <v>343</v>
      </c>
      <c r="D769" s="57" t="s">
        <v>342</v>
      </c>
      <c r="E769" s="61" t="e">
        <f t="shared" ref="E769:F769" si="710">+E768</f>
        <v>#REF!</v>
      </c>
      <c r="F769" s="61" t="e">
        <f t="shared" si="710"/>
        <v>#REF!</v>
      </c>
      <c r="G769" s="62">
        <f>+G768+1</f>
        <v>12</v>
      </c>
      <c r="H769" s="62" t="s">
        <v>10</v>
      </c>
      <c r="I769" s="46" t="s">
        <v>10</v>
      </c>
      <c r="J769" s="63">
        <f>12.35+12.5</f>
        <v>24.85</v>
      </c>
      <c r="K769" s="63">
        <f>8.55+8.55</f>
        <v>17.100000000000001</v>
      </c>
      <c r="L769" s="64">
        <f t="shared" si="692"/>
        <v>7.75</v>
      </c>
      <c r="M769" s="65">
        <f t="shared" si="669"/>
        <v>0.14650283553875237</v>
      </c>
      <c r="N769" s="66" t="s">
        <v>347</v>
      </c>
    </row>
    <row r="770" spans="1:15" x14ac:dyDescent="0.25">
      <c r="A770" s="19">
        <v>44537</v>
      </c>
      <c r="B770" s="15">
        <f t="shared" ref="B770" si="711">B758+1</f>
        <v>65</v>
      </c>
      <c r="C770" s="15" t="s">
        <v>344</v>
      </c>
      <c r="D770" s="15" t="s">
        <v>342</v>
      </c>
      <c r="E770" s="25">
        <f>96-37.8</f>
        <v>58.2</v>
      </c>
      <c r="F770" s="25">
        <f>+SUM(L770:L781)</f>
        <v>59.45</v>
      </c>
      <c r="G770" s="16">
        <v>1</v>
      </c>
      <c r="H770" s="16" t="s">
        <v>9</v>
      </c>
      <c r="I770" s="59" t="s">
        <v>56</v>
      </c>
      <c r="J770" s="21">
        <v>10.8</v>
      </c>
      <c r="K770" s="21">
        <v>8.3000000000000007</v>
      </c>
      <c r="L770" s="12">
        <f>+J770-K770</f>
        <v>2.5</v>
      </c>
      <c r="M770" s="23">
        <f t="shared" si="669"/>
        <v>4.2052144659377629E-2</v>
      </c>
      <c r="N770" s="13"/>
    </row>
    <row r="771" spans="1:15" x14ac:dyDescent="0.25">
      <c r="A771" s="20">
        <v>44537</v>
      </c>
      <c r="B771" s="1">
        <f t="shared" ref="B771" si="712">B770</f>
        <v>65</v>
      </c>
      <c r="C771" s="1" t="s">
        <v>344</v>
      </c>
      <c r="D771" s="1" t="s">
        <v>342</v>
      </c>
      <c r="E771" s="26">
        <f>+E770</f>
        <v>58.2</v>
      </c>
      <c r="F771" s="28">
        <f>+(F770-E770)/E770</f>
        <v>2.147766323024055E-2</v>
      </c>
      <c r="G771" s="17">
        <v>2</v>
      </c>
      <c r="H771" s="17" t="s">
        <v>9</v>
      </c>
      <c r="I771" s="30" t="s">
        <v>57</v>
      </c>
      <c r="J771" s="22">
        <v>11.95</v>
      </c>
      <c r="K771" s="22">
        <v>8.3000000000000007</v>
      </c>
      <c r="L771" s="8">
        <f t="shared" ref="L771:L781" si="713">+J771-K771</f>
        <v>3.6499999999999986</v>
      </c>
      <c r="M771" s="24">
        <f t="shared" si="669"/>
        <v>6.1396131202691308E-2</v>
      </c>
      <c r="N771" s="14"/>
    </row>
    <row r="772" spans="1:15" x14ac:dyDescent="0.25">
      <c r="A772" s="20">
        <v>44537</v>
      </c>
      <c r="B772" s="1">
        <f t="shared" ref="B772" si="714">B770</f>
        <v>65</v>
      </c>
      <c r="C772" s="1" t="s">
        <v>344</v>
      </c>
      <c r="D772" s="1" t="s">
        <v>342</v>
      </c>
      <c r="E772" s="26" t="e">
        <f>+#REF!</f>
        <v>#REF!</v>
      </c>
      <c r="F772" s="26" t="e">
        <f>+#REF!</f>
        <v>#REF!</v>
      </c>
      <c r="G772" s="17">
        <v>3</v>
      </c>
      <c r="H772" s="17" t="s">
        <v>9</v>
      </c>
      <c r="I772" s="30" t="s">
        <v>58</v>
      </c>
      <c r="J772" s="22">
        <v>13.5</v>
      </c>
      <c r="K772" s="22">
        <v>8.3000000000000007</v>
      </c>
      <c r="L772" s="8">
        <f t="shared" si="713"/>
        <v>5.1999999999999993</v>
      </c>
      <c r="M772" s="24">
        <f t="shared" si="669"/>
        <v>8.7468460891505451E-2</v>
      </c>
      <c r="N772" s="14"/>
    </row>
    <row r="773" spans="1:15" x14ac:dyDescent="0.25">
      <c r="A773" s="20">
        <v>44537</v>
      </c>
      <c r="B773" s="1">
        <f t="shared" ref="B773" si="715">B770</f>
        <v>65</v>
      </c>
      <c r="C773" s="1" t="s">
        <v>344</v>
      </c>
      <c r="D773" s="1" t="s">
        <v>342</v>
      </c>
      <c r="E773" s="26" t="e">
        <f t="shared" ref="E773:F773" si="716">+E772</f>
        <v>#REF!</v>
      </c>
      <c r="F773" s="26" t="e">
        <f t="shared" si="716"/>
        <v>#REF!</v>
      </c>
      <c r="G773" s="17">
        <v>4</v>
      </c>
      <c r="H773" s="17" t="s">
        <v>9</v>
      </c>
      <c r="I773" s="30" t="s">
        <v>22</v>
      </c>
      <c r="J773" s="22">
        <v>2.0499999999999998</v>
      </c>
      <c r="K773" s="22">
        <v>0.55000000000000004</v>
      </c>
      <c r="L773" s="8">
        <f t="shared" si="713"/>
        <v>1.4999999999999998</v>
      </c>
      <c r="M773" s="24">
        <f t="shared" si="669"/>
        <v>2.5231286795626574E-2</v>
      </c>
      <c r="N773" s="14"/>
    </row>
    <row r="774" spans="1:15" x14ac:dyDescent="0.25">
      <c r="A774" s="20">
        <v>44537</v>
      </c>
      <c r="B774" s="1">
        <f t="shared" ref="B774" si="717">B770</f>
        <v>65</v>
      </c>
      <c r="C774" s="1" t="s">
        <v>344</v>
      </c>
      <c r="D774" s="1" t="s">
        <v>342</v>
      </c>
      <c r="E774" s="26" t="e">
        <f t="shared" ref="E774:F774" si="718">+E773</f>
        <v>#REF!</v>
      </c>
      <c r="F774" s="26" t="e">
        <f t="shared" si="718"/>
        <v>#REF!</v>
      </c>
      <c r="G774" s="17">
        <v>5</v>
      </c>
      <c r="H774" s="17" t="s">
        <v>9</v>
      </c>
      <c r="I774" s="30" t="s">
        <v>34</v>
      </c>
      <c r="J774" s="22">
        <v>1.05</v>
      </c>
      <c r="K774" s="22">
        <v>0.55000000000000004</v>
      </c>
      <c r="L774" s="8">
        <f t="shared" si="713"/>
        <v>0.5</v>
      </c>
      <c r="M774" s="24">
        <f t="shared" si="669"/>
        <v>8.4104289318755257E-3</v>
      </c>
      <c r="N774" s="14"/>
    </row>
    <row r="775" spans="1:15" x14ac:dyDescent="0.25">
      <c r="A775" s="20">
        <v>44537</v>
      </c>
      <c r="B775" s="1">
        <f t="shared" ref="B775" si="719">B770</f>
        <v>65</v>
      </c>
      <c r="C775" s="1" t="s">
        <v>344</v>
      </c>
      <c r="D775" s="1" t="s">
        <v>342</v>
      </c>
      <c r="E775" s="26" t="e">
        <f t="shared" ref="E775:F775" si="720">+E774</f>
        <v>#REF!</v>
      </c>
      <c r="F775" s="26" t="e">
        <f t="shared" si="720"/>
        <v>#REF!</v>
      </c>
      <c r="G775" s="17">
        <v>6</v>
      </c>
      <c r="H775" s="17" t="s">
        <v>9</v>
      </c>
      <c r="I775" s="30" t="s">
        <v>35</v>
      </c>
      <c r="J775" s="22">
        <v>0.6</v>
      </c>
      <c r="K775" s="22">
        <v>0.5</v>
      </c>
      <c r="L775" s="8">
        <f t="shared" si="713"/>
        <v>9.9999999999999978E-2</v>
      </c>
      <c r="M775" s="24">
        <f t="shared" si="669"/>
        <v>1.6820857863751046E-3</v>
      </c>
      <c r="N775" s="14"/>
    </row>
    <row r="776" spans="1:15" x14ac:dyDescent="0.25">
      <c r="A776" s="20">
        <v>44537</v>
      </c>
      <c r="B776" s="1">
        <f t="shared" ref="B776" si="721">B770</f>
        <v>65</v>
      </c>
      <c r="C776" s="1" t="s">
        <v>344</v>
      </c>
      <c r="D776" s="1" t="s">
        <v>342</v>
      </c>
      <c r="E776" s="26" t="e">
        <f t="shared" ref="E776:F776" si="722">+E775</f>
        <v>#REF!</v>
      </c>
      <c r="F776" s="26" t="e">
        <f t="shared" si="722"/>
        <v>#REF!</v>
      </c>
      <c r="G776" s="17">
        <v>7</v>
      </c>
      <c r="H776" s="17" t="s">
        <v>9</v>
      </c>
      <c r="I776" s="30" t="s">
        <v>36</v>
      </c>
      <c r="J776" s="22">
        <v>7.2</v>
      </c>
      <c r="K776" s="22">
        <v>6.05</v>
      </c>
      <c r="L776" s="8">
        <f t="shared" si="713"/>
        <v>1.1500000000000004</v>
      </c>
      <c r="M776" s="24">
        <f t="shared" si="669"/>
        <v>1.9343986543313714E-2</v>
      </c>
      <c r="N776" s="14"/>
    </row>
    <row r="777" spans="1:15" x14ac:dyDescent="0.25">
      <c r="A777" s="20">
        <v>44537</v>
      </c>
      <c r="B777" s="1">
        <f t="shared" ref="B777" si="723">B770</f>
        <v>65</v>
      </c>
      <c r="C777" s="1" t="s">
        <v>344</v>
      </c>
      <c r="D777" s="1" t="s">
        <v>342</v>
      </c>
      <c r="E777" s="26" t="e">
        <f>+E776</f>
        <v>#REF!</v>
      </c>
      <c r="F777" s="26" t="e">
        <f>+F776</f>
        <v>#REF!</v>
      </c>
      <c r="G777" s="17">
        <v>8</v>
      </c>
      <c r="H777" s="17" t="s">
        <v>9</v>
      </c>
      <c r="I777" s="30" t="s">
        <v>59</v>
      </c>
      <c r="J777" s="22">
        <f>23.15+13.3</f>
        <v>36.450000000000003</v>
      </c>
      <c r="K777" s="22">
        <f>8.55+8.55</f>
        <v>17.100000000000001</v>
      </c>
      <c r="L777" s="8">
        <f t="shared" si="713"/>
        <v>19.350000000000001</v>
      </c>
      <c r="M777" s="24">
        <f t="shared" si="669"/>
        <v>0.32548359966358287</v>
      </c>
      <c r="N777" s="14"/>
    </row>
    <row r="778" spans="1:15" x14ac:dyDescent="0.25">
      <c r="A778" s="20">
        <v>44537</v>
      </c>
      <c r="B778" s="1">
        <f t="shared" ref="B778" si="724">B770</f>
        <v>65</v>
      </c>
      <c r="C778" s="1" t="s">
        <v>344</v>
      </c>
      <c r="D778" s="1" t="s">
        <v>342</v>
      </c>
      <c r="E778" s="26" t="e">
        <f t="shared" ref="E778:F778" si="725">+E777</f>
        <v>#REF!</v>
      </c>
      <c r="F778" s="26" t="e">
        <f t="shared" si="725"/>
        <v>#REF!</v>
      </c>
      <c r="G778" s="17">
        <v>9</v>
      </c>
      <c r="H778" s="17" t="s">
        <v>9</v>
      </c>
      <c r="I778" s="30" t="s">
        <v>38</v>
      </c>
      <c r="J778" s="22">
        <v>2.2999999999999998</v>
      </c>
      <c r="K778" s="22">
        <v>0.5</v>
      </c>
      <c r="L778" s="8">
        <f t="shared" si="713"/>
        <v>1.7999999999999998</v>
      </c>
      <c r="M778" s="24">
        <f t="shared" si="669"/>
        <v>3.0277544154751888E-2</v>
      </c>
      <c r="N778" s="14"/>
    </row>
    <row r="779" spans="1:15" x14ac:dyDescent="0.25">
      <c r="A779" s="20">
        <v>44537</v>
      </c>
      <c r="B779" s="1">
        <f t="shared" ref="B779" si="726">B770</f>
        <v>65</v>
      </c>
      <c r="C779" s="1" t="s">
        <v>344</v>
      </c>
      <c r="D779" s="1" t="s">
        <v>342</v>
      </c>
      <c r="E779" s="26" t="e">
        <f t="shared" ref="E779:F779" si="727">+E778</f>
        <v>#REF!</v>
      </c>
      <c r="F779" s="26" t="e">
        <f t="shared" si="727"/>
        <v>#REF!</v>
      </c>
      <c r="G779" s="17">
        <v>10</v>
      </c>
      <c r="H779" s="17" t="s">
        <v>9</v>
      </c>
      <c r="I779" s="30" t="s">
        <v>23</v>
      </c>
      <c r="J779" s="22">
        <f>13.55+16.55</f>
        <v>30.1</v>
      </c>
      <c r="K779" s="22">
        <f>8.55+8.3</f>
        <v>16.850000000000001</v>
      </c>
      <c r="L779" s="8">
        <f t="shared" si="713"/>
        <v>13.25</v>
      </c>
      <c r="M779" s="24">
        <f t="shared" si="669"/>
        <v>0.22287636669470143</v>
      </c>
      <c r="N779" s="14"/>
    </row>
    <row r="780" spans="1:15" x14ac:dyDescent="0.25">
      <c r="A780" s="20">
        <v>44537</v>
      </c>
      <c r="B780" s="1">
        <f t="shared" ref="B780" si="728">B770</f>
        <v>65</v>
      </c>
      <c r="C780" s="1" t="s">
        <v>344</v>
      </c>
      <c r="D780" s="1" t="s">
        <v>342</v>
      </c>
      <c r="E780" s="26" t="e">
        <f t="shared" ref="E780:F780" si="729">+E779</f>
        <v>#REF!</v>
      </c>
      <c r="F780" s="26" t="e">
        <f t="shared" si="729"/>
        <v>#REF!</v>
      </c>
      <c r="G780" s="17">
        <v>11</v>
      </c>
      <c r="H780" s="17" t="s">
        <v>9</v>
      </c>
      <c r="I780" s="30" t="s">
        <v>60</v>
      </c>
      <c r="J780" s="22">
        <v>9.9</v>
      </c>
      <c r="K780" s="22">
        <v>8.3000000000000007</v>
      </c>
      <c r="L780" s="8">
        <f t="shared" si="713"/>
        <v>1.5999999999999996</v>
      </c>
      <c r="M780" s="24">
        <f t="shared" si="669"/>
        <v>2.6913372582001674E-2</v>
      </c>
      <c r="N780" s="14"/>
    </row>
    <row r="781" spans="1:15" ht="15.75" thickBot="1" x14ac:dyDescent="0.3">
      <c r="A781" s="20">
        <v>44537</v>
      </c>
      <c r="B781" s="57">
        <f t="shared" ref="B781" si="730">B770</f>
        <v>65</v>
      </c>
      <c r="C781" s="1" t="s">
        <v>344</v>
      </c>
      <c r="D781" s="1" t="s">
        <v>342</v>
      </c>
      <c r="E781" s="26" t="e">
        <f t="shared" ref="E781:F781" si="731">+E780</f>
        <v>#REF!</v>
      </c>
      <c r="F781" s="26" t="e">
        <f t="shared" si="731"/>
        <v>#REF!</v>
      </c>
      <c r="G781" s="18">
        <f>+G780+1</f>
        <v>12</v>
      </c>
      <c r="H781" s="18" t="s">
        <v>10</v>
      </c>
      <c r="I781" s="46" t="s">
        <v>10</v>
      </c>
      <c r="J781" s="22">
        <f>11.55+14.45</f>
        <v>26</v>
      </c>
      <c r="K781" s="63">
        <f>8.6+8.55</f>
        <v>17.149999999999999</v>
      </c>
      <c r="L781" s="8">
        <f t="shared" si="713"/>
        <v>8.8500000000000014</v>
      </c>
      <c r="M781" s="24">
        <f t="shared" si="669"/>
        <v>0.14886459209419681</v>
      </c>
      <c r="N781" s="14"/>
    </row>
    <row r="782" spans="1:15" x14ac:dyDescent="0.25">
      <c r="A782" s="19">
        <v>44537</v>
      </c>
      <c r="B782" s="15">
        <f t="shared" ref="B782" si="732">B770+1</f>
        <v>66</v>
      </c>
      <c r="C782" s="15" t="s">
        <v>348</v>
      </c>
      <c r="D782" s="15" t="s">
        <v>180</v>
      </c>
      <c r="E782" s="25">
        <f>53.8-1.2</f>
        <v>52.599999999999994</v>
      </c>
      <c r="F782" s="25">
        <f>+SUM(L782:L793)</f>
        <v>52.5</v>
      </c>
      <c r="G782" s="16">
        <v>1</v>
      </c>
      <c r="H782" s="16" t="s">
        <v>9</v>
      </c>
      <c r="I782" s="59" t="s">
        <v>56</v>
      </c>
      <c r="J782" s="21"/>
      <c r="K782" s="21"/>
      <c r="L782" s="12">
        <f>+J782-K782</f>
        <v>0</v>
      </c>
      <c r="M782" s="23">
        <f t="shared" ref="M782:M793" si="733">+L782/SUMIF(C:C,C782,L:L)</f>
        <v>0</v>
      </c>
      <c r="N782" s="13"/>
      <c r="O782" t="s">
        <v>358</v>
      </c>
    </row>
    <row r="783" spans="1:15" x14ac:dyDescent="0.25">
      <c r="A783" s="20">
        <v>44537</v>
      </c>
      <c r="B783" s="1">
        <f t="shared" ref="B783" si="734">B782</f>
        <v>66</v>
      </c>
      <c r="C783" s="1" t="s">
        <v>348</v>
      </c>
      <c r="D783" s="1" t="s">
        <v>180</v>
      </c>
      <c r="E783" s="26">
        <f>+E782</f>
        <v>52.599999999999994</v>
      </c>
      <c r="F783" s="28">
        <f>+(F782-E782)/E782</f>
        <v>-1.9011406844105386E-3</v>
      </c>
      <c r="G783" s="17">
        <v>2</v>
      </c>
      <c r="H783" s="17" t="s">
        <v>9</v>
      </c>
      <c r="I783" s="30" t="s">
        <v>57</v>
      </c>
      <c r="J783" s="22">
        <v>0.65</v>
      </c>
      <c r="K783" s="22">
        <v>0.55000000000000004</v>
      </c>
      <c r="L783" s="8">
        <f t="shared" ref="L783:L793" si="735">+J783-K783</f>
        <v>9.9999999999999978E-2</v>
      </c>
      <c r="M783" s="24">
        <f t="shared" si="733"/>
        <v>1.9047619047619043E-3</v>
      </c>
      <c r="N783" s="14"/>
    </row>
    <row r="784" spans="1:15" x14ac:dyDescent="0.25">
      <c r="A784" s="20">
        <v>44537</v>
      </c>
      <c r="B784" s="1">
        <f t="shared" ref="B784" si="736">B782</f>
        <v>66</v>
      </c>
      <c r="C784" s="1" t="s">
        <v>348</v>
      </c>
      <c r="D784" s="1" t="s">
        <v>180</v>
      </c>
      <c r="E784" s="26" t="e">
        <f>+#REF!</f>
        <v>#REF!</v>
      </c>
      <c r="F784" s="26" t="e">
        <f>+#REF!</f>
        <v>#REF!</v>
      </c>
      <c r="G784" s="17">
        <v>3</v>
      </c>
      <c r="H784" s="17" t="s">
        <v>9</v>
      </c>
      <c r="I784" s="30" t="s">
        <v>58</v>
      </c>
      <c r="J784" s="22">
        <v>0.65</v>
      </c>
      <c r="K784" s="22">
        <v>0.55000000000000004</v>
      </c>
      <c r="L784" s="8">
        <f t="shared" si="735"/>
        <v>9.9999999999999978E-2</v>
      </c>
      <c r="M784" s="24">
        <f t="shared" si="733"/>
        <v>1.9047619047619043E-3</v>
      </c>
      <c r="N784" s="14"/>
    </row>
    <row r="785" spans="1:15" x14ac:dyDescent="0.25">
      <c r="A785" s="20">
        <v>44537</v>
      </c>
      <c r="B785" s="1">
        <f t="shared" ref="B785" si="737">B782</f>
        <v>66</v>
      </c>
      <c r="C785" s="1" t="s">
        <v>348</v>
      </c>
      <c r="D785" s="1" t="s">
        <v>180</v>
      </c>
      <c r="E785" s="26" t="e">
        <f t="shared" ref="E785:F785" si="738">+E784</f>
        <v>#REF!</v>
      </c>
      <c r="F785" s="26" t="e">
        <f t="shared" si="738"/>
        <v>#REF!</v>
      </c>
      <c r="G785" s="17">
        <v>4</v>
      </c>
      <c r="H785" s="17" t="s">
        <v>9</v>
      </c>
      <c r="I785" s="30" t="s">
        <v>22</v>
      </c>
      <c r="J785" s="22">
        <v>0.6</v>
      </c>
      <c r="K785" s="22">
        <v>0.55000000000000004</v>
      </c>
      <c r="L785" s="8">
        <f t="shared" si="735"/>
        <v>4.9999999999999933E-2</v>
      </c>
      <c r="M785" s="24">
        <f t="shared" si="733"/>
        <v>9.5238095238095108E-4</v>
      </c>
      <c r="N785" s="14"/>
    </row>
    <row r="786" spans="1:15" x14ac:dyDescent="0.25">
      <c r="A786" s="20">
        <v>44537</v>
      </c>
      <c r="B786" s="1">
        <f t="shared" ref="B786" si="739">B782</f>
        <v>66</v>
      </c>
      <c r="C786" s="1" t="s">
        <v>348</v>
      </c>
      <c r="D786" s="1" t="s">
        <v>180</v>
      </c>
      <c r="E786" s="26" t="e">
        <f t="shared" ref="E786:F786" si="740">+E785</f>
        <v>#REF!</v>
      </c>
      <c r="F786" s="26" t="e">
        <f t="shared" si="740"/>
        <v>#REF!</v>
      </c>
      <c r="G786" s="17">
        <v>5</v>
      </c>
      <c r="H786" s="17" t="s">
        <v>9</v>
      </c>
      <c r="I786" s="30" t="s">
        <v>34</v>
      </c>
      <c r="J786" s="22"/>
      <c r="K786" s="22"/>
      <c r="L786" s="8">
        <f t="shared" si="735"/>
        <v>0</v>
      </c>
      <c r="M786" s="24">
        <f t="shared" si="733"/>
        <v>0</v>
      </c>
      <c r="N786" s="14"/>
    </row>
    <row r="787" spans="1:15" x14ac:dyDescent="0.25">
      <c r="A787" s="20">
        <v>44537</v>
      </c>
      <c r="B787" s="1">
        <f t="shared" ref="B787" si="741">B782</f>
        <v>66</v>
      </c>
      <c r="C787" s="1" t="s">
        <v>348</v>
      </c>
      <c r="D787" s="1" t="s">
        <v>180</v>
      </c>
      <c r="E787" s="26" t="e">
        <f t="shared" ref="E787:F787" si="742">+E786</f>
        <v>#REF!</v>
      </c>
      <c r="F787" s="26" t="e">
        <f t="shared" si="742"/>
        <v>#REF!</v>
      </c>
      <c r="G787" s="17">
        <v>6</v>
      </c>
      <c r="H787" s="17" t="s">
        <v>9</v>
      </c>
      <c r="I787" s="30" t="s">
        <v>35</v>
      </c>
      <c r="J787" s="22"/>
      <c r="K787" s="22"/>
      <c r="L787" s="8">
        <f t="shared" si="735"/>
        <v>0</v>
      </c>
      <c r="M787" s="24">
        <f t="shared" si="733"/>
        <v>0</v>
      </c>
      <c r="N787" s="14"/>
    </row>
    <row r="788" spans="1:15" x14ac:dyDescent="0.25">
      <c r="A788" s="20">
        <v>44537</v>
      </c>
      <c r="B788" s="1">
        <f t="shared" ref="B788" si="743">B782</f>
        <v>66</v>
      </c>
      <c r="C788" s="1" t="s">
        <v>348</v>
      </c>
      <c r="D788" s="1" t="s">
        <v>180</v>
      </c>
      <c r="E788" s="26" t="e">
        <f t="shared" ref="E788:F788" si="744">+E787</f>
        <v>#REF!</v>
      </c>
      <c r="F788" s="26" t="e">
        <f t="shared" si="744"/>
        <v>#REF!</v>
      </c>
      <c r="G788" s="17">
        <v>7</v>
      </c>
      <c r="H788" s="17" t="s">
        <v>9</v>
      </c>
      <c r="I788" s="30" t="s">
        <v>36</v>
      </c>
      <c r="J788" s="22"/>
      <c r="K788" s="22"/>
      <c r="L788" s="8">
        <f t="shared" si="735"/>
        <v>0</v>
      </c>
      <c r="M788" s="24">
        <f t="shared" si="733"/>
        <v>0</v>
      </c>
      <c r="N788" s="14"/>
    </row>
    <row r="789" spans="1:15" x14ac:dyDescent="0.25">
      <c r="A789" s="20">
        <v>44537</v>
      </c>
      <c r="B789" s="1">
        <f t="shared" ref="B789" si="745">B782</f>
        <v>66</v>
      </c>
      <c r="C789" s="1" t="s">
        <v>348</v>
      </c>
      <c r="D789" s="1" t="s">
        <v>180</v>
      </c>
      <c r="E789" s="26" t="e">
        <f>+E788</f>
        <v>#REF!</v>
      </c>
      <c r="F789" s="26" t="e">
        <f>+F788</f>
        <v>#REF!</v>
      </c>
      <c r="G789" s="17">
        <v>8</v>
      </c>
      <c r="H789" s="17" t="s">
        <v>9</v>
      </c>
      <c r="I789" s="30" t="s">
        <v>59</v>
      </c>
      <c r="J789" s="22">
        <f>18.9+19.35+24.35</f>
        <v>62.6</v>
      </c>
      <c r="K789" s="22">
        <f>8.6+8.55+8.55</f>
        <v>25.7</v>
      </c>
      <c r="L789" s="8">
        <f t="shared" si="735"/>
        <v>36.900000000000006</v>
      </c>
      <c r="M789" s="24">
        <f t="shared" si="733"/>
        <v>0.70285714285714296</v>
      </c>
      <c r="N789" s="14"/>
    </row>
    <row r="790" spans="1:15" x14ac:dyDescent="0.25">
      <c r="A790" s="20">
        <v>44537</v>
      </c>
      <c r="B790" s="1">
        <f t="shared" ref="B790" si="746">B782</f>
        <v>66</v>
      </c>
      <c r="C790" s="1" t="s">
        <v>348</v>
      </c>
      <c r="D790" s="1" t="s">
        <v>180</v>
      </c>
      <c r="E790" s="26" t="e">
        <f t="shared" ref="E790:F790" si="747">+E789</f>
        <v>#REF!</v>
      </c>
      <c r="F790" s="26" t="e">
        <f t="shared" si="747"/>
        <v>#REF!</v>
      </c>
      <c r="G790" s="17">
        <v>9</v>
      </c>
      <c r="H790" s="17" t="s">
        <v>9</v>
      </c>
      <c r="I790" s="30" t="s">
        <v>38</v>
      </c>
      <c r="J790" s="22">
        <v>0.6</v>
      </c>
      <c r="K790" s="22">
        <v>0.55000000000000004</v>
      </c>
      <c r="L790" s="8">
        <f t="shared" si="735"/>
        <v>4.9999999999999933E-2</v>
      </c>
      <c r="M790" s="24">
        <f t="shared" si="733"/>
        <v>9.5238095238095108E-4</v>
      </c>
      <c r="N790" s="14"/>
    </row>
    <row r="791" spans="1:15" x14ac:dyDescent="0.25">
      <c r="A791" s="20">
        <v>44537</v>
      </c>
      <c r="B791" s="1">
        <f t="shared" ref="B791" si="748">B782</f>
        <v>66</v>
      </c>
      <c r="C791" s="1" t="s">
        <v>348</v>
      </c>
      <c r="D791" s="1" t="s">
        <v>180</v>
      </c>
      <c r="E791" s="26" t="e">
        <f t="shared" ref="E791:F791" si="749">+E790</f>
        <v>#REF!</v>
      </c>
      <c r="F791" s="26" t="e">
        <f t="shared" si="749"/>
        <v>#REF!</v>
      </c>
      <c r="G791" s="17">
        <v>10</v>
      </c>
      <c r="H791" s="17" t="s">
        <v>9</v>
      </c>
      <c r="I791" s="30" t="s">
        <v>23</v>
      </c>
      <c r="J791" s="22">
        <f>16.5+14.4</f>
        <v>30.9</v>
      </c>
      <c r="K791" s="22">
        <f>8.55+8.6</f>
        <v>17.149999999999999</v>
      </c>
      <c r="L791" s="8">
        <f t="shared" si="735"/>
        <v>13.75</v>
      </c>
      <c r="M791" s="24">
        <f t="shared" si="733"/>
        <v>0.26190476190476192</v>
      </c>
      <c r="N791" s="14"/>
    </row>
    <row r="792" spans="1:15" x14ac:dyDescent="0.25">
      <c r="A792" s="20">
        <v>44537</v>
      </c>
      <c r="B792" s="1">
        <f t="shared" ref="B792" si="750">B782</f>
        <v>66</v>
      </c>
      <c r="C792" s="1" t="s">
        <v>348</v>
      </c>
      <c r="D792" s="1" t="s">
        <v>180</v>
      </c>
      <c r="E792" s="26" t="e">
        <f t="shared" ref="E792:F792" si="751">+E791</f>
        <v>#REF!</v>
      </c>
      <c r="F792" s="26" t="e">
        <f t="shared" si="751"/>
        <v>#REF!</v>
      </c>
      <c r="G792" s="17">
        <v>11</v>
      </c>
      <c r="H792" s="17" t="s">
        <v>9</v>
      </c>
      <c r="I792" s="30" t="s">
        <v>60</v>
      </c>
      <c r="J792" s="22"/>
      <c r="K792" s="22"/>
      <c r="L792" s="8">
        <f t="shared" si="735"/>
        <v>0</v>
      </c>
      <c r="M792" s="24">
        <f t="shared" si="733"/>
        <v>0</v>
      </c>
      <c r="N792" s="14"/>
    </row>
    <row r="793" spans="1:15" ht="15.75" thickBot="1" x14ac:dyDescent="0.3">
      <c r="A793" s="20">
        <v>44537</v>
      </c>
      <c r="B793" s="57">
        <f t="shared" ref="B793" si="752">B782</f>
        <v>66</v>
      </c>
      <c r="C793" s="1" t="s">
        <v>348</v>
      </c>
      <c r="D793" s="1" t="s">
        <v>180</v>
      </c>
      <c r="E793" s="26" t="e">
        <f t="shared" ref="E793:F793" si="753">+E792</f>
        <v>#REF!</v>
      </c>
      <c r="F793" s="26" t="e">
        <f t="shared" si="753"/>
        <v>#REF!</v>
      </c>
      <c r="G793" s="18">
        <f>+G792+1</f>
        <v>12</v>
      </c>
      <c r="H793" s="18" t="s">
        <v>10</v>
      </c>
      <c r="I793" s="46" t="s">
        <v>10</v>
      </c>
      <c r="J793" s="22">
        <f>8.85+9.3</f>
        <v>18.149999999999999</v>
      </c>
      <c r="K793" s="63">
        <f>8.3+8.3</f>
        <v>16.600000000000001</v>
      </c>
      <c r="L793" s="8">
        <f t="shared" si="735"/>
        <v>1.5499999999999972</v>
      </c>
      <c r="M793" s="24">
        <f t="shared" si="733"/>
        <v>2.952380952380947E-2</v>
      </c>
      <c r="N793" s="14"/>
    </row>
    <row r="794" spans="1:15" x14ac:dyDescent="0.25">
      <c r="A794" s="19">
        <v>44537</v>
      </c>
      <c r="B794" s="15">
        <f t="shared" ref="B794" si="754">B782+1</f>
        <v>67</v>
      </c>
      <c r="C794" s="15" t="s">
        <v>349</v>
      </c>
      <c r="D794" s="15" t="s">
        <v>180</v>
      </c>
      <c r="E794" s="25">
        <f>47.2-1.2</f>
        <v>46</v>
      </c>
      <c r="F794" s="25">
        <f>+SUM(L794:L805)</f>
        <v>45.54999999999999</v>
      </c>
      <c r="G794" s="16">
        <v>1</v>
      </c>
      <c r="H794" s="16" t="s">
        <v>9</v>
      </c>
      <c r="I794" s="59" t="s">
        <v>56</v>
      </c>
      <c r="J794" s="21"/>
      <c r="K794" s="21"/>
      <c r="L794" s="12">
        <f>+J794-K794</f>
        <v>0</v>
      </c>
      <c r="M794" s="23">
        <f t="shared" ref="M794:M857" si="755">+L794/SUMIF(C:C,C794,L:L)</f>
        <v>0</v>
      </c>
      <c r="N794" s="13"/>
      <c r="O794" t="s">
        <v>358</v>
      </c>
    </row>
    <row r="795" spans="1:15" x14ac:dyDescent="0.25">
      <c r="A795" s="20">
        <v>44537</v>
      </c>
      <c r="B795" s="1">
        <f t="shared" ref="B795" si="756">B794</f>
        <v>67</v>
      </c>
      <c r="C795" s="1" t="s">
        <v>349</v>
      </c>
      <c r="D795" s="1" t="s">
        <v>180</v>
      </c>
      <c r="E795" s="26">
        <f>+E794</f>
        <v>46</v>
      </c>
      <c r="F795" s="28">
        <f>+(F794-E794)/E794</f>
        <v>-9.7826086956523898E-3</v>
      </c>
      <c r="G795" s="17">
        <v>2</v>
      </c>
      <c r="H795" s="17" t="s">
        <v>9</v>
      </c>
      <c r="I795" s="30" t="s">
        <v>57</v>
      </c>
      <c r="J795" s="22">
        <v>0.6</v>
      </c>
      <c r="K795" s="22">
        <v>0.55000000000000004</v>
      </c>
      <c r="L795" s="8">
        <f t="shared" ref="L795:L805" si="757">+J795-K795</f>
        <v>4.9999999999999933E-2</v>
      </c>
      <c r="M795" s="24">
        <f t="shared" si="755"/>
        <v>1.0976948408342468E-3</v>
      </c>
      <c r="N795" s="14"/>
    </row>
    <row r="796" spans="1:15" x14ac:dyDescent="0.25">
      <c r="A796" s="20">
        <v>44537</v>
      </c>
      <c r="B796" s="1">
        <f t="shared" ref="B796" si="758">B794</f>
        <v>67</v>
      </c>
      <c r="C796" s="1" t="s">
        <v>349</v>
      </c>
      <c r="D796" s="1" t="s">
        <v>180</v>
      </c>
      <c r="E796" s="26" t="e">
        <f>+#REF!</f>
        <v>#REF!</v>
      </c>
      <c r="F796" s="26" t="e">
        <f>+#REF!</f>
        <v>#REF!</v>
      </c>
      <c r="G796" s="17">
        <v>3</v>
      </c>
      <c r="H796" s="17" t="s">
        <v>9</v>
      </c>
      <c r="I796" s="30" t="s">
        <v>58</v>
      </c>
      <c r="J796" s="22">
        <v>0.6</v>
      </c>
      <c r="K796" s="22">
        <v>0.55000000000000004</v>
      </c>
      <c r="L796" s="8">
        <f t="shared" si="757"/>
        <v>4.9999999999999933E-2</v>
      </c>
      <c r="M796" s="24">
        <f t="shared" si="755"/>
        <v>1.0976948408342468E-3</v>
      </c>
      <c r="N796" s="14"/>
    </row>
    <row r="797" spans="1:15" x14ac:dyDescent="0.25">
      <c r="A797" s="20">
        <v>44537</v>
      </c>
      <c r="B797" s="1">
        <f t="shared" ref="B797" si="759">B794</f>
        <v>67</v>
      </c>
      <c r="C797" s="1" t="s">
        <v>349</v>
      </c>
      <c r="D797" s="1" t="s">
        <v>180</v>
      </c>
      <c r="E797" s="26" t="e">
        <f t="shared" ref="E797:F797" si="760">+E796</f>
        <v>#REF!</v>
      </c>
      <c r="F797" s="26" t="e">
        <f t="shared" si="760"/>
        <v>#REF!</v>
      </c>
      <c r="G797" s="17">
        <v>4</v>
      </c>
      <c r="H797" s="17" t="s">
        <v>9</v>
      </c>
      <c r="I797" s="30" t="s">
        <v>22</v>
      </c>
      <c r="J797" s="22">
        <v>0.6</v>
      </c>
      <c r="K797" s="22">
        <v>0.55000000000000004</v>
      </c>
      <c r="L797" s="8">
        <f t="shared" si="757"/>
        <v>4.9999999999999933E-2</v>
      </c>
      <c r="M797" s="24">
        <f t="shared" si="755"/>
        <v>1.0976948408342468E-3</v>
      </c>
      <c r="N797" s="14"/>
    </row>
    <row r="798" spans="1:15" x14ac:dyDescent="0.25">
      <c r="A798" s="20">
        <v>44537</v>
      </c>
      <c r="B798" s="1">
        <f t="shared" ref="B798" si="761">B794</f>
        <v>67</v>
      </c>
      <c r="C798" s="1" t="s">
        <v>349</v>
      </c>
      <c r="D798" s="1" t="s">
        <v>180</v>
      </c>
      <c r="E798" s="26" t="e">
        <f t="shared" ref="E798:F798" si="762">+E797</f>
        <v>#REF!</v>
      </c>
      <c r="F798" s="26" t="e">
        <f t="shared" si="762"/>
        <v>#REF!</v>
      </c>
      <c r="G798" s="17">
        <v>5</v>
      </c>
      <c r="H798" s="17" t="s">
        <v>9</v>
      </c>
      <c r="I798" s="30" t="s">
        <v>34</v>
      </c>
      <c r="J798" s="22"/>
      <c r="K798" s="22"/>
      <c r="L798" s="8">
        <f t="shared" si="757"/>
        <v>0</v>
      </c>
      <c r="M798" s="24">
        <f t="shared" si="755"/>
        <v>0</v>
      </c>
      <c r="N798" s="14"/>
    </row>
    <row r="799" spans="1:15" x14ac:dyDescent="0.25">
      <c r="A799" s="20">
        <v>44537</v>
      </c>
      <c r="B799" s="1">
        <f t="shared" ref="B799" si="763">B794</f>
        <v>67</v>
      </c>
      <c r="C799" s="1" t="s">
        <v>349</v>
      </c>
      <c r="D799" s="1" t="s">
        <v>180</v>
      </c>
      <c r="E799" s="26" t="e">
        <f t="shared" ref="E799:F799" si="764">+E798</f>
        <v>#REF!</v>
      </c>
      <c r="F799" s="26" t="e">
        <f t="shared" si="764"/>
        <v>#REF!</v>
      </c>
      <c r="G799" s="17">
        <v>6</v>
      </c>
      <c r="H799" s="17" t="s">
        <v>9</v>
      </c>
      <c r="I799" s="30" t="s">
        <v>35</v>
      </c>
      <c r="J799" s="22"/>
      <c r="K799" s="22"/>
      <c r="L799" s="8">
        <f t="shared" si="757"/>
        <v>0</v>
      </c>
      <c r="M799" s="24">
        <f t="shared" si="755"/>
        <v>0</v>
      </c>
      <c r="N799" s="14"/>
    </row>
    <row r="800" spans="1:15" x14ac:dyDescent="0.25">
      <c r="A800" s="20">
        <v>44537</v>
      </c>
      <c r="B800" s="1">
        <f t="shared" ref="B800" si="765">B794</f>
        <v>67</v>
      </c>
      <c r="C800" s="1" t="s">
        <v>349</v>
      </c>
      <c r="D800" s="1" t="s">
        <v>180</v>
      </c>
      <c r="E800" s="26" t="e">
        <f t="shared" ref="E800:F800" si="766">+E799</f>
        <v>#REF!</v>
      </c>
      <c r="F800" s="26" t="e">
        <f t="shared" si="766"/>
        <v>#REF!</v>
      </c>
      <c r="G800" s="17">
        <v>7</v>
      </c>
      <c r="H800" s="17" t="s">
        <v>9</v>
      </c>
      <c r="I800" s="30" t="s">
        <v>36</v>
      </c>
      <c r="J800" s="22"/>
      <c r="K800" s="22"/>
      <c r="L800" s="8">
        <f t="shared" si="757"/>
        <v>0</v>
      </c>
      <c r="M800" s="24">
        <f t="shared" si="755"/>
        <v>0</v>
      </c>
      <c r="N800" s="14"/>
    </row>
    <row r="801" spans="1:15" x14ac:dyDescent="0.25">
      <c r="A801" s="20">
        <v>44537</v>
      </c>
      <c r="B801" s="1">
        <f t="shared" ref="B801" si="767">B794</f>
        <v>67</v>
      </c>
      <c r="C801" s="1" t="s">
        <v>349</v>
      </c>
      <c r="D801" s="1" t="s">
        <v>180</v>
      </c>
      <c r="E801" s="26" t="e">
        <f>+E800</f>
        <v>#REF!</v>
      </c>
      <c r="F801" s="26" t="e">
        <f>+F800</f>
        <v>#REF!</v>
      </c>
      <c r="G801" s="17">
        <v>8</v>
      </c>
      <c r="H801" s="17" t="s">
        <v>9</v>
      </c>
      <c r="I801" s="30" t="s">
        <v>59</v>
      </c>
      <c r="J801" s="22">
        <f>15.95+15.65+16.9+19.85</f>
        <v>68.349999999999994</v>
      </c>
      <c r="K801" s="22">
        <f>8.3+8.6+8.55+8.5</f>
        <v>33.950000000000003</v>
      </c>
      <c r="L801" s="8">
        <f t="shared" si="757"/>
        <v>34.399999999999991</v>
      </c>
      <c r="M801" s="24">
        <f t="shared" si="755"/>
        <v>0.75521405049396262</v>
      </c>
      <c r="N801" s="14"/>
    </row>
    <row r="802" spans="1:15" x14ac:dyDescent="0.25">
      <c r="A802" s="20">
        <v>44537</v>
      </c>
      <c r="B802" s="1">
        <f t="shared" ref="B802" si="768">B794</f>
        <v>67</v>
      </c>
      <c r="C802" s="1" t="s">
        <v>349</v>
      </c>
      <c r="D802" s="1" t="s">
        <v>180</v>
      </c>
      <c r="E802" s="26" t="e">
        <f t="shared" ref="E802:F802" si="769">+E801</f>
        <v>#REF!</v>
      </c>
      <c r="F802" s="26" t="e">
        <f t="shared" si="769"/>
        <v>#REF!</v>
      </c>
      <c r="G802" s="17">
        <v>9</v>
      </c>
      <c r="H802" s="17" t="s">
        <v>9</v>
      </c>
      <c r="I802" s="30" t="s">
        <v>38</v>
      </c>
      <c r="J802" s="22"/>
      <c r="K802" s="22"/>
      <c r="L802" s="8">
        <f t="shared" si="757"/>
        <v>0</v>
      </c>
      <c r="M802" s="24">
        <f t="shared" si="755"/>
        <v>0</v>
      </c>
      <c r="N802" s="14"/>
    </row>
    <row r="803" spans="1:15" x14ac:dyDescent="0.25">
      <c r="A803" s="20">
        <v>44537</v>
      </c>
      <c r="B803" s="1">
        <f t="shared" ref="B803" si="770">B794</f>
        <v>67</v>
      </c>
      <c r="C803" s="1" t="s">
        <v>349</v>
      </c>
      <c r="D803" s="1" t="s">
        <v>180</v>
      </c>
      <c r="E803" s="26" t="e">
        <f t="shared" ref="E803:F803" si="771">+E802</f>
        <v>#REF!</v>
      </c>
      <c r="F803" s="26" t="e">
        <f t="shared" si="771"/>
        <v>#REF!</v>
      </c>
      <c r="G803" s="17">
        <v>10</v>
      </c>
      <c r="H803" s="17" t="s">
        <v>9</v>
      </c>
      <c r="I803" s="30" t="s">
        <v>23</v>
      </c>
      <c r="J803" s="22">
        <f>12.3+14.3</f>
        <v>26.6</v>
      </c>
      <c r="K803" s="22">
        <f>8.3+8.55</f>
        <v>16.850000000000001</v>
      </c>
      <c r="L803" s="8">
        <f t="shared" si="757"/>
        <v>9.75</v>
      </c>
      <c r="M803" s="24">
        <f t="shared" si="755"/>
        <v>0.21405049396267842</v>
      </c>
      <c r="N803" s="14"/>
    </row>
    <row r="804" spans="1:15" x14ac:dyDescent="0.25">
      <c r="A804" s="20">
        <v>44537</v>
      </c>
      <c r="B804" s="1">
        <f t="shared" ref="B804" si="772">B794</f>
        <v>67</v>
      </c>
      <c r="C804" s="1" t="s">
        <v>349</v>
      </c>
      <c r="D804" s="1" t="s">
        <v>180</v>
      </c>
      <c r="E804" s="26" t="e">
        <f t="shared" ref="E804:F804" si="773">+E803</f>
        <v>#REF!</v>
      </c>
      <c r="F804" s="26" t="e">
        <f t="shared" si="773"/>
        <v>#REF!</v>
      </c>
      <c r="G804" s="17">
        <v>11</v>
      </c>
      <c r="H804" s="17" t="s">
        <v>9</v>
      </c>
      <c r="I804" s="30" t="s">
        <v>60</v>
      </c>
      <c r="J804" s="22"/>
      <c r="K804" s="22"/>
      <c r="L804" s="8">
        <f t="shared" si="757"/>
        <v>0</v>
      </c>
      <c r="M804" s="24">
        <f t="shared" si="755"/>
        <v>0</v>
      </c>
      <c r="N804" s="14"/>
    </row>
    <row r="805" spans="1:15" ht="15.75" thickBot="1" x14ac:dyDescent="0.3">
      <c r="A805" s="20">
        <v>44537</v>
      </c>
      <c r="B805" s="57">
        <f t="shared" ref="B805" si="774">B794</f>
        <v>67</v>
      </c>
      <c r="C805" s="1" t="s">
        <v>349</v>
      </c>
      <c r="D805" s="1" t="s">
        <v>180</v>
      </c>
      <c r="E805" s="26" t="e">
        <f t="shared" ref="E805:F805" si="775">+E804</f>
        <v>#REF!</v>
      </c>
      <c r="F805" s="26" t="e">
        <f t="shared" si="775"/>
        <v>#REF!</v>
      </c>
      <c r="G805" s="18">
        <f>+G804+1</f>
        <v>12</v>
      </c>
      <c r="H805" s="18" t="s">
        <v>10</v>
      </c>
      <c r="I805" s="46" t="s">
        <v>10</v>
      </c>
      <c r="J805" s="22">
        <f>8.8+9.3</f>
        <v>18.100000000000001</v>
      </c>
      <c r="K805" s="63">
        <f>8.55+8.3</f>
        <v>16.850000000000001</v>
      </c>
      <c r="L805" s="8">
        <f t="shared" si="757"/>
        <v>1.25</v>
      </c>
      <c r="M805" s="24">
        <f t="shared" si="755"/>
        <v>2.7442371020856209E-2</v>
      </c>
      <c r="N805" s="14"/>
    </row>
    <row r="806" spans="1:15" x14ac:dyDescent="0.25">
      <c r="A806" s="19">
        <v>44537</v>
      </c>
      <c r="B806" s="15">
        <f t="shared" ref="B806" si="776">B794+1</f>
        <v>68</v>
      </c>
      <c r="C806" s="15" t="s">
        <v>350</v>
      </c>
      <c r="D806" s="15" t="s">
        <v>180</v>
      </c>
      <c r="E806" s="25">
        <f>27.6-1.2</f>
        <v>26.400000000000002</v>
      </c>
      <c r="F806" s="25">
        <f>+SUM(L806:L817)</f>
        <v>26.300000000000004</v>
      </c>
      <c r="G806" s="16">
        <v>1</v>
      </c>
      <c r="H806" s="16" t="s">
        <v>9</v>
      </c>
      <c r="I806" s="59" t="s">
        <v>56</v>
      </c>
      <c r="J806" s="21"/>
      <c r="K806" s="21"/>
      <c r="L806" s="12">
        <f>+J806-K806</f>
        <v>0</v>
      </c>
      <c r="M806" s="23">
        <f t="shared" si="755"/>
        <v>0</v>
      </c>
      <c r="N806" s="13"/>
      <c r="O806" t="s">
        <v>358</v>
      </c>
    </row>
    <row r="807" spans="1:15" x14ac:dyDescent="0.25">
      <c r="A807" s="20">
        <v>44537</v>
      </c>
      <c r="B807" s="1">
        <f t="shared" ref="B807" si="777">B806</f>
        <v>68</v>
      </c>
      <c r="C807" s="1" t="s">
        <v>350</v>
      </c>
      <c r="D807" s="1" t="s">
        <v>180</v>
      </c>
      <c r="E807" s="26">
        <f>+E806</f>
        <v>26.400000000000002</v>
      </c>
      <c r="F807" s="28">
        <f>+(F806-E806)/E806</f>
        <v>-3.7878787878787069E-3</v>
      </c>
      <c r="G807" s="17">
        <v>2</v>
      </c>
      <c r="H807" s="17" t="s">
        <v>9</v>
      </c>
      <c r="I807" s="30" t="s">
        <v>57</v>
      </c>
      <c r="J807" s="22">
        <v>0.6</v>
      </c>
      <c r="K807" s="22">
        <v>0.55000000000000004</v>
      </c>
      <c r="L807" s="8">
        <f t="shared" ref="L807:L817" si="778">+J807-K807</f>
        <v>4.9999999999999933E-2</v>
      </c>
      <c r="M807" s="24">
        <f t="shared" si="755"/>
        <v>1.9011406844106436E-3</v>
      </c>
      <c r="N807" s="14"/>
    </row>
    <row r="808" spans="1:15" x14ac:dyDescent="0.25">
      <c r="A808" s="20">
        <v>44537</v>
      </c>
      <c r="B808" s="1">
        <f t="shared" ref="B808" si="779">B806</f>
        <v>68</v>
      </c>
      <c r="C808" s="1" t="s">
        <v>350</v>
      </c>
      <c r="D808" s="1" t="s">
        <v>180</v>
      </c>
      <c r="E808" s="26" t="e">
        <f>+#REF!</f>
        <v>#REF!</v>
      </c>
      <c r="F808" s="26" t="e">
        <f>+#REF!</f>
        <v>#REF!</v>
      </c>
      <c r="G808" s="17">
        <v>3</v>
      </c>
      <c r="H808" s="17" t="s">
        <v>9</v>
      </c>
      <c r="I808" s="30" t="s">
        <v>58</v>
      </c>
      <c r="J808" s="22"/>
      <c r="K808" s="22"/>
      <c r="L808" s="8">
        <f t="shared" si="778"/>
        <v>0</v>
      </c>
      <c r="M808" s="24">
        <f t="shared" si="755"/>
        <v>0</v>
      </c>
      <c r="N808" s="14"/>
    </row>
    <row r="809" spans="1:15" x14ac:dyDescent="0.25">
      <c r="A809" s="20">
        <v>44537</v>
      </c>
      <c r="B809" s="1">
        <f t="shared" ref="B809" si="780">B806</f>
        <v>68</v>
      </c>
      <c r="C809" s="1" t="s">
        <v>350</v>
      </c>
      <c r="D809" s="1" t="s">
        <v>180</v>
      </c>
      <c r="E809" s="26" t="e">
        <f t="shared" ref="E809:F809" si="781">+E808</f>
        <v>#REF!</v>
      </c>
      <c r="F809" s="26" t="e">
        <f t="shared" si="781"/>
        <v>#REF!</v>
      </c>
      <c r="G809" s="17">
        <v>4</v>
      </c>
      <c r="H809" s="17" t="s">
        <v>9</v>
      </c>
      <c r="I809" s="30" t="s">
        <v>22</v>
      </c>
      <c r="J809" s="22"/>
      <c r="K809" s="22"/>
      <c r="L809" s="8">
        <f t="shared" si="778"/>
        <v>0</v>
      </c>
      <c r="M809" s="24">
        <f t="shared" si="755"/>
        <v>0</v>
      </c>
      <c r="N809" s="14"/>
    </row>
    <row r="810" spans="1:15" x14ac:dyDescent="0.25">
      <c r="A810" s="20">
        <v>44537</v>
      </c>
      <c r="B810" s="1">
        <f t="shared" ref="B810" si="782">B806</f>
        <v>68</v>
      </c>
      <c r="C810" s="1" t="s">
        <v>350</v>
      </c>
      <c r="D810" s="1" t="s">
        <v>180</v>
      </c>
      <c r="E810" s="26" t="e">
        <f t="shared" ref="E810:F810" si="783">+E809</f>
        <v>#REF!</v>
      </c>
      <c r="F810" s="26" t="e">
        <f t="shared" si="783"/>
        <v>#REF!</v>
      </c>
      <c r="G810" s="17">
        <v>5</v>
      </c>
      <c r="H810" s="17" t="s">
        <v>9</v>
      </c>
      <c r="I810" s="30" t="s">
        <v>34</v>
      </c>
      <c r="J810" s="22"/>
      <c r="K810" s="22"/>
      <c r="L810" s="8">
        <f t="shared" si="778"/>
        <v>0</v>
      </c>
      <c r="M810" s="24">
        <f t="shared" si="755"/>
        <v>0</v>
      </c>
      <c r="N810" s="14"/>
    </row>
    <row r="811" spans="1:15" x14ac:dyDescent="0.25">
      <c r="A811" s="20">
        <v>44537</v>
      </c>
      <c r="B811" s="1">
        <f t="shared" ref="B811" si="784">B806</f>
        <v>68</v>
      </c>
      <c r="C811" s="1" t="s">
        <v>350</v>
      </c>
      <c r="D811" s="1" t="s">
        <v>180</v>
      </c>
      <c r="E811" s="26" t="e">
        <f t="shared" ref="E811:F811" si="785">+E810</f>
        <v>#REF!</v>
      </c>
      <c r="F811" s="26" t="e">
        <f t="shared" si="785"/>
        <v>#REF!</v>
      </c>
      <c r="G811" s="17">
        <v>6</v>
      </c>
      <c r="H811" s="17" t="s">
        <v>9</v>
      </c>
      <c r="I811" s="30" t="s">
        <v>35</v>
      </c>
      <c r="J811" s="22"/>
      <c r="K811" s="22"/>
      <c r="L811" s="8">
        <f t="shared" si="778"/>
        <v>0</v>
      </c>
      <c r="M811" s="24">
        <f t="shared" si="755"/>
        <v>0</v>
      </c>
      <c r="N811" s="14"/>
    </row>
    <row r="812" spans="1:15" x14ac:dyDescent="0.25">
      <c r="A812" s="20">
        <v>44537</v>
      </c>
      <c r="B812" s="1">
        <f t="shared" ref="B812" si="786">B806</f>
        <v>68</v>
      </c>
      <c r="C812" s="1" t="s">
        <v>350</v>
      </c>
      <c r="D812" s="1" t="s">
        <v>180</v>
      </c>
      <c r="E812" s="26" t="e">
        <f t="shared" ref="E812:F812" si="787">+E811</f>
        <v>#REF!</v>
      </c>
      <c r="F812" s="26" t="e">
        <f t="shared" si="787"/>
        <v>#REF!</v>
      </c>
      <c r="G812" s="17">
        <v>7</v>
      </c>
      <c r="H812" s="17" t="s">
        <v>9</v>
      </c>
      <c r="I812" s="30" t="s">
        <v>36</v>
      </c>
      <c r="J812" s="22"/>
      <c r="K812" s="22"/>
      <c r="L812" s="8">
        <f t="shared" si="778"/>
        <v>0</v>
      </c>
      <c r="M812" s="24">
        <f t="shared" si="755"/>
        <v>0</v>
      </c>
      <c r="N812" s="14"/>
    </row>
    <row r="813" spans="1:15" x14ac:dyDescent="0.25">
      <c r="A813" s="20">
        <v>44537</v>
      </c>
      <c r="B813" s="1">
        <f t="shared" ref="B813" si="788">B806</f>
        <v>68</v>
      </c>
      <c r="C813" s="1" t="s">
        <v>350</v>
      </c>
      <c r="D813" s="1" t="s">
        <v>180</v>
      </c>
      <c r="E813" s="26" t="e">
        <f>+E812</f>
        <v>#REF!</v>
      </c>
      <c r="F813" s="26" t="e">
        <f>+F812</f>
        <v>#REF!</v>
      </c>
      <c r="G813" s="17">
        <v>8</v>
      </c>
      <c r="H813" s="17" t="s">
        <v>9</v>
      </c>
      <c r="I813" s="30" t="s">
        <v>59</v>
      </c>
      <c r="J813" s="22">
        <f>14.5+13.35+12.75+18.5</f>
        <v>59.1</v>
      </c>
      <c r="K813" s="22">
        <f>8.6+8.55+8.3+8.55</f>
        <v>34</v>
      </c>
      <c r="L813" s="8">
        <f t="shared" si="778"/>
        <v>25.1</v>
      </c>
      <c r="M813" s="24">
        <f t="shared" si="755"/>
        <v>0.95437262357414443</v>
      </c>
      <c r="N813" s="14"/>
    </row>
    <row r="814" spans="1:15" x14ac:dyDescent="0.25">
      <c r="A814" s="20">
        <v>44537</v>
      </c>
      <c r="B814" s="1">
        <f t="shared" ref="B814" si="789">B806</f>
        <v>68</v>
      </c>
      <c r="C814" s="1" t="s">
        <v>350</v>
      </c>
      <c r="D814" s="1" t="s">
        <v>180</v>
      </c>
      <c r="E814" s="26" t="e">
        <f t="shared" ref="E814:F814" si="790">+E813</f>
        <v>#REF!</v>
      </c>
      <c r="F814" s="26" t="e">
        <f t="shared" si="790"/>
        <v>#REF!</v>
      </c>
      <c r="G814" s="17">
        <v>9</v>
      </c>
      <c r="H814" s="17" t="s">
        <v>9</v>
      </c>
      <c r="I814" s="30" t="s">
        <v>38</v>
      </c>
      <c r="J814" s="22"/>
      <c r="K814" s="22"/>
      <c r="L814" s="8">
        <f t="shared" si="778"/>
        <v>0</v>
      </c>
      <c r="M814" s="24">
        <f t="shared" si="755"/>
        <v>0</v>
      </c>
      <c r="N814" s="14"/>
    </row>
    <row r="815" spans="1:15" x14ac:dyDescent="0.25">
      <c r="A815" s="20">
        <v>44537</v>
      </c>
      <c r="B815" s="1">
        <f t="shared" ref="B815" si="791">B806</f>
        <v>68</v>
      </c>
      <c r="C815" s="1" t="s">
        <v>350</v>
      </c>
      <c r="D815" s="1" t="s">
        <v>180</v>
      </c>
      <c r="E815" s="26" t="e">
        <f t="shared" ref="E815:F815" si="792">+E814</f>
        <v>#REF!</v>
      </c>
      <c r="F815" s="26" t="e">
        <f t="shared" si="792"/>
        <v>#REF!</v>
      </c>
      <c r="G815" s="17">
        <v>10</v>
      </c>
      <c r="H815" s="17" t="s">
        <v>9</v>
      </c>
      <c r="I815" s="30" t="s">
        <v>23</v>
      </c>
      <c r="J815" s="22">
        <f>9.15+8.8</f>
        <v>17.950000000000003</v>
      </c>
      <c r="K815" s="22">
        <f>8.55+8.6</f>
        <v>17.149999999999999</v>
      </c>
      <c r="L815" s="8">
        <f t="shared" si="778"/>
        <v>0.80000000000000426</v>
      </c>
      <c r="M815" s="24">
        <f t="shared" si="755"/>
        <v>3.0418250950570498E-2</v>
      </c>
      <c r="N815" s="14"/>
    </row>
    <row r="816" spans="1:15" x14ac:dyDescent="0.25">
      <c r="A816" s="20">
        <v>44537</v>
      </c>
      <c r="B816" s="1">
        <f t="shared" ref="B816" si="793">B806</f>
        <v>68</v>
      </c>
      <c r="C816" s="1" t="s">
        <v>350</v>
      </c>
      <c r="D816" s="1" t="s">
        <v>180</v>
      </c>
      <c r="E816" s="26" t="e">
        <f t="shared" ref="E816:F816" si="794">+E815</f>
        <v>#REF!</v>
      </c>
      <c r="F816" s="26" t="e">
        <f t="shared" si="794"/>
        <v>#REF!</v>
      </c>
      <c r="G816" s="17">
        <v>11</v>
      </c>
      <c r="H816" s="17" t="s">
        <v>9</v>
      </c>
      <c r="I816" s="30" t="s">
        <v>60</v>
      </c>
      <c r="J816" s="22"/>
      <c r="K816" s="22"/>
      <c r="L816" s="8">
        <f t="shared" si="778"/>
        <v>0</v>
      </c>
      <c r="M816" s="24">
        <f t="shared" si="755"/>
        <v>0</v>
      </c>
      <c r="N816" s="14"/>
    </row>
    <row r="817" spans="1:15" ht="15.75" thickBot="1" x14ac:dyDescent="0.3">
      <c r="A817" s="20">
        <v>44537</v>
      </c>
      <c r="B817" s="57">
        <f t="shared" ref="B817" si="795">B806</f>
        <v>68</v>
      </c>
      <c r="C817" s="1" t="s">
        <v>350</v>
      </c>
      <c r="D817" s="1" t="s">
        <v>180</v>
      </c>
      <c r="E817" s="26" t="e">
        <f t="shared" ref="E817:F817" si="796">+E816</f>
        <v>#REF!</v>
      </c>
      <c r="F817" s="26" t="e">
        <f t="shared" si="796"/>
        <v>#REF!</v>
      </c>
      <c r="G817" s="18">
        <f>+G816+1</f>
        <v>12</v>
      </c>
      <c r="H817" s="18" t="s">
        <v>10</v>
      </c>
      <c r="I817" s="46" t="s">
        <v>10</v>
      </c>
      <c r="J817" s="22">
        <f>8.65</f>
        <v>8.65</v>
      </c>
      <c r="K817" s="63">
        <f>8.3</f>
        <v>8.3000000000000007</v>
      </c>
      <c r="L817" s="8">
        <f t="shared" si="778"/>
        <v>0.34999999999999964</v>
      </c>
      <c r="M817" s="24">
        <f t="shared" si="755"/>
        <v>1.3307984790874508E-2</v>
      </c>
      <c r="N817" s="14"/>
    </row>
    <row r="818" spans="1:15" x14ac:dyDescent="0.25">
      <c r="A818" s="19">
        <v>44537</v>
      </c>
      <c r="B818" s="15">
        <f t="shared" ref="B818" si="797">B806+1</f>
        <v>69</v>
      </c>
      <c r="C818" s="15" t="s">
        <v>351</v>
      </c>
      <c r="D818" s="15" t="s">
        <v>23</v>
      </c>
      <c r="E818" s="25">
        <f>32.9-1.2</f>
        <v>31.7</v>
      </c>
      <c r="F818" s="25">
        <f>+SUM(L818:L829)</f>
        <v>30.049999999999997</v>
      </c>
      <c r="G818" s="16">
        <v>1</v>
      </c>
      <c r="H818" s="16" t="s">
        <v>9</v>
      </c>
      <c r="I818" s="59" t="s">
        <v>56</v>
      </c>
      <c r="J818" s="21"/>
      <c r="K818" s="21"/>
      <c r="L818" s="12">
        <f>+J818-K818</f>
        <v>0</v>
      </c>
      <c r="M818" s="23">
        <f t="shared" si="755"/>
        <v>0</v>
      </c>
      <c r="N818" s="13"/>
      <c r="O818" t="s">
        <v>358</v>
      </c>
    </row>
    <row r="819" spans="1:15" x14ac:dyDescent="0.25">
      <c r="A819" s="20">
        <v>44537</v>
      </c>
      <c r="B819" s="1">
        <f t="shared" ref="B819" si="798">B818</f>
        <v>69</v>
      </c>
      <c r="C819" s="1" t="s">
        <v>351</v>
      </c>
      <c r="D819" s="1" t="s">
        <v>23</v>
      </c>
      <c r="E819" s="26">
        <f>+E818</f>
        <v>31.7</v>
      </c>
      <c r="F819" s="28">
        <f>+(F818-E818)/E818</f>
        <v>-5.2050473186119939E-2</v>
      </c>
      <c r="G819" s="17">
        <v>2</v>
      </c>
      <c r="H819" s="17" t="s">
        <v>9</v>
      </c>
      <c r="I819" s="30" t="s">
        <v>57</v>
      </c>
      <c r="J819" s="22">
        <v>0.6</v>
      </c>
      <c r="K819" s="22">
        <v>0.55000000000000004</v>
      </c>
      <c r="L819" s="8">
        <f t="shared" ref="L819:L829" si="799">+J819-K819</f>
        <v>4.9999999999999933E-2</v>
      </c>
      <c r="M819" s="24">
        <f t="shared" si="755"/>
        <v>1.6638935108153057E-3</v>
      </c>
      <c r="N819" s="14"/>
    </row>
    <row r="820" spans="1:15" x14ac:dyDescent="0.25">
      <c r="A820" s="20">
        <v>44537</v>
      </c>
      <c r="B820" s="1">
        <f t="shared" ref="B820" si="800">B818</f>
        <v>69</v>
      </c>
      <c r="C820" s="1" t="s">
        <v>351</v>
      </c>
      <c r="D820" s="1" t="s">
        <v>23</v>
      </c>
      <c r="E820" s="26" t="e">
        <f>+#REF!</f>
        <v>#REF!</v>
      </c>
      <c r="F820" s="26" t="e">
        <f>+#REF!</f>
        <v>#REF!</v>
      </c>
      <c r="G820" s="17">
        <v>3</v>
      </c>
      <c r="H820" s="17" t="s">
        <v>9</v>
      </c>
      <c r="I820" s="30" t="s">
        <v>58</v>
      </c>
      <c r="J820" s="22">
        <v>0.6</v>
      </c>
      <c r="K820" s="22">
        <v>0.55000000000000004</v>
      </c>
      <c r="L820" s="8">
        <f t="shared" si="799"/>
        <v>4.9999999999999933E-2</v>
      </c>
      <c r="M820" s="24">
        <f t="shared" si="755"/>
        <v>1.6638935108153057E-3</v>
      </c>
      <c r="N820" s="14"/>
    </row>
    <row r="821" spans="1:15" x14ac:dyDescent="0.25">
      <c r="A821" s="20">
        <v>44537</v>
      </c>
      <c r="B821" s="1">
        <f t="shared" ref="B821" si="801">B818</f>
        <v>69</v>
      </c>
      <c r="C821" s="1" t="s">
        <v>351</v>
      </c>
      <c r="D821" s="1" t="s">
        <v>23</v>
      </c>
      <c r="E821" s="26" t="e">
        <f t="shared" ref="E821:F821" si="802">+E820</f>
        <v>#REF!</v>
      </c>
      <c r="F821" s="26" t="e">
        <f t="shared" si="802"/>
        <v>#REF!</v>
      </c>
      <c r="G821" s="17">
        <v>4</v>
      </c>
      <c r="H821" s="17" t="s">
        <v>9</v>
      </c>
      <c r="I821" s="30" t="s">
        <v>22</v>
      </c>
      <c r="J821" s="22">
        <v>0.6</v>
      </c>
      <c r="K821" s="22">
        <v>0.55000000000000004</v>
      </c>
      <c r="L821" s="8">
        <f t="shared" si="799"/>
        <v>4.9999999999999933E-2</v>
      </c>
      <c r="M821" s="24">
        <f t="shared" si="755"/>
        <v>1.6638935108153057E-3</v>
      </c>
      <c r="N821" s="14"/>
    </row>
    <row r="822" spans="1:15" x14ac:dyDescent="0.25">
      <c r="A822" s="20">
        <v>44537</v>
      </c>
      <c r="B822" s="1">
        <f t="shared" ref="B822" si="803">B818</f>
        <v>69</v>
      </c>
      <c r="C822" s="1" t="s">
        <v>351</v>
      </c>
      <c r="D822" s="1" t="s">
        <v>23</v>
      </c>
      <c r="E822" s="26" t="e">
        <f t="shared" ref="E822:F822" si="804">+E821</f>
        <v>#REF!</v>
      </c>
      <c r="F822" s="26" t="e">
        <f t="shared" si="804"/>
        <v>#REF!</v>
      </c>
      <c r="G822" s="17">
        <v>5</v>
      </c>
      <c r="H822" s="17" t="s">
        <v>9</v>
      </c>
      <c r="I822" s="30" t="s">
        <v>34</v>
      </c>
      <c r="J822" s="22"/>
      <c r="K822" s="22"/>
      <c r="L822" s="8">
        <f t="shared" si="799"/>
        <v>0</v>
      </c>
      <c r="M822" s="24">
        <f t="shared" si="755"/>
        <v>0</v>
      </c>
      <c r="N822" s="14"/>
    </row>
    <row r="823" spans="1:15" x14ac:dyDescent="0.25">
      <c r="A823" s="20">
        <v>44537</v>
      </c>
      <c r="B823" s="1">
        <f t="shared" ref="B823" si="805">B818</f>
        <v>69</v>
      </c>
      <c r="C823" s="1" t="s">
        <v>351</v>
      </c>
      <c r="D823" s="1" t="s">
        <v>23</v>
      </c>
      <c r="E823" s="26" t="e">
        <f t="shared" ref="E823:F823" si="806">+E822</f>
        <v>#REF!</v>
      </c>
      <c r="F823" s="26" t="e">
        <f t="shared" si="806"/>
        <v>#REF!</v>
      </c>
      <c r="G823" s="17">
        <v>6</v>
      </c>
      <c r="H823" s="17" t="s">
        <v>9</v>
      </c>
      <c r="I823" s="30" t="s">
        <v>35</v>
      </c>
      <c r="J823" s="22"/>
      <c r="K823" s="22"/>
      <c r="L823" s="8">
        <f t="shared" si="799"/>
        <v>0</v>
      </c>
      <c r="M823" s="24">
        <f t="shared" si="755"/>
        <v>0</v>
      </c>
      <c r="N823" s="14"/>
    </row>
    <row r="824" spans="1:15" x14ac:dyDescent="0.25">
      <c r="A824" s="20">
        <v>44537</v>
      </c>
      <c r="B824" s="1">
        <f t="shared" ref="B824" si="807">B818</f>
        <v>69</v>
      </c>
      <c r="C824" s="1" t="s">
        <v>351</v>
      </c>
      <c r="D824" s="1" t="s">
        <v>23</v>
      </c>
      <c r="E824" s="26" t="e">
        <f t="shared" ref="E824:F824" si="808">+E823</f>
        <v>#REF!</v>
      </c>
      <c r="F824" s="26" t="e">
        <f t="shared" si="808"/>
        <v>#REF!</v>
      </c>
      <c r="G824" s="17">
        <v>7</v>
      </c>
      <c r="H824" s="17" t="s">
        <v>9</v>
      </c>
      <c r="I824" s="30" t="s">
        <v>36</v>
      </c>
      <c r="J824" s="22"/>
      <c r="K824" s="22"/>
      <c r="L824" s="8">
        <f t="shared" si="799"/>
        <v>0</v>
      </c>
      <c r="M824" s="24">
        <f t="shared" si="755"/>
        <v>0</v>
      </c>
      <c r="N824" s="14"/>
    </row>
    <row r="825" spans="1:15" x14ac:dyDescent="0.25">
      <c r="A825" s="20">
        <v>44537</v>
      </c>
      <c r="B825" s="1">
        <f t="shared" ref="B825" si="809">B818</f>
        <v>69</v>
      </c>
      <c r="C825" s="1" t="s">
        <v>351</v>
      </c>
      <c r="D825" s="1" t="s">
        <v>23</v>
      </c>
      <c r="E825" s="26" t="e">
        <f>+E824</f>
        <v>#REF!</v>
      </c>
      <c r="F825" s="26" t="e">
        <f>+F824</f>
        <v>#REF!</v>
      </c>
      <c r="G825" s="17">
        <v>8</v>
      </c>
      <c r="H825" s="17" t="s">
        <v>9</v>
      </c>
      <c r="I825" s="30" t="s">
        <v>59</v>
      </c>
      <c r="J825" s="22">
        <f>9.05+8.8</f>
        <v>17.850000000000001</v>
      </c>
      <c r="K825" s="22">
        <f>8.55+8.3</f>
        <v>16.850000000000001</v>
      </c>
      <c r="L825" s="8">
        <f t="shared" si="799"/>
        <v>1</v>
      </c>
      <c r="M825" s="24">
        <f t="shared" si="755"/>
        <v>3.3277870216306162E-2</v>
      </c>
      <c r="N825" s="14"/>
    </row>
    <row r="826" spans="1:15" x14ac:dyDescent="0.25">
      <c r="A826" s="20">
        <v>44537</v>
      </c>
      <c r="B826" s="1">
        <f t="shared" ref="B826" si="810">B818</f>
        <v>69</v>
      </c>
      <c r="C826" s="1" t="s">
        <v>351</v>
      </c>
      <c r="D826" s="1" t="s">
        <v>23</v>
      </c>
      <c r="E826" s="26" t="e">
        <f t="shared" ref="E826:F826" si="811">+E825</f>
        <v>#REF!</v>
      </c>
      <c r="F826" s="26" t="e">
        <f t="shared" si="811"/>
        <v>#REF!</v>
      </c>
      <c r="G826" s="17">
        <v>9</v>
      </c>
      <c r="H826" s="17" t="s">
        <v>9</v>
      </c>
      <c r="I826" s="30" t="s">
        <v>38</v>
      </c>
      <c r="J826" s="22"/>
      <c r="K826" s="22"/>
      <c r="L826" s="8">
        <f t="shared" si="799"/>
        <v>0</v>
      </c>
      <c r="M826" s="24">
        <f t="shared" si="755"/>
        <v>0</v>
      </c>
      <c r="N826" s="14"/>
    </row>
    <row r="827" spans="1:15" x14ac:dyDescent="0.25">
      <c r="A827" s="20">
        <v>44537</v>
      </c>
      <c r="B827" s="1">
        <f t="shared" ref="B827" si="812">B818</f>
        <v>69</v>
      </c>
      <c r="C827" s="1" t="s">
        <v>351</v>
      </c>
      <c r="D827" s="1" t="s">
        <v>23</v>
      </c>
      <c r="E827" s="26" t="e">
        <f t="shared" ref="E827:F827" si="813">+E826</f>
        <v>#REF!</v>
      </c>
      <c r="F827" s="26" t="e">
        <f t="shared" si="813"/>
        <v>#REF!</v>
      </c>
      <c r="G827" s="17">
        <v>10</v>
      </c>
      <c r="H827" s="17" t="s">
        <v>9</v>
      </c>
      <c r="I827" s="30" t="s">
        <v>23</v>
      </c>
      <c r="J827" s="22">
        <f>18.25+16.25+13.5+14.05</f>
        <v>62.05</v>
      </c>
      <c r="K827" s="22">
        <f>8.55+8.6+8.3+8.3</f>
        <v>33.75</v>
      </c>
      <c r="L827" s="8">
        <f t="shared" si="799"/>
        <v>28.299999999999997</v>
      </c>
      <c r="M827" s="24">
        <f t="shared" si="755"/>
        <v>0.94176372712146417</v>
      </c>
      <c r="N827" s="14"/>
    </row>
    <row r="828" spans="1:15" x14ac:dyDescent="0.25">
      <c r="A828" s="20">
        <v>44537</v>
      </c>
      <c r="B828" s="1">
        <f t="shared" ref="B828" si="814">B818</f>
        <v>69</v>
      </c>
      <c r="C828" s="1" t="s">
        <v>351</v>
      </c>
      <c r="D828" s="1" t="s">
        <v>23</v>
      </c>
      <c r="E828" s="26" t="e">
        <f t="shared" ref="E828:F828" si="815">+E827</f>
        <v>#REF!</v>
      </c>
      <c r="F828" s="26" t="e">
        <f t="shared" si="815"/>
        <v>#REF!</v>
      </c>
      <c r="G828" s="17">
        <v>11</v>
      </c>
      <c r="H828" s="17" t="s">
        <v>9</v>
      </c>
      <c r="I828" s="30" t="s">
        <v>60</v>
      </c>
      <c r="J828" s="22"/>
      <c r="K828" s="22"/>
      <c r="L828" s="8">
        <f t="shared" si="799"/>
        <v>0</v>
      </c>
      <c r="M828" s="24">
        <f t="shared" si="755"/>
        <v>0</v>
      </c>
      <c r="N828" s="14"/>
    </row>
    <row r="829" spans="1:15" ht="15.75" thickBot="1" x14ac:dyDescent="0.3">
      <c r="A829" s="20">
        <v>44537</v>
      </c>
      <c r="B829" s="57">
        <f t="shared" ref="B829" si="816">B818</f>
        <v>69</v>
      </c>
      <c r="C829" s="1" t="s">
        <v>351</v>
      </c>
      <c r="D829" s="1" t="s">
        <v>23</v>
      </c>
      <c r="E829" s="26" t="e">
        <f t="shared" ref="E829:F829" si="817">+E828</f>
        <v>#REF!</v>
      </c>
      <c r="F829" s="26" t="e">
        <f t="shared" si="817"/>
        <v>#REF!</v>
      </c>
      <c r="G829" s="18">
        <f>+G828+1</f>
        <v>12</v>
      </c>
      <c r="H829" s="18" t="s">
        <v>10</v>
      </c>
      <c r="I829" s="46" t="s">
        <v>10</v>
      </c>
      <c r="J829" s="22">
        <f>8.9+8.8</f>
        <v>17.700000000000003</v>
      </c>
      <c r="K829" s="63">
        <f>8.55+8.55</f>
        <v>17.100000000000001</v>
      </c>
      <c r="L829" s="8">
        <f t="shared" si="799"/>
        <v>0.60000000000000142</v>
      </c>
      <c r="M829" s="24">
        <f t="shared" si="755"/>
        <v>1.9966722129783742E-2</v>
      </c>
      <c r="N829" s="14"/>
    </row>
    <row r="830" spans="1:15" x14ac:dyDescent="0.25">
      <c r="A830" s="19">
        <v>44540</v>
      </c>
      <c r="B830" s="15">
        <f t="shared" ref="B830" si="818">B818+1</f>
        <v>70</v>
      </c>
      <c r="C830" s="15" t="s">
        <v>352</v>
      </c>
      <c r="D830" s="15" t="s">
        <v>23</v>
      </c>
      <c r="E830" s="25"/>
      <c r="F830" s="25">
        <f>+SUM(L830:L841)</f>
        <v>45.2</v>
      </c>
      <c r="G830" s="16">
        <v>1</v>
      </c>
      <c r="H830" s="16" t="s">
        <v>9</v>
      </c>
      <c r="I830" s="59" t="s">
        <v>56</v>
      </c>
      <c r="J830" s="21">
        <v>0.7</v>
      </c>
      <c r="K830" s="21">
        <v>0.5</v>
      </c>
      <c r="L830" s="12">
        <f>+J830-K830</f>
        <v>0.19999999999999996</v>
      </c>
      <c r="M830" s="23">
        <f t="shared" si="755"/>
        <v>4.424778761061946E-3</v>
      </c>
      <c r="N830" s="13"/>
      <c r="O830" t="s">
        <v>358</v>
      </c>
    </row>
    <row r="831" spans="1:15" x14ac:dyDescent="0.25">
      <c r="A831" s="20">
        <v>44540</v>
      </c>
      <c r="B831" s="1">
        <f t="shared" ref="B831" si="819">B830</f>
        <v>70</v>
      </c>
      <c r="C831" s="1" t="s">
        <v>352</v>
      </c>
      <c r="D831" s="1" t="s">
        <v>23</v>
      </c>
      <c r="E831" s="26">
        <f>+E830</f>
        <v>0</v>
      </c>
      <c r="F831" s="28" t="e">
        <f>+(F830-E830)/E830</f>
        <v>#DIV/0!</v>
      </c>
      <c r="G831" s="17">
        <v>2</v>
      </c>
      <c r="H831" s="17" t="s">
        <v>9</v>
      </c>
      <c r="I831" s="30" t="s">
        <v>57</v>
      </c>
      <c r="J831" s="22">
        <v>0.8</v>
      </c>
      <c r="K831" s="22">
        <v>0.55000000000000004</v>
      </c>
      <c r="L831" s="8">
        <f t="shared" ref="L831:L841" si="820">+J831-K831</f>
        <v>0.25</v>
      </c>
      <c r="M831" s="24">
        <f t="shared" si="755"/>
        <v>5.5309734513274336E-3</v>
      </c>
      <c r="N831" s="14"/>
    </row>
    <row r="832" spans="1:15" x14ac:dyDescent="0.25">
      <c r="A832" s="20">
        <v>44540</v>
      </c>
      <c r="B832" s="1">
        <f t="shared" ref="B832" si="821">B830</f>
        <v>70</v>
      </c>
      <c r="C832" s="1" t="s">
        <v>352</v>
      </c>
      <c r="D832" s="1" t="s">
        <v>23</v>
      </c>
      <c r="E832" s="26" t="e">
        <f>+#REF!</f>
        <v>#REF!</v>
      </c>
      <c r="F832" s="26" t="e">
        <f>+#REF!</f>
        <v>#REF!</v>
      </c>
      <c r="G832" s="17">
        <v>3</v>
      </c>
      <c r="H832" s="17" t="s">
        <v>9</v>
      </c>
      <c r="I832" s="30" t="s">
        <v>58</v>
      </c>
      <c r="J832" s="22">
        <v>0.65</v>
      </c>
      <c r="K832" s="22">
        <v>0.5</v>
      </c>
      <c r="L832" s="8">
        <f t="shared" si="820"/>
        <v>0.15000000000000002</v>
      </c>
      <c r="M832" s="24">
        <f t="shared" si="755"/>
        <v>3.3185840707964606E-3</v>
      </c>
      <c r="N832" s="14"/>
    </row>
    <row r="833" spans="1:15" x14ac:dyDescent="0.25">
      <c r="A833" s="20">
        <v>44540</v>
      </c>
      <c r="B833" s="1">
        <f t="shared" ref="B833" si="822">B830</f>
        <v>70</v>
      </c>
      <c r="C833" s="1" t="s">
        <v>352</v>
      </c>
      <c r="D833" s="1" t="s">
        <v>23</v>
      </c>
      <c r="E833" s="26" t="e">
        <f t="shared" ref="E833:F833" si="823">+E832</f>
        <v>#REF!</v>
      </c>
      <c r="F833" s="26" t="e">
        <f t="shared" si="823"/>
        <v>#REF!</v>
      </c>
      <c r="G833" s="17">
        <v>4</v>
      </c>
      <c r="H833" s="17" t="s">
        <v>9</v>
      </c>
      <c r="I833" s="30" t="s">
        <v>22</v>
      </c>
      <c r="J833" s="22">
        <v>0.05</v>
      </c>
      <c r="K833" s="22">
        <v>0</v>
      </c>
      <c r="L833" s="8">
        <f t="shared" si="820"/>
        <v>0.05</v>
      </c>
      <c r="M833" s="24">
        <f t="shared" si="755"/>
        <v>1.1061946902654867E-3</v>
      </c>
      <c r="N833" s="14"/>
    </row>
    <row r="834" spans="1:15" x14ac:dyDescent="0.25">
      <c r="A834" s="20">
        <v>44540</v>
      </c>
      <c r="B834" s="1">
        <f t="shared" ref="B834" si="824">B830</f>
        <v>70</v>
      </c>
      <c r="C834" s="1" t="s">
        <v>352</v>
      </c>
      <c r="D834" s="1" t="s">
        <v>23</v>
      </c>
      <c r="E834" s="26" t="e">
        <f t="shared" ref="E834:F834" si="825">+E833</f>
        <v>#REF!</v>
      </c>
      <c r="F834" s="26" t="e">
        <f t="shared" si="825"/>
        <v>#REF!</v>
      </c>
      <c r="G834" s="17">
        <v>5</v>
      </c>
      <c r="H834" s="17" t="s">
        <v>9</v>
      </c>
      <c r="I834" s="30" t="s">
        <v>34</v>
      </c>
      <c r="J834" s="22">
        <v>0.05</v>
      </c>
      <c r="K834" s="22">
        <v>0</v>
      </c>
      <c r="L834" s="8">
        <f t="shared" si="820"/>
        <v>0.05</v>
      </c>
      <c r="M834" s="24">
        <f t="shared" si="755"/>
        <v>1.1061946902654867E-3</v>
      </c>
      <c r="N834" s="14"/>
    </row>
    <row r="835" spans="1:15" x14ac:dyDescent="0.25">
      <c r="A835" s="20">
        <v>44540</v>
      </c>
      <c r="B835" s="1">
        <f t="shared" ref="B835" si="826">B830</f>
        <v>70</v>
      </c>
      <c r="C835" s="1" t="s">
        <v>352</v>
      </c>
      <c r="D835" s="1" t="s">
        <v>23</v>
      </c>
      <c r="E835" s="26" t="e">
        <f t="shared" ref="E835:F835" si="827">+E834</f>
        <v>#REF!</v>
      </c>
      <c r="F835" s="26" t="e">
        <f t="shared" si="827"/>
        <v>#REF!</v>
      </c>
      <c r="G835" s="17">
        <v>6</v>
      </c>
      <c r="H835" s="17" t="s">
        <v>9</v>
      </c>
      <c r="I835" s="30" t="s">
        <v>35</v>
      </c>
      <c r="J835" s="22"/>
      <c r="K835" s="22"/>
      <c r="L835" s="8">
        <f t="shared" si="820"/>
        <v>0</v>
      </c>
      <c r="M835" s="24">
        <f t="shared" si="755"/>
        <v>0</v>
      </c>
      <c r="N835" s="14"/>
    </row>
    <row r="836" spans="1:15" x14ac:dyDescent="0.25">
      <c r="A836" s="20">
        <v>44540</v>
      </c>
      <c r="B836" s="1">
        <f t="shared" ref="B836" si="828">B830</f>
        <v>70</v>
      </c>
      <c r="C836" s="1" t="s">
        <v>352</v>
      </c>
      <c r="D836" s="1" t="s">
        <v>23</v>
      </c>
      <c r="E836" s="26" t="e">
        <f t="shared" ref="E836:F836" si="829">+E835</f>
        <v>#REF!</v>
      </c>
      <c r="F836" s="26" t="e">
        <f t="shared" si="829"/>
        <v>#REF!</v>
      </c>
      <c r="G836" s="17">
        <v>7</v>
      </c>
      <c r="H836" s="17" t="s">
        <v>9</v>
      </c>
      <c r="I836" s="30" t="s">
        <v>36</v>
      </c>
      <c r="J836" s="22"/>
      <c r="K836" s="22"/>
      <c r="L836" s="8">
        <f t="shared" si="820"/>
        <v>0</v>
      </c>
      <c r="M836" s="24">
        <f t="shared" si="755"/>
        <v>0</v>
      </c>
      <c r="N836" s="14"/>
    </row>
    <row r="837" spans="1:15" x14ac:dyDescent="0.25">
      <c r="A837" s="20">
        <v>44540</v>
      </c>
      <c r="B837" s="1">
        <f t="shared" ref="B837" si="830">B830</f>
        <v>70</v>
      </c>
      <c r="C837" s="1" t="s">
        <v>352</v>
      </c>
      <c r="D837" s="1" t="s">
        <v>23</v>
      </c>
      <c r="E837" s="26" t="e">
        <f>+E836</f>
        <v>#REF!</v>
      </c>
      <c r="F837" s="26" t="e">
        <f>+F836</f>
        <v>#REF!</v>
      </c>
      <c r="G837" s="17">
        <v>8</v>
      </c>
      <c r="H837" s="17" t="s">
        <v>9</v>
      </c>
      <c r="I837" s="30" t="s">
        <v>59</v>
      </c>
      <c r="J837" s="22">
        <f>11.5+10.6</f>
        <v>22.1</v>
      </c>
      <c r="K837" s="22">
        <f>8.55+8.55</f>
        <v>17.100000000000001</v>
      </c>
      <c r="L837" s="8">
        <f t="shared" si="820"/>
        <v>5</v>
      </c>
      <c r="M837" s="24">
        <f t="shared" si="755"/>
        <v>0.11061946902654866</v>
      </c>
      <c r="N837" s="14"/>
    </row>
    <row r="838" spans="1:15" x14ac:dyDescent="0.25">
      <c r="A838" s="20">
        <v>44540</v>
      </c>
      <c r="B838" s="1">
        <f t="shared" ref="B838" si="831">B830</f>
        <v>70</v>
      </c>
      <c r="C838" s="1" t="s">
        <v>352</v>
      </c>
      <c r="D838" s="1" t="s">
        <v>23</v>
      </c>
      <c r="E838" s="26" t="e">
        <f t="shared" ref="E838:F838" si="832">+E837</f>
        <v>#REF!</v>
      </c>
      <c r="F838" s="26" t="e">
        <f t="shared" si="832"/>
        <v>#REF!</v>
      </c>
      <c r="G838" s="17">
        <v>9</v>
      </c>
      <c r="H838" s="17" t="s">
        <v>9</v>
      </c>
      <c r="I838" s="30" t="s">
        <v>38</v>
      </c>
      <c r="J838" s="22">
        <v>0.15</v>
      </c>
      <c r="K838" s="22">
        <v>0</v>
      </c>
      <c r="L838" s="8">
        <f t="shared" si="820"/>
        <v>0.15</v>
      </c>
      <c r="M838" s="24">
        <f t="shared" si="755"/>
        <v>3.3185840707964597E-3</v>
      </c>
      <c r="N838" s="14"/>
    </row>
    <row r="839" spans="1:15" x14ac:dyDescent="0.25">
      <c r="A839" s="20">
        <v>44540</v>
      </c>
      <c r="B839" s="1">
        <f t="shared" ref="B839" si="833">B830</f>
        <v>70</v>
      </c>
      <c r="C839" s="1" t="s">
        <v>352</v>
      </c>
      <c r="D839" s="1" t="s">
        <v>23</v>
      </c>
      <c r="E839" s="26" t="e">
        <f t="shared" ref="E839:F839" si="834">+E838</f>
        <v>#REF!</v>
      </c>
      <c r="F839" s="26" t="e">
        <f t="shared" si="834"/>
        <v>#REF!</v>
      </c>
      <c r="G839" s="17">
        <v>10</v>
      </c>
      <c r="H839" s="17" t="s">
        <v>9</v>
      </c>
      <c r="I839" s="30" t="s">
        <v>23</v>
      </c>
      <c r="J839" s="22">
        <f>18.6+18.55+18.65+15.15</f>
        <v>70.95</v>
      </c>
      <c r="K839" s="22">
        <f>8.55+8.3+8.3+8.55</f>
        <v>33.700000000000003</v>
      </c>
      <c r="L839" s="8">
        <f t="shared" si="820"/>
        <v>37.25</v>
      </c>
      <c r="M839" s="24">
        <f t="shared" si="755"/>
        <v>0.82411504424778759</v>
      </c>
      <c r="N839" s="14"/>
    </row>
    <row r="840" spans="1:15" x14ac:dyDescent="0.25">
      <c r="A840" s="20">
        <v>44540</v>
      </c>
      <c r="B840" s="1">
        <f t="shared" ref="B840" si="835">B830</f>
        <v>70</v>
      </c>
      <c r="C840" s="1" t="s">
        <v>352</v>
      </c>
      <c r="D840" s="1" t="s">
        <v>23</v>
      </c>
      <c r="E840" s="26" t="e">
        <f t="shared" ref="E840:F840" si="836">+E839</f>
        <v>#REF!</v>
      </c>
      <c r="F840" s="26" t="e">
        <f t="shared" si="836"/>
        <v>#REF!</v>
      </c>
      <c r="G840" s="17">
        <v>11</v>
      </c>
      <c r="H840" s="17" t="s">
        <v>9</v>
      </c>
      <c r="I840" s="30" t="s">
        <v>60</v>
      </c>
      <c r="J840" s="22">
        <v>0.6</v>
      </c>
      <c r="K840" s="22">
        <v>0.55000000000000004</v>
      </c>
      <c r="L840" s="8">
        <f t="shared" si="820"/>
        <v>4.9999999999999933E-2</v>
      </c>
      <c r="M840" s="24">
        <f t="shared" si="755"/>
        <v>1.1061946902654852E-3</v>
      </c>
      <c r="N840" s="14"/>
    </row>
    <row r="841" spans="1:15" ht="15.75" thickBot="1" x14ac:dyDescent="0.3">
      <c r="A841" s="20">
        <v>44540</v>
      </c>
      <c r="B841" s="57">
        <f t="shared" ref="B841" si="837">B830</f>
        <v>70</v>
      </c>
      <c r="C841" s="1" t="s">
        <v>352</v>
      </c>
      <c r="D841" s="1" t="s">
        <v>23</v>
      </c>
      <c r="E841" s="26" t="e">
        <f t="shared" ref="E841:F841" si="838">+E840</f>
        <v>#REF!</v>
      </c>
      <c r="F841" s="26" t="e">
        <f t="shared" si="838"/>
        <v>#REF!</v>
      </c>
      <c r="G841" s="18">
        <f>+G840+1</f>
        <v>12</v>
      </c>
      <c r="H841" s="18" t="s">
        <v>10</v>
      </c>
      <c r="I841" s="46" t="s">
        <v>10</v>
      </c>
      <c r="J841" s="22">
        <f>9.15+9.8</f>
        <v>18.950000000000003</v>
      </c>
      <c r="K841" s="63">
        <f>8.3+8.6</f>
        <v>16.899999999999999</v>
      </c>
      <c r="L841" s="8">
        <f t="shared" si="820"/>
        <v>2.0500000000000043</v>
      </c>
      <c r="M841" s="24">
        <f t="shared" si="755"/>
        <v>4.5353982300885047E-2</v>
      </c>
      <c r="N841" s="14" t="s">
        <v>353</v>
      </c>
    </row>
    <row r="842" spans="1:15" x14ac:dyDescent="0.25">
      <c r="A842" s="19">
        <v>44540</v>
      </c>
      <c r="B842" s="15">
        <f t="shared" ref="B842" si="839">B830+1</f>
        <v>71</v>
      </c>
      <c r="C842" s="15" t="s">
        <v>354</v>
      </c>
      <c r="D842" s="15" t="s">
        <v>179</v>
      </c>
      <c r="E842" s="25"/>
      <c r="F842" s="25">
        <f>+SUM(L842:L853)</f>
        <v>34.949999999999996</v>
      </c>
      <c r="G842" s="16">
        <v>1</v>
      </c>
      <c r="H842" s="16" t="s">
        <v>9</v>
      </c>
      <c r="I842" s="59" t="s">
        <v>56</v>
      </c>
      <c r="J842" s="21"/>
      <c r="K842" s="21"/>
      <c r="L842" s="12">
        <f>+J842-K842</f>
        <v>0</v>
      </c>
      <c r="M842" s="23">
        <f t="shared" si="755"/>
        <v>0</v>
      </c>
      <c r="N842" s="13"/>
      <c r="O842" t="s">
        <v>358</v>
      </c>
    </row>
    <row r="843" spans="1:15" x14ac:dyDescent="0.25">
      <c r="A843" s="20">
        <v>44540</v>
      </c>
      <c r="B843" s="1">
        <f t="shared" ref="B843" si="840">B842</f>
        <v>71</v>
      </c>
      <c r="C843" s="1" t="s">
        <v>354</v>
      </c>
      <c r="D843" s="1" t="s">
        <v>179</v>
      </c>
      <c r="E843" s="26">
        <f>+E842</f>
        <v>0</v>
      </c>
      <c r="F843" s="28" t="e">
        <f>+(F842-E842)/E842</f>
        <v>#DIV/0!</v>
      </c>
      <c r="G843" s="17">
        <v>2</v>
      </c>
      <c r="H843" s="17" t="s">
        <v>9</v>
      </c>
      <c r="I843" s="30" t="s">
        <v>57</v>
      </c>
      <c r="J843" s="22">
        <v>0.7</v>
      </c>
      <c r="K843" s="22">
        <v>0.55000000000000004</v>
      </c>
      <c r="L843" s="8">
        <f t="shared" ref="L843:L853" si="841">+J843-K843</f>
        <v>0.14999999999999991</v>
      </c>
      <c r="M843" s="24">
        <f t="shared" si="755"/>
        <v>4.29184549356223E-3</v>
      </c>
      <c r="N843" s="14"/>
    </row>
    <row r="844" spans="1:15" x14ac:dyDescent="0.25">
      <c r="A844" s="20">
        <v>44540</v>
      </c>
      <c r="B844" s="1">
        <f t="shared" ref="B844" si="842">B842</f>
        <v>71</v>
      </c>
      <c r="C844" s="1" t="s">
        <v>354</v>
      </c>
      <c r="D844" s="1" t="s">
        <v>179</v>
      </c>
      <c r="E844" s="26" t="e">
        <f>+#REF!</f>
        <v>#REF!</v>
      </c>
      <c r="F844" s="26" t="e">
        <f>+#REF!</f>
        <v>#REF!</v>
      </c>
      <c r="G844" s="17">
        <v>3</v>
      </c>
      <c r="H844" s="17" t="s">
        <v>9</v>
      </c>
      <c r="I844" s="30" t="s">
        <v>58</v>
      </c>
      <c r="J844" s="22"/>
      <c r="K844" s="22"/>
      <c r="L844" s="8">
        <f t="shared" si="841"/>
        <v>0</v>
      </c>
      <c r="M844" s="24">
        <f t="shared" si="755"/>
        <v>0</v>
      </c>
      <c r="N844" s="14"/>
    </row>
    <row r="845" spans="1:15" x14ac:dyDescent="0.25">
      <c r="A845" s="20">
        <v>44540</v>
      </c>
      <c r="B845" s="1">
        <f t="shared" ref="B845" si="843">B842</f>
        <v>71</v>
      </c>
      <c r="C845" s="1" t="s">
        <v>354</v>
      </c>
      <c r="D845" s="1" t="s">
        <v>179</v>
      </c>
      <c r="E845" s="26" t="e">
        <f t="shared" ref="E845:F845" si="844">+E844</f>
        <v>#REF!</v>
      </c>
      <c r="F845" s="26" t="e">
        <f t="shared" si="844"/>
        <v>#REF!</v>
      </c>
      <c r="G845" s="17">
        <v>4</v>
      </c>
      <c r="H845" s="17" t="s">
        <v>9</v>
      </c>
      <c r="I845" s="30" t="s">
        <v>22</v>
      </c>
      <c r="J845" s="22"/>
      <c r="K845" s="22"/>
      <c r="L845" s="8">
        <f t="shared" si="841"/>
        <v>0</v>
      </c>
      <c r="M845" s="24">
        <f t="shared" si="755"/>
        <v>0</v>
      </c>
      <c r="N845" s="14"/>
    </row>
    <row r="846" spans="1:15" x14ac:dyDescent="0.25">
      <c r="A846" s="20">
        <v>44540</v>
      </c>
      <c r="B846" s="1">
        <f t="shared" ref="B846" si="845">B842</f>
        <v>71</v>
      </c>
      <c r="C846" s="1" t="s">
        <v>354</v>
      </c>
      <c r="D846" s="1" t="s">
        <v>179</v>
      </c>
      <c r="E846" s="26" t="e">
        <f t="shared" ref="E846:F846" si="846">+E845</f>
        <v>#REF!</v>
      </c>
      <c r="F846" s="26" t="e">
        <f t="shared" si="846"/>
        <v>#REF!</v>
      </c>
      <c r="G846" s="17">
        <v>5</v>
      </c>
      <c r="H846" s="17" t="s">
        <v>9</v>
      </c>
      <c r="I846" s="30" t="s">
        <v>34</v>
      </c>
      <c r="J846" s="22"/>
      <c r="K846" s="22"/>
      <c r="L846" s="8">
        <f t="shared" si="841"/>
        <v>0</v>
      </c>
      <c r="M846" s="24">
        <f t="shared" si="755"/>
        <v>0</v>
      </c>
      <c r="N846" s="14"/>
    </row>
    <row r="847" spans="1:15" x14ac:dyDescent="0.25">
      <c r="A847" s="20">
        <v>44540</v>
      </c>
      <c r="B847" s="1">
        <f t="shared" ref="B847" si="847">B842</f>
        <v>71</v>
      </c>
      <c r="C847" s="1" t="s">
        <v>354</v>
      </c>
      <c r="D847" s="1" t="s">
        <v>179</v>
      </c>
      <c r="E847" s="26" t="e">
        <f t="shared" ref="E847:F847" si="848">+E846</f>
        <v>#REF!</v>
      </c>
      <c r="F847" s="26" t="e">
        <f t="shared" si="848"/>
        <v>#REF!</v>
      </c>
      <c r="G847" s="17">
        <v>6</v>
      </c>
      <c r="H847" s="17" t="s">
        <v>9</v>
      </c>
      <c r="I847" s="30" t="s">
        <v>35</v>
      </c>
      <c r="J847" s="22">
        <v>0.05</v>
      </c>
      <c r="K847" s="22">
        <v>0</v>
      </c>
      <c r="L847" s="8">
        <f t="shared" si="841"/>
        <v>0.05</v>
      </c>
      <c r="M847" s="24">
        <f t="shared" si="755"/>
        <v>1.4306151645207441E-3</v>
      </c>
      <c r="N847" s="14"/>
    </row>
    <row r="848" spans="1:15" x14ac:dyDescent="0.25">
      <c r="A848" s="20">
        <v>44540</v>
      </c>
      <c r="B848" s="1">
        <f t="shared" ref="B848" si="849">B842</f>
        <v>71</v>
      </c>
      <c r="C848" s="1" t="s">
        <v>354</v>
      </c>
      <c r="D848" s="1" t="s">
        <v>179</v>
      </c>
      <c r="E848" s="26" t="e">
        <f t="shared" ref="E848:F848" si="850">+E847</f>
        <v>#REF!</v>
      </c>
      <c r="F848" s="26" t="e">
        <f t="shared" si="850"/>
        <v>#REF!</v>
      </c>
      <c r="G848" s="17">
        <v>7</v>
      </c>
      <c r="H848" s="17" t="s">
        <v>9</v>
      </c>
      <c r="I848" s="30" t="s">
        <v>36</v>
      </c>
      <c r="J848" s="22">
        <f>18.05+23.3</f>
        <v>41.35</v>
      </c>
      <c r="K848" s="22">
        <f>6.05+6.05</f>
        <v>12.1</v>
      </c>
      <c r="L848" s="8">
        <f t="shared" si="841"/>
        <v>29.25</v>
      </c>
      <c r="M848" s="24">
        <f t="shared" si="755"/>
        <v>0.83690987124463534</v>
      </c>
      <c r="N848" s="14"/>
    </row>
    <row r="849" spans="1:15" x14ac:dyDescent="0.25">
      <c r="A849" s="20">
        <v>44540</v>
      </c>
      <c r="B849" s="1">
        <f t="shared" ref="B849" si="851">B842</f>
        <v>71</v>
      </c>
      <c r="C849" s="1" t="s">
        <v>354</v>
      </c>
      <c r="D849" s="1" t="s">
        <v>179</v>
      </c>
      <c r="E849" s="26" t="e">
        <f>+E848</f>
        <v>#REF!</v>
      </c>
      <c r="F849" s="26" t="e">
        <f>+F848</f>
        <v>#REF!</v>
      </c>
      <c r="G849" s="17">
        <v>8</v>
      </c>
      <c r="H849" s="17" t="s">
        <v>9</v>
      </c>
      <c r="I849" s="30" t="s">
        <v>59</v>
      </c>
      <c r="J849" s="22">
        <f>9.7+8.8</f>
        <v>18.5</v>
      </c>
      <c r="K849" s="22">
        <f>8.55+8.55</f>
        <v>17.100000000000001</v>
      </c>
      <c r="L849" s="8">
        <f t="shared" si="841"/>
        <v>1.3999999999999986</v>
      </c>
      <c r="M849" s="24">
        <f t="shared" si="755"/>
        <v>4.0057224606580795E-2</v>
      </c>
      <c r="N849" s="14"/>
    </row>
    <row r="850" spans="1:15" x14ac:dyDescent="0.25">
      <c r="A850" s="20">
        <v>44540</v>
      </c>
      <c r="B850" s="1">
        <f t="shared" ref="B850" si="852">B842</f>
        <v>71</v>
      </c>
      <c r="C850" s="1" t="s">
        <v>354</v>
      </c>
      <c r="D850" s="1" t="s">
        <v>179</v>
      </c>
      <c r="E850" s="26" t="e">
        <f t="shared" ref="E850:F850" si="853">+E849</f>
        <v>#REF!</v>
      </c>
      <c r="F850" s="26" t="e">
        <f t="shared" si="853"/>
        <v>#REF!</v>
      </c>
      <c r="G850" s="17">
        <v>9</v>
      </c>
      <c r="H850" s="17" t="s">
        <v>9</v>
      </c>
      <c r="I850" s="30" t="s">
        <v>38</v>
      </c>
      <c r="J850" s="22"/>
      <c r="K850" s="22"/>
      <c r="L850" s="8">
        <f t="shared" si="841"/>
        <v>0</v>
      </c>
      <c r="M850" s="24">
        <f t="shared" si="755"/>
        <v>0</v>
      </c>
      <c r="N850" s="14"/>
    </row>
    <row r="851" spans="1:15" x14ac:dyDescent="0.25">
      <c r="A851" s="20">
        <v>44540</v>
      </c>
      <c r="B851" s="1">
        <f t="shared" ref="B851" si="854">B842</f>
        <v>71</v>
      </c>
      <c r="C851" s="1" t="s">
        <v>354</v>
      </c>
      <c r="D851" s="1" t="s">
        <v>179</v>
      </c>
      <c r="E851" s="26" t="e">
        <f t="shared" ref="E851:F851" si="855">+E850</f>
        <v>#REF!</v>
      </c>
      <c r="F851" s="26" t="e">
        <f t="shared" si="855"/>
        <v>#REF!</v>
      </c>
      <c r="G851" s="17">
        <v>10</v>
      </c>
      <c r="H851" s="17" t="s">
        <v>9</v>
      </c>
      <c r="I851" s="30" t="s">
        <v>23</v>
      </c>
      <c r="J851" s="22">
        <f>9.6+8.55+9.2</f>
        <v>27.349999999999998</v>
      </c>
      <c r="K851" s="22">
        <f>8.3+8.3+8.55</f>
        <v>25.150000000000002</v>
      </c>
      <c r="L851" s="8">
        <f t="shared" si="841"/>
        <v>2.1999999999999957</v>
      </c>
      <c r="M851" s="24">
        <f t="shared" si="755"/>
        <v>6.2947067238912621E-2</v>
      </c>
      <c r="N851" s="14"/>
    </row>
    <row r="852" spans="1:15" x14ac:dyDescent="0.25">
      <c r="A852" s="20">
        <v>44540</v>
      </c>
      <c r="B852" s="1">
        <f t="shared" ref="B852" si="856">B842</f>
        <v>71</v>
      </c>
      <c r="C852" s="1" t="s">
        <v>354</v>
      </c>
      <c r="D852" s="1" t="s">
        <v>179</v>
      </c>
      <c r="E852" s="26" t="e">
        <f t="shared" ref="E852:F852" si="857">+E851</f>
        <v>#REF!</v>
      </c>
      <c r="F852" s="26" t="e">
        <f t="shared" si="857"/>
        <v>#REF!</v>
      </c>
      <c r="G852" s="17">
        <v>11</v>
      </c>
      <c r="H852" s="17" t="s">
        <v>9</v>
      </c>
      <c r="I852" s="30" t="s">
        <v>60</v>
      </c>
      <c r="J852" s="22"/>
      <c r="K852" s="22"/>
      <c r="L852" s="8">
        <f t="shared" si="841"/>
        <v>0</v>
      </c>
      <c r="M852" s="24">
        <f t="shared" si="755"/>
        <v>0</v>
      </c>
      <c r="N852" s="14"/>
    </row>
    <row r="853" spans="1:15" ht="15.75" thickBot="1" x14ac:dyDescent="0.3">
      <c r="A853" s="20">
        <v>44540</v>
      </c>
      <c r="B853" s="57">
        <f t="shared" ref="B853" si="858">B842</f>
        <v>71</v>
      </c>
      <c r="C853" s="1" t="s">
        <v>354</v>
      </c>
      <c r="D853" s="1" t="s">
        <v>179</v>
      </c>
      <c r="E853" s="26" t="e">
        <f t="shared" ref="E853:F853" si="859">+E852</f>
        <v>#REF!</v>
      </c>
      <c r="F853" s="26" t="e">
        <f t="shared" si="859"/>
        <v>#REF!</v>
      </c>
      <c r="G853" s="18">
        <f>+G852+1</f>
        <v>12</v>
      </c>
      <c r="H853" s="18" t="s">
        <v>10</v>
      </c>
      <c r="I853" s="46" t="s">
        <v>10</v>
      </c>
      <c r="J853" s="22">
        <f>9.25+9.5</f>
        <v>18.75</v>
      </c>
      <c r="K853" s="63">
        <f>8.3+8.55</f>
        <v>16.850000000000001</v>
      </c>
      <c r="L853" s="8">
        <f t="shared" si="841"/>
        <v>1.8999999999999986</v>
      </c>
      <c r="M853" s="24">
        <f t="shared" si="755"/>
        <v>5.4363376251788234E-2</v>
      </c>
      <c r="N853" s="14" t="s">
        <v>355</v>
      </c>
    </row>
    <row r="854" spans="1:15" x14ac:dyDescent="0.25">
      <c r="A854" s="19">
        <v>44540</v>
      </c>
      <c r="B854" s="15">
        <f t="shared" ref="B854" si="860">B842+1</f>
        <v>72</v>
      </c>
      <c r="C854" s="15" t="s">
        <v>356</v>
      </c>
      <c r="D854" s="15" t="s">
        <v>58</v>
      </c>
      <c r="E854" s="25">
        <f>26-1.2</f>
        <v>24.8</v>
      </c>
      <c r="F854" s="25">
        <f>+SUM(L854:L865)</f>
        <v>24.400000000000002</v>
      </c>
      <c r="G854" s="16">
        <v>1</v>
      </c>
      <c r="H854" s="16" t="s">
        <v>9</v>
      </c>
      <c r="I854" s="59" t="s">
        <v>56</v>
      </c>
      <c r="J854" s="21"/>
      <c r="K854" s="21"/>
      <c r="L854" s="12">
        <f>+J854-K854</f>
        <v>0</v>
      </c>
      <c r="M854" s="23">
        <f t="shared" si="755"/>
        <v>0</v>
      </c>
      <c r="N854" s="13"/>
      <c r="O854" t="s">
        <v>358</v>
      </c>
    </row>
    <row r="855" spans="1:15" x14ac:dyDescent="0.25">
      <c r="A855" s="20">
        <v>44540</v>
      </c>
      <c r="B855" s="1">
        <f t="shared" ref="B855" si="861">B854</f>
        <v>72</v>
      </c>
      <c r="C855" s="1" t="s">
        <v>356</v>
      </c>
      <c r="D855" s="1" t="s">
        <v>58</v>
      </c>
      <c r="E855" s="26">
        <f>+E854</f>
        <v>24.8</v>
      </c>
      <c r="F855" s="28">
        <f>+(F854-E854)/E854</f>
        <v>-1.6129032258064457E-2</v>
      </c>
      <c r="G855" s="17">
        <v>2</v>
      </c>
      <c r="H855" s="17" t="s">
        <v>9</v>
      </c>
      <c r="I855" s="30" t="s">
        <v>57</v>
      </c>
      <c r="J855" s="22">
        <v>9.4</v>
      </c>
      <c r="K855" s="22">
        <v>8.5500000000000007</v>
      </c>
      <c r="L855" s="8">
        <f t="shared" ref="L855:L865" si="862">+J855-K855</f>
        <v>0.84999999999999964</v>
      </c>
      <c r="M855" s="24">
        <f t="shared" si="755"/>
        <v>3.4836065573770475E-2</v>
      </c>
      <c r="N855" s="14"/>
    </row>
    <row r="856" spans="1:15" x14ac:dyDescent="0.25">
      <c r="A856" s="20">
        <v>44540</v>
      </c>
      <c r="B856" s="1">
        <f t="shared" ref="B856" si="863">B854</f>
        <v>72</v>
      </c>
      <c r="C856" s="1" t="s">
        <v>356</v>
      </c>
      <c r="D856" s="1" t="s">
        <v>58</v>
      </c>
      <c r="E856" s="26" t="e">
        <f>+#REF!</f>
        <v>#REF!</v>
      </c>
      <c r="F856" s="26" t="e">
        <f>+#REF!</f>
        <v>#REF!</v>
      </c>
      <c r="G856" s="17">
        <v>3</v>
      </c>
      <c r="H856" s="17" t="s">
        <v>9</v>
      </c>
      <c r="I856" s="30" t="s">
        <v>58</v>
      </c>
      <c r="J856" s="22">
        <f>14.45+13.05+13.75+13.1</f>
        <v>54.35</v>
      </c>
      <c r="K856" s="22">
        <f>8.3+8.6+8.3+8.55</f>
        <v>33.75</v>
      </c>
      <c r="L856" s="8">
        <f t="shared" si="862"/>
        <v>20.6</v>
      </c>
      <c r="M856" s="24">
        <f t="shared" si="755"/>
        <v>0.84426229508196715</v>
      </c>
      <c r="N856" s="14"/>
    </row>
    <row r="857" spans="1:15" x14ac:dyDescent="0.25">
      <c r="A857" s="20">
        <v>44540</v>
      </c>
      <c r="B857" s="1">
        <f t="shared" ref="B857" si="864">B854</f>
        <v>72</v>
      </c>
      <c r="C857" s="1" t="s">
        <v>356</v>
      </c>
      <c r="D857" s="1" t="s">
        <v>58</v>
      </c>
      <c r="E857" s="26" t="e">
        <f t="shared" ref="E857:F857" si="865">+E856</f>
        <v>#REF!</v>
      </c>
      <c r="F857" s="26" t="e">
        <f t="shared" si="865"/>
        <v>#REF!</v>
      </c>
      <c r="G857" s="17">
        <v>4</v>
      </c>
      <c r="H857" s="17" t="s">
        <v>9</v>
      </c>
      <c r="I857" s="30" t="s">
        <v>22</v>
      </c>
      <c r="J857" s="22">
        <v>1</v>
      </c>
      <c r="K857" s="22">
        <v>0.5</v>
      </c>
      <c r="L857" s="8">
        <f t="shared" si="862"/>
        <v>0.5</v>
      </c>
      <c r="M857" s="24">
        <f t="shared" si="755"/>
        <v>2.0491803278688523E-2</v>
      </c>
      <c r="N857" s="14"/>
    </row>
    <row r="858" spans="1:15" x14ac:dyDescent="0.25">
      <c r="A858" s="20">
        <v>44540</v>
      </c>
      <c r="B858" s="1">
        <f t="shared" ref="B858" si="866">B854</f>
        <v>72</v>
      </c>
      <c r="C858" s="1" t="s">
        <v>356</v>
      </c>
      <c r="D858" s="1" t="s">
        <v>58</v>
      </c>
      <c r="E858" s="26" t="e">
        <f t="shared" ref="E858:F858" si="867">+E857</f>
        <v>#REF!</v>
      </c>
      <c r="F858" s="26" t="e">
        <f t="shared" si="867"/>
        <v>#REF!</v>
      </c>
      <c r="G858" s="17">
        <v>5</v>
      </c>
      <c r="H858" s="17" t="s">
        <v>9</v>
      </c>
      <c r="I858" s="30" t="s">
        <v>34</v>
      </c>
      <c r="J858" s="22">
        <v>0.6</v>
      </c>
      <c r="K858" s="22">
        <v>0.55000000000000004</v>
      </c>
      <c r="L858" s="8">
        <f t="shared" si="862"/>
        <v>4.9999999999999933E-2</v>
      </c>
      <c r="M858" s="24">
        <f t="shared" ref="M858:M921" si="868">+L858/SUMIF(C:C,C858,L:L)</f>
        <v>2.0491803278688495E-3</v>
      </c>
      <c r="N858" s="14"/>
    </row>
    <row r="859" spans="1:15" x14ac:dyDescent="0.25">
      <c r="A859" s="20">
        <v>44540</v>
      </c>
      <c r="B859" s="1">
        <f t="shared" ref="B859" si="869">B854</f>
        <v>72</v>
      </c>
      <c r="C859" s="1" t="s">
        <v>356</v>
      </c>
      <c r="D859" s="1" t="s">
        <v>58</v>
      </c>
      <c r="E859" s="26" t="e">
        <f t="shared" ref="E859:F859" si="870">+E858</f>
        <v>#REF!</v>
      </c>
      <c r="F859" s="26" t="e">
        <f t="shared" si="870"/>
        <v>#REF!</v>
      </c>
      <c r="G859" s="17">
        <v>6</v>
      </c>
      <c r="H859" s="17" t="s">
        <v>9</v>
      </c>
      <c r="I859" s="30" t="s">
        <v>35</v>
      </c>
      <c r="J859" s="22"/>
      <c r="K859" s="22"/>
      <c r="L859" s="8">
        <f t="shared" si="862"/>
        <v>0</v>
      </c>
      <c r="M859" s="24">
        <f t="shared" si="868"/>
        <v>0</v>
      </c>
      <c r="N859" s="14"/>
    </row>
    <row r="860" spans="1:15" x14ac:dyDescent="0.25">
      <c r="A860" s="20">
        <v>44540</v>
      </c>
      <c r="B860" s="1">
        <f t="shared" ref="B860" si="871">B854</f>
        <v>72</v>
      </c>
      <c r="C860" s="1" t="s">
        <v>356</v>
      </c>
      <c r="D860" s="1" t="s">
        <v>58</v>
      </c>
      <c r="E860" s="26" t="e">
        <f t="shared" ref="E860:F860" si="872">+E859</f>
        <v>#REF!</v>
      </c>
      <c r="F860" s="26" t="e">
        <f t="shared" si="872"/>
        <v>#REF!</v>
      </c>
      <c r="G860" s="17">
        <v>7</v>
      </c>
      <c r="H860" s="17" t="s">
        <v>9</v>
      </c>
      <c r="I860" s="30" t="s">
        <v>36</v>
      </c>
      <c r="J860" s="22"/>
      <c r="K860" s="22"/>
      <c r="L860" s="8">
        <f t="shared" si="862"/>
        <v>0</v>
      </c>
      <c r="M860" s="24">
        <f t="shared" si="868"/>
        <v>0</v>
      </c>
      <c r="N860" s="14"/>
    </row>
    <row r="861" spans="1:15" x14ac:dyDescent="0.25">
      <c r="A861" s="20">
        <v>44540</v>
      </c>
      <c r="B861" s="1">
        <f t="shared" ref="B861" si="873">B854</f>
        <v>72</v>
      </c>
      <c r="C861" s="1" t="s">
        <v>356</v>
      </c>
      <c r="D861" s="1" t="s">
        <v>58</v>
      </c>
      <c r="E861" s="26" t="e">
        <f>+E860</f>
        <v>#REF!</v>
      </c>
      <c r="F861" s="26" t="e">
        <f>+F860</f>
        <v>#REF!</v>
      </c>
      <c r="G861" s="17">
        <v>8</v>
      </c>
      <c r="H861" s="17" t="s">
        <v>9</v>
      </c>
      <c r="I861" s="30" t="s">
        <v>59</v>
      </c>
      <c r="J861" s="22">
        <v>1.35</v>
      </c>
      <c r="K861" s="22">
        <v>0.55000000000000004</v>
      </c>
      <c r="L861" s="8">
        <f t="shared" si="862"/>
        <v>0.8</v>
      </c>
      <c r="M861" s="24">
        <f t="shared" si="868"/>
        <v>3.2786885245901641E-2</v>
      </c>
      <c r="N861" s="14"/>
    </row>
    <row r="862" spans="1:15" x14ac:dyDescent="0.25">
      <c r="A862" s="20">
        <v>44540</v>
      </c>
      <c r="B862" s="1">
        <f t="shared" ref="B862" si="874">B854</f>
        <v>72</v>
      </c>
      <c r="C862" s="1" t="s">
        <v>356</v>
      </c>
      <c r="D862" s="1" t="s">
        <v>58</v>
      </c>
      <c r="E862" s="26" t="e">
        <f t="shared" ref="E862:F862" si="875">+E861</f>
        <v>#REF!</v>
      </c>
      <c r="F862" s="26" t="e">
        <f t="shared" si="875"/>
        <v>#REF!</v>
      </c>
      <c r="G862" s="17">
        <v>9</v>
      </c>
      <c r="H862" s="17" t="s">
        <v>9</v>
      </c>
      <c r="I862" s="30" t="s">
        <v>38</v>
      </c>
      <c r="J862" s="22"/>
      <c r="K862" s="22"/>
      <c r="L862" s="8">
        <f t="shared" si="862"/>
        <v>0</v>
      </c>
      <c r="M862" s="24">
        <f t="shared" si="868"/>
        <v>0</v>
      </c>
      <c r="N862" s="14"/>
    </row>
    <row r="863" spans="1:15" x14ac:dyDescent="0.25">
      <c r="A863" s="20">
        <v>44540</v>
      </c>
      <c r="B863" s="1">
        <f t="shared" ref="B863" si="876">B854</f>
        <v>72</v>
      </c>
      <c r="C863" s="1" t="s">
        <v>356</v>
      </c>
      <c r="D863" s="1" t="s">
        <v>58</v>
      </c>
      <c r="E863" s="26" t="e">
        <f t="shared" ref="E863:F863" si="877">+E862</f>
        <v>#REF!</v>
      </c>
      <c r="F863" s="26" t="e">
        <f t="shared" si="877"/>
        <v>#REF!</v>
      </c>
      <c r="G863" s="17">
        <v>10</v>
      </c>
      <c r="H863" s="17" t="s">
        <v>9</v>
      </c>
      <c r="I863" s="30" t="s">
        <v>23</v>
      </c>
      <c r="J863" s="22">
        <v>0.75</v>
      </c>
      <c r="K863" s="22">
        <v>0.55000000000000004</v>
      </c>
      <c r="L863" s="8">
        <f t="shared" si="862"/>
        <v>0.19999999999999996</v>
      </c>
      <c r="M863" s="24">
        <f t="shared" si="868"/>
        <v>8.1967213114754068E-3</v>
      </c>
      <c r="N863" s="14"/>
    </row>
    <row r="864" spans="1:15" x14ac:dyDescent="0.25">
      <c r="A864" s="20">
        <v>44540</v>
      </c>
      <c r="B864" s="1">
        <f t="shared" ref="B864" si="878">B854</f>
        <v>72</v>
      </c>
      <c r="C864" s="1" t="s">
        <v>356</v>
      </c>
      <c r="D864" s="1" t="s">
        <v>58</v>
      </c>
      <c r="E864" s="26" t="e">
        <f t="shared" ref="E864:F864" si="879">+E863</f>
        <v>#REF!</v>
      </c>
      <c r="F864" s="26" t="e">
        <f t="shared" si="879"/>
        <v>#REF!</v>
      </c>
      <c r="G864" s="17">
        <v>11</v>
      </c>
      <c r="H864" s="17" t="s">
        <v>9</v>
      </c>
      <c r="I864" s="30" t="s">
        <v>60</v>
      </c>
      <c r="J864" s="22"/>
      <c r="K864" s="22"/>
      <c r="L864" s="8">
        <f t="shared" si="862"/>
        <v>0</v>
      </c>
      <c r="M864" s="24">
        <f t="shared" si="868"/>
        <v>0</v>
      </c>
      <c r="N864" s="14"/>
    </row>
    <row r="865" spans="1:15" ht="15.75" thickBot="1" x14ac:dyDescent="0.3">
      <c r="A865" s="20">
        <v>44540</v>
      </c>
      <c r="B865" s="57">
        <f t="shared" ref="B865" si="880">B854</f>
        <v>72</v>
      </c>
      <c r="C865" s="1" t="s">
        <v>356</v>
      </c>
      <c r="D865" s="1" t="s">
        <v>58</v>
      </c>
      <c r="E865" s="26" t="e">
        <f t="shared" ref="E865:F865" si="881">+E864</f>
        <v>#REF!</v>
      </c>
      <c r="F865" s="26" t="e">
        <f t="shared" si="881"/>
        <v>#REF!</v>
      </c>
      <c r="G865" s="18">
        <f>+G864+1</f>
        <v>12</v>
      </c>
      <c r="H865" s="18" t="s">
        <v>10</v>
      </c>
      <c r="I865" s="46" t="s">
        <v>10</v>
      </c>
      <c r="J865" s="22">
        <f>9+9.5</f>
        <v>18.5</v>
      </c>
      <c r="K865" s="63">
        <f>8.55+8.55</f>
        <v>17.100000000000001</v>
      </c>
      <c r="L865" s="8">
        <f t="shared" si="862"/>
        <v>1.3999999999999986</v>
      </c>
      <c r="M865" s="24">
        <f t="shared" si="868"/>
        <v>5.7377049180327808E-2</v>
      </c>
      <c r="N865" s="14"/>
    </row>
    <row r="866" spans="1:15" x14ac:dyDescent="0.25">
      <c r="A866" s="19">
        <v>44540</v>
      </c>
      <c r="B866" s="15">
        <f t="shared" ref="B866" si="882">B854+1</f>
        <v>73</v>
      </c>
      <c r="C866" s="15" t="s">
        <v>357</v>
      </c>
      <c r="D866" s="15" t="s">
        <v>58</v>
      </c>
      <c r="E866" s="25"/>
      <c r="F866" s="25">
        <f>+SUM(L866:L877)</f>
        <v>27.2</v>
      </c>
      <c r="G866" s="16">
        <v>1</v>
      </c>
      <c r="H866" s="16" t="s">
        <v>9</v>
      </c>
      <c r="I866" s="59" t="s">
        <v>56</v>
      </c>
      <c r="J866" s="21"/>
      <c r="K866" s="21"/>
      <c r="L866" s="12">
        <f>+J866-K866</f>
        <v>0</v>
      </c>
      <c r="M866" s="23">
        <f t="shared" si="868"/>
        <v>0</v>
      </c>
      <c r="N866" s="13"/>
      <c r="O866" t="s">
        <v>358</v>
      </c>
    </row>
    <row r="867" spans="1:15" x14ac:dyDescent="0.25">
      <c r="A867" s="20">
        <v>44540</v>
      </c>
      <c r="B867" s="1">
        <f t="shared" ref="B867" si="883">B866</f>
        <v>73</v>
      </c>
      <c r="C867" s="1" t="s">
        <v>357</v>
      </c>
      <c r="D867" s="1" t="s">
        <v>58</v>
      </c>
      <c r="E867" s="26">
        <f>+E866</f>
        <v>0</v>
      </c>
      <c r="F867" s="28" t="e">
        <f>+(F866-E866)/E866</f>
        <v>#DIV/0!</v>
      </c>
      <c r="G867" s="17">
        <v>2</v>
      </c>
      <c r="H867" s="17" t="s">
        <v>9</v>
      </c>
      <c r="I867" s="30" t="s">
        <v>57</v>
      </c>
      <c r="J867" s="22">
        <f>9.2+9.05</f>
        <v>18.25</v>
      </c>
      <c r="K867" s="22">
        <f>8.55+8.55</f>
        <v>17.100000000000001</v>
      </c>
      <c r="L867" s="8">
        <f t="shared" ref="L867:L877" si="884">+J867-K867</f>
        <v>1.1499999999999986</v>
      </c>
      <c r="M867" s="24">
        <f t="shared" si="868"/>
        <v>4.2279411764705829E-2</v>
      </c>
      <c r="N867" s="14"/>
    </row>
    <row r="868" spans="1:15" x14ac:dyDescent="0.25">
      <c r="A868" s="20">
        <v>44540</v>
      </c>
      <c r="B868" s="1">
        <f t="shared" ref="B868" si="885">B866</f>
        <v>73</v>
      </c>
      <c r="C868" s="1" t="s">
        <v>357</v>
      </c>
      <c r="D868" s="1" t="s">
        <v>58</v>
      </c>
      <c r="E868" s="26" t="e">
        <f>+#REF!</f>
        <v>#REF!</v>
      </c>
      <c r="F868" s="26" t="e">
        <f>+#REF!</f>
        <v>#REF!</v>
      </c>
      <c r="G868" s="17">
        <v>3</v>
      </c>
      <c r="H868" s="17" t="s">
        <v>9</v>
      </c>
      <c r="I868" s="30" t="s">
        <v>58</v>
      </c>
      <c r="J868" s="22">
        <f>14.3+13.4+13.85+2.15+1.75+14.75</f>
        <v>60.2</v>
      </c>
      <c r="K868" s="22">
        <f>8.55+8.3+8.55+0.5+0.55+8.55</f>
        <v>35</v>
      </c>
      <c r="L868" s="8">
        <f t="shared" si="884"/>
        <v>25.200000000000003</v>
      </c>
      <c r="M868" s="24">
        <f t="shared" si="868"/>
        <v>0.92647058823529427</v>
      </c>
      <c r="N868" s="14"/>
    </row>
    <row r="869" spans="1:15" x14ac:dyDescent="0.25">
      <c r="A869" s="20">
        <v>44540</v>
      </c>
      <c r="B869" s="1">
        <f t="shared" ref="B869" si="886">B866</f>
        <v>73</v>
      </c>
      <c r="C869" s="1" t="s">
        <v>357</v>
      </c>
      <c r="D869" s="1" t="s">
        <v>58</v>
      </c>
      <c r="E869" s="26" t="e">
        <f t="shared" ref="E869:F869" si="887">+E868</f>
        <v>#REF!</v>
      </c>
      <c r="F869" s="26" t="e">
        <f t="shared" si="887"/>
        <v>#REF!</v>
      </c>
      <c r="G869" s="17">
        <v>4</v>
      </c>
      <c r="H869" s="17" t="s">
        <v>9</v>
      </c>
      <c r="I869" s="30" t="s">
        <v>22</v>
      </c>
      <c r="J869" s="22">
        <v>0.9</v>
      </c>
      <c r="K869" s="22">
        <v>0.55000000000000004</v>
      </c>
      <c r="L869" s="8">
        <f t="shared" si="884"/>
        <v>0.35</v>
      </c>
      <c r="M869" s="24">
        <f t="shared" si="868"/>
        <v>1.2867647058823529E-2</v>
      </c>
      <c r="N869" s="14"/>
    </row>
    <row r="870" spans="1:15" x14ac:dyDescent="0.25">
      <c r="A870" s="20">
        <v>44540</v>
      </c>
      <c r="B870" s="1">
        <f t="shared" ref="B870" si="888">B866</f>
        <v>73</v>
      </c>
      <c r="C870" s="1" t="s">
        <v>357</v>
      </c>
      <c r="D870" s="1" t="s">
        <v>58</v>
      </c>
      <c r="E870" s="26" t="e">
        <f t="shared" ref="E870:F870" si="889">+E869</f>
        <v>#REF!</v>
      </c>
      <c r="F870" s="26" t="e">
        <f t="shared" si="889"/>
        <v>#REF!</v>
      </c>
      <c r="G870" s="17">
        <v>5</v>
      </c>
      <c r="H870" s="17" t="s">
        <v>9</v>
      </c>
      <c r="I870" s="30" t="s">
        <v>34</v>
      </c>
      <c r="J870" s="22"/>
      <c r="K870" s="22"/>
      <c r="L870" s="8">
        <f t="shared" si="884"/>
        <v>0</v>
      </c>
      <c r="M870" s="24">
        <f t="shared" si="868"/>
        <v>0</v>
      </c>
      <c r="N870" s="14"/>
    </row>
    <row r="871" spans="1:15" x14ac:dyDescent="0.25">
      <c r="A871" s="20">
        <v>44540</v>
      </c>
      <c r="B871" s="1">
        <f t="shared" ref="B871" si="890">B866</f>
        <v>73</v>
      </c>
      <c r="C871" s="1" t="s">
        <v>357</v>
      </c>
      <c r="D871" s="1" t="s">
        <v>58</v>
      </c>
      <c r="E871" s="26" t="e">
        <f t="shared" ref="E871:F871" si="891">+E870</f>
        <v>#REF!</v>
      </c>
      <c r="F871" s="26" t="e">
        <f t="shared" si="891"/>
        <v>#REF!</v>
      </c>
      <c r="G871" s="17">
        <v>6</v>
      </c>
      <c r="H871" s="17" t="s">
        <v>9</v>
      </c>
      <c r="I871" s="30" t="s">
        <v>35</v>
      </c>
      <c r="J871" s="22"/>
      <c r="K871" s="22"/>
      <c r="L871" s="8">
        <f t="shared" si="884"/>
        <v>0</v>
      </c>
      <c r="M871" s="24">
        <f t="shared" si="868"/>
        <v>0</v>
      </c>
      <c r="N871" s="14"/>
    </row>
    <row r="872" spans="1:15" x14ac:dyDescent="0.25">
      <c r="A872" s="20">
        <v>44540</v>
      </c>
      <c r="B872" s="1">
        <f t="shared" ref="B872" si="892">B866</f>
        <v>73</v>
      </c>
      <c r="C872" s="1" t="s">
        <v>357</v>
      </c>
      <c r="D872" s="1" t="s">
        <v>58</v>
      </c>
      <c r="E872" s="26" t="e">
        <f t="shared" ref="E872:F872" si="893">+E871</f>
        <v>#REF!</v>
      </c>
      <c r="F872" s="26" t="e">
        <f t="shared" si="893"/>
        <v>#REF!</v>
      </c>
      <c r="G872" s="17">
        <v>7</v>
      </c>
      <c r="H872" s="17" t="s">
        <v>9</v>
      </c>
      <c r="I872" s="30" t="s">
        <v>36</v>
      </c>
      <c r="J872" s="22"/>
      <c r="K872" s="22"/>
      <c r="L872" s="8">
        <f t="shared" si="884"/>
        <v>0</v>
      </c>
      <c r="M872" s="24">
        <f t="shared" si="868"/>
        <v>0</v>
      </c>
      <c r="N872" s="14"/>
    </row>
    <row r="873" spans="1:15" x14ac:dyDescent="0.25">
      <c r="A873" s="20">
        <v>44540</v>
      </c>
      <c r="B873" s="1">
        <f t="shared" ref="B873" si="894">B866</f>
        <v>73</v>
      </c>
      <c r="C873" s="1" t="s">
        <v>357</v>
      </c>
      <c r="D873" s="1" t="s">
        <v>58</v>
      </c>
      <c r="E873" s="26" t="e">
        <f>+E872</f>
        <v>#REF!</v>
      </c>
      <c r="F873" s="26" t="e">
        <f>+F872</f>
        <v>#REF!</v>
      </c>
      <c r="G873" s="17">
        <v>8</v>
      </c>
      <c r="H873" s="17" t="s">
        <v>9</v>
      </c>
      <c r="I873" s="30" t="s">
        <v>59</v>
      </c>
      <c r="J873" s="22">
        <v>0.55000000000000004</v>
      </c>
      <c r="K873" s="22">
        <v>0.5</v>
      </c>
      <c r="L873" s="8">
        <f t="shared" si="884"/>
        <v>5.0000000000000044E-2</v>
      </c>
      <c r="M873" s="24">
        <f t="shared" si="868"/>
        <v>1.8382352941176488E-3</v>
      </c>
      <c r="N873" s="14"/>
    </row>
    <row r="874" spans="1:15" x14ac:dyDescent="0.25">
      <c r="A874" s="20">
        <v>44540</v>
      </c>
      <c r="B874" s="1">
        <f t="shared" ref="B874" si="895">B866</f>
        <v>73</v>
      </c>
      <c r="C874" s="1" t="s">
        <v>357</v>
      </c>
      <c r="D874" s="1" t="s">
        <v>58</v>
      </c>
      <c r="E874" s="26" t="e">
        <f t="shared" ref="E874:F874" si="896">+E873</f>
        <v>#REF!</v>
      </c>
      <c r="F874" s="26" t="e">
        <f t="shared" si="896"/>
        <v>#REF!</v>
      </c>
      <c r="G874" s="17">
        <v>9</v>
      </c>
      <c r="H874" s="17" t="s">
        <v>9</v>
      </c>
      <c r="I874" s="30" t="s">
        <v>38</v>
      </c>
      <c r="J874" s="22"/>
      <c r="K874" s="22"/>
      <c r="L874" s="8">
        <f t="shared" si="884"/>
        <v>0</v>
      </c>
      <c r="M874" s="24">
        <f t="shared" si="868"/>
        <v>0</v>
      </c>
      <c r="N874" s="14"/>
    </row>
    <row r="875" spans="1:15" x14ac:dyDescent="0.25">
      <c r="A875" s="20">
        <v>44540</v>
      </c>
      <c r="B875" s="1">
        <f t="shared" ref="B875" si="897">B866</f>
        <v>73</v>
      </c>
      <c r="C875" s="1" t="s">
        <v>357</v>
      </c>
      <c r="D875" s="1" t="s">
        <v>58</v>
      </c>
      <c r="E875" s="26" t="e">
        <f t="shared" ref="E875:F875" si="898">+E874</f>
        <v>#REF!</v>
      </c>
      <c r="F875" s="26" t="e">
        <f t="shared" si="898"/>
        <v>#REF!</v>
      </c>
      <c r="G875" s="17">
        <v>10</v>
      </c>
      <c r="H875" s="17" t="s">
        <v>9</v>
      </c>
      <c r="I875" s="30" t="s">
        <v>23</v>
      </c>
      <c r="J875" s="22">
        <v>0.65</v>
      </c>
      <c r="K875" s="22">
        <v>0.5</v>
      </c>
      <c r="L875" s="8">
        <f t="shared" si="884"/>
        <v>0.15000000000000002</v>
      </c>
      <c r="M875" s="24">
        <f t="shared" si="868"/>
        <v>5.5147058823529424E-3</v>
      </c>
      <c r="N875" s="14"/>
    </row>
    <row r="876" spans="1:15" x14ac:dyDescent="0.25">
      <c r="A876" s="20">
        <v>44540</v>
      </c>
      <c r="B876" s="1">
        <f t="shared" ref="B876" si="899">B866</f>
        <v>73</v>
      </c>
      <c r="C876" s="1" t="s">
        <v>357</v>
      </c>
      <c r="D876" s="1" t="s">
        <v>58</v>
      </c>
      <c r="E876" s="26" t="e">
        <f t="shared" ref="E876:F876" si="900">+E875</f>
        <v>#REF!</v>
      </c>
      <c r="F876" s="26" t="e">
        <f t="shared" si="900"/>
        <v>#REF!</v>
      </c>
      <c r="G876" s="17">
        <v>11</v>
      </c>
      <c r="H876" s="17" t="s">
        <v>9</v>
      </c>
      <c r="I876" s="30" t="s">
        <v>60</v>
      </c>
      <c r="J876" s="22"/>
      <c r="K876" s="22"/>
      <c r="L876" s="8">
        <f t="shared" si="884"/>
        <v>0</v>
      </c>
      <c r="M876" s="24">
        <f t="shared" si="868"/>
        <v>0</v>
      </c>
      <c r="N876" s="14"/>
    </row>
    <row r="877" spans="1:15" ht="15.75" thickBot="1" x14ac:dyDescent="0.3">
      <c r="A877" s="20">
        <v>44540</v>
      </c>
      <c r="B877" s="57">
        <f t="shared" ref="B877" si="901">B866</f>
        <v>73</v>
      </c>
      <c r="C877" s="1" t="s">
        <v>357</v>
      </c>
      <c r="D877" s="1" t="s">
        <v>58</v>
      </c>
      <c r="E877" s="26" t="e">
        <f t="shared" ref="E877:F877" si="902">+E876</f>
        <v>#REF!</v>
      </c>
      <c r="F877" s="26" t="e">
        <f t="shared" si="902"/>
        <v>#REF!</v>
      </c>
      <c r="G877" s="18">
        <f>+G876+1</f>
        <v>12</v>
      </c>
      <c r="H877" s="18" t="s">
        <v>10</v>
      </c>
      <c r="I877" s="46" t="s">
        <v>10</v>
      </c>
      <c r="J877" s="22">
        <f>8.45+8.45</f>
        <v>16.899999999999999</v>
      </c>
      <c r="K877" s="63">
        <f>8.3+8.3</f>
        <v>16.600000000000001</v>
      </c>
      <c r="L877" s="8">
        <f t="shared" si="884"/>
        <v>0.29999999999999716</v>
      </c>
      <c r="M877" s="24">
        <f t="shared" si="868"/>
        <v>1.1029411764705779E-2</v>
      </c>
      <c r="N877" s="14"/>
    </row>
    <row r="878" spans="1:15" x14ac:dyDescent="0.25">
      <c r="A878" s="19">
        <v>44540</v>
      </c>
      <c r="B878" s="15">
        <f t="shared" ref="B878" si="903">B866+1</f>
        <v>74</v>
      </c>
      <c r="C878" s="15" t="s">
        <v>359</v>
      </c>
      <c r="D878" s="15" t="s">
        <v>58</v>
      </c>
      <c r="E878" s="25"/>
      <c r="F878" s="25">
        <f>+SUM(L878:L889)</f>
        <v>37.049999999999997</v>
      </c>
      <c r="G878" s="16">
        <v>1</v>
      </c>
      <c r="H878" s="16" t="s">
        <v>9</v>
      </c>
      <c r="I878" s="59" t="s">
        <v>56</v>
      </c>
      <c r="J878" s="21">
        <v>0.05</v>
      </c>
      <c r="K878" s="21">
        <v>0</v>
      </c>
      <c r="L878" s="12">
        <f>+J878-K878</f>
        <v>0.05</v>
      </c>
      <c r="M878" s="23">
        <f t="shared" si="868"/>
        <v>1.3495276653171392E-3</v>
      </c>
      <c r="N878" s="13"/>
      <c r="O878" t="s">
        <v>358</v>
      </c>
    </row>
    <row r="879" spans="1:15" x14ac:dyDescent="0.25">
      <c r="A879" s="20">
        <v>44540</v>
      </c>
      <c r="B879" s="1">
        <f t="shared" ref="B879" si="904">B878</f>
        <v>74</v>
      </c>
      <c r="C879" s="1" t="s">
        <v>359</v>
      </c>
      <c r="D879" s="1" t="s">
        <v>58</v>
      </c>
      <c r="E879" s="26">
        <f>+E878</f>
        <v>0</v>
      </c>
      <c r="F879" s="28" t="e">
        <f>+(F878-E878)/E878</f>
        <v>#DIV/0!</v>
      </c>
      <c r="G879" s="17">
        <v>2</v>
      </c>
      <c r="H879" s="17" t="s">
        <v>9</v>
      </c>
      <c r="I879" s="30" t="s">
        <v>57</v>
      </c>
      <c r="J879" s="22">
        <f>9.3+9.3</f>
        <v>18.600000000000001</v>
      </c>
      <c r="K879" s="22">
        <f>8.55+8.55</f>
        <v>17.100000000000001</v>
      </c>
      <c r="L879" s="8">
        <f t="shared" ref="L879:L889" si="905">+J879-K879</f>
        <v>1.5</v>
      </c>
      <c r="M879" s="24">
        <f t="shared" si="868"/>
        <v>4.048582995951417E-2</v>
      </c>
      <c r="N879" s="14"/>
    </row>
    <row r="880" spans="1:15" x14ac:dyDescent="0.25">
      <c r="A880" s="20">
        <v>44540</v>
      </c>
      <c r="B880" s="1">
        <f t="shared" ref="B880" si="906">B878</f>
        <v>74</v>
      </c>
      <c r="C880" s="1" t="s">
        <v>359</v>
      </c>
      <c r="D880" s="1" t="s">
        <v>58</v>
      </c>
      <c r="E880" s="26" t="e">
        <f>+#REF!</f>
        <v>#REF!</v>
      </c>
      <c r="F880" s="26" t="e">
        <f>+#REF!</f>
        <v>#REF!</v>
      </c>
      <c r="G880" s="17">
        <v>3</v>
      </c>
      <c r="H880" s="17" t="s">
        <v>9</v>
      </c>
      <c r="I880" s="30" t="s">
        <v>58</v>
      </c>
      <c r="J880" s="22">
        <f>14.65+13.25+14.55+13.8+9.45+12.6</f>
        <v>78.3</v>
      </c>
      <c r="K880" s="22">
        <f>8.3+8.55+8.5+8.55+8.3+8.5</f>
        <v>50.7</v>
      </c>
      <c r="L880" s="8">
        <f t="shared" si="905"/>
        <v>27.599999999999994</v>
      </c>
      <c r="M880" s="24">
        <f t="shared" si="868"/>
        <v>0.74493927125506065</v>
      </c>
      <c r="N880" s="14"/>
    </row>
    <row r="881" spans="1:15" x14ac:dyDescent="0.25">
      <c r="A881" s="20">
        <v>44540</v>
      </c>
      <c r="B881" s="1">
        <f t="shared" ref="B881" si="907">B878</f>
        <v>74</v>
      </c>
      <c r="C881" s="1" t="s">
        <v>359</v>
      </c>
      <c r="D881" s="1" t="s">
        <v>58</v>
      </c>
      <c r="E881" s="26" t="e">
        <f t="shared" ref="E881:F881" si="908">+E880</f>
        <v>#REF!</v>
      </c>
      <c r="F881" s="26" t="e">
        <f t="shared" si="908"/>
        <v>#REF!</v>
      </c>
      <c r="G881" s="17">
        <v>4</v>
      </c>
      <c r="H881" s="17" t="s">
        <v>9</v>
      </c>
      <c r="I881" s="30" t="s">
        <v>22</v>
      </c>
      <c r="J881" s="22">
        <v>3.65</v>
      </c>
      <c r="K881" s="22">
        <v>0.55000000000000004</v>
      </c>
      <c r="L881" s="8">
        <f t="shared" si="905"/>
        <v>3.0999999999999996</v>
      </c>
      <c r="M881" s="24">
        <f t="shared" si="868"/>
        <v>8.3670715249662617E-2</v>
      </c>
      <c r="N881" s="14"/>
    </row>
    <row r="882" spans="1:15" x14ac:dyDescent="0.25">
      <c r="A882" s="20">
        <v>44540</v>
      </c>
      <c r="B882" s="1">
        <f t="shared" ref="B882" si="909">B878</f>
        <v>74</v>
      </c>
      <c r="C882" s="1" t="s">
        <v>359</v>
      </c>
      <c r="D882" s="1" t="s">
        <v>58</v>
      </c>
      <c r="E882" s="26" t="e">
        <f t="shared" ref="E882:F882" si="910">+E881</f>
        <v>#REF!</v>
      </c>
      <c r="F882" s="26" t="e">
        <f t="shared" si="910"/>
        <v>#REF!</v>
      </c>
      <c r="G882" s="17">
        <v>5</v>
      </c>
      <c r="H882" s="17" t="s">
        <v>9</v>
      </c>
      <c r="I882" s="30" t="s">
        <v>34</v>
      </c>
      <c r="J882" s="22">
        <v>0.85</v>
      </c>
      <c r="K882" s="22">
        <v>0.5</v>
      </c>
      <c r="L882" s="8">
        <f t="shared" si="905"/>
        <v>0.35</v>
      </c>
      <c r="M882" s="24">
        <f t="shared" si="868"/>
        <v>9.4466936572199737E-3</v>
      </c>
      <c r="N882" s="14"/>
    </row>
    <row r="883" spans="1:15" x14ac:dyDescent="0.25">
      <c r="A883" s="20">
        <v>44540</v>
      </c>
      <c r="B883" s="1">
        <f t="shared" ref="B883" si="911">B878</f>
        <v>74</v>
      </c>
      <c r="C883" s="1" t="s">
        <v>359</v>
      </c>
      <c r="D883" s="1" t="s">
        <v>58</v>
      </c>
      <c r="E883" s="26" t="e">
        <f t="shared" ref="E883:F883" si="912">+E882</f>
        <v>#REF!</v>
      </c>
      <c r="F883" s="26" t="e">
        <f t="shared" si="912"/>
        <v>#REF!</v>
      </c>
      <c r="G883" s="17">
        <v>6</v>
      </c>
      <c r="H883" s="17" t="s">
        <v>9</v>
      </c>
      <c r="I883" s="30" t="s">
        <v>35</v>
      </c>
      <c r="J883" s="22"/>
      <c r="K883" s="22"/>
      <c r="L883" s="8">
        <f t="shared" si="905"/>
        <v>0</v>
      </c>
      <c r="M883" s="24">
        <f t="shared" si="868"/>
        <v>0</v>
      </c>
      <c r="N883" s="14"/>
    </row>
    <row r="884" spans="1:15" x14ac:dyDescent="0.25">
      <c r="A884" s="20">
        <v>44540</v>
      </c>
      <c r="B884" s="1">
        <f t="shared" ref="B884" si="913">B878</f>
        <v>74</v>
      </c>
      <c r="C884" s="1" t="s">
        <v>359</v>
      </c>
      <c r="D884" s="1" t="s">
        <v>58</v>
      </c>
      <c r="E884" s="26" t="e">
        <f t="shared" ref="E884:F884" si="914">+E883</f>
        <v>#REF!</v>
      </c>
      <c r="F884" s="26" t="e">
        <f t="shared" si="914"/>
        <v>#REF!</v>
      </c>
      <c r="G884" s="17">
        <v>7</v>
      </c>
      <c r="H884" s="17" t="s">
        <v>9</v>
      </c>
      <c r="I884" s="30" t="s">
        <v>36</v>
      </c>
      <c r="J884" s="22"/>
      <c r="K884" s="22"/>
      <c r="L884" s="8">
        <f t="shared" si="905"/>
        <v>0</v>
      </c>
      <c r="M884" s="24">
        <f t="shared" si="868"/>
        <v>0</v>
      </c>
      <c r="N884" s="14"/>
    </row>
    <row r="885" spans="1:15" x14ac:dyDescent="0.25">
      <c r="A885" s="20">
        <v>44540</v>
      </c>
      <c r="B885" s="1">
        <f t="shared" ref="B885" si="915">B878</f>
        <v>74</v>
      </c>
      <c r="C885" s="1" t="s">
        <v>359</v>
      </c>
      <c r="D885" s="1" t="s">
        <v>58</v>
      </c>
      <c r="E885" s="26" t="e">
        <f>+E884</f>
        <v>#REF!</v>
      </c>
      <c r="F885" s="26" t="e">
        <f>+F884</f>
        <v>#REF!</v>
      </c>
      <c r="G885" s="17">
        <v>8</v>
      </c>
      <c r="H885" s="17" t="s">
        <v>9</v>
      </c>
      <c r="I885" s="30" t="s">
        <v>59</v>
      </c>
      <c r="J885" s="22">
        <v>0.8</v>
      </c>
      <c r="K885" s="22">
        <v>0.55000000000000004</v>
      </c>
      <c r="L885" s="8">
        <f t="shared" si="905"/>
        <v>0.25</v>
      </c>
      <c r="M885" s="24">
        <f t="shared" si="868"/>
        <v>6.7476383265856954E-3</v>
      </c>
      <c r="N885" s="14"/>
    </row>
    <row r="886" spans="1:15" x14ac:dyDescent="0.25">
      <c r="A886" s="20">
        <v>44540</v>
      </c>
      <c r="B886" s="1">
        <f t="shared" ref="B886" si="916">B878</f>
        <v>74</v>
      </c>
      <c r="C886" s="1" t="s">
        <v>359</v>
      </c>
      <c r="D886" s="1" t="s">
        <v>58</v>
      </c>
      <c r="E886" s="26" t="e">
        <f t="shared" ref="E886:F886" si="917">+E885</f>
        <v>#REF!</v>
      </c>
      <c r="F886" s="26" t="e">
        <f t="shared" si="917"/>
        <v>#REF!</v>
      </c>
      <c r="G886" s="17">
        <v>9</v>
      </c>
      <c r="H886" s="17" t="s">
        <v>9</v>
      </c>
      <c r="I886" s="30" t="s">
        <v>38</v>
      </c>
      <c r="J886" s="22"/>
      <c r="K886" s="22"/>
      <c r="L886" s="8">
        <f t="shared" si="905"/>
        <v>0</v>
      </c>
      <c r="M886" s="24">
        <f t="shared" si="868"/>
        <v>0</v>
      </c>
      <c r="N886" s="14"/>
    </row>
    <row r="887" spans="1:15" x14ac:dyDescent="0.25">
      <c r="A887" s="20">
        <v>44540</v>
      </c>
      <c r="B887" s="1">
        <f t="shared" ref="B887" si="918">B878</f>
        <v>74</v>
      </c>
      <c r="C887" s="1" t="s">
        <v>359</v>
      </c>
      <c r="D887" s="1" t="s">
        <v>58</v>
      </c>
      <c r="E887" s="26" t="e">
        <f t="shared" ref="E887:F887" si="919">+E886</f>
        <v>#REF!</v>
      </c>
      <c r="F887" s="26" t="e">
        <f t="shared" si="919"/>
        <v>#REF!</v>
      </c>
      <c r="G887" s="17">
        <v>10</v>
      </c>
      <c r="H887" s="17" t="s">
        <v>9</v>
      </c>
      <c r="I887" s="30" t="s">
        <v>23</v>
      </c>
      <c r="J887" s="22">
        <v>1.4</v>
      </c>
      <c r="K887" s="22">
        <v>0.55000000000000004</v>
      </c>
      <c r="L887" s="8">
        <f t="shared" si="905"/>
        <v>0.84999999999999987</v>
      </c>
      <c r="M887" s="24">
        <f t="shared" si="868"/>
        <v>2.2941970310391361E-2</v>
      </c>
      <c r="N887" s="14"/>
    </row>
    <row r="888" spans="1:15" x14ac:dyDescent="0.25">
      <c r="A888" s="20">
        <v>44540</v>
      </c>
      <c r="B888" s="1">
        <f t="shared" ref="B888" si="920">B878</f>
        <v>74</v>
      </c>
      <c r="C888" s="1" t="s">
        <v>359</v>
      </c>
      <c r="D888" s="1" t="s">
        <v>58</v>
      </c>
      <c r="E888" s="26" t="e">
        <f t="shared" ref="E888:F888" si="921">+E887</f>
        <v>#REF!</v>
      </c>
      <c r="F888" s="26" t="e">
        <f t="shared" si="921"/>
        <v>#REF!</v>
      </c>
      <c r="G888" s="17">
        <v>11</v>
      </c>
      <c r="H888" s="17" t="s">
        <v>9</v>
      </c>
      <c r="I888" s="30" t="s">
        <v>60</v>
      </c>
      <c r="J888" s="22">
        <v>0.8</v>
      </c>
      <c r="K888" s="22">
        <v>0.55000000000000004</v>
      </c>
      <c r="L888" s="8">
        <f t="shared" si="905"/>
        <v>0.25</v>
      </c>
      <c r="M888" s="24">
        <f t="shared" si="868"/>
        <v>6.7476383265856954E-3</v>
      </c>
      <c r="N888" s="14"/>
    </row>
    <row r="889" spans="1:15" ht="15.75" thickBot="1" x14ac:dyDescent="0.3">
      <c r="A889" s="20">
        <v>44540</v>
      </c>
      <c r="B889" s="57">
        <f t="shared" ref="B889" si="922">B878</f>
        <v>74</v>
      </c>
      <c r="C889" s="1" t="s">
        <v>359</v>
      </c>
      <c r="D889" s="1" t="s">
        <v>58</v>
      </c>
      <c r="E889" s="26" t="e">
        <f t="shared" ref="E889:F889" si="923">+E888</f>
        <v>#REF!</v>
      </c>
      <c r="F889" s="26" t="e">
        <f t="shared" si="923"/>
        <v>#REF!</v>
      </c>
      <c r="G889" s="18">
        <f>+G888+1</f>
        <v>12</v>
      </c>
      <c r="H889" s="18" t="s">
        <v>10</v>
      </c>
      <c r="I889" s="46" t="s">
        <v>10</v>
      </c>
      <c r="J889" s="22">
        <f>9.5+10.45</f>
        <v>19.95</v>
      </c>
      <c r="K889" s="63">
        <f>8.3+8.55</f>
        <v>16.850000000000001</v>
      </c>
      <c r="L889" s="8">
        <f t="shared" si="905"/>
        <v>3.0999999999999979</v>
      </c>
      <c r="M889" s="24">
        <f t="shared" si="868"/>
        <v>8.3670715249662561E-2</v>
      </c>
      <c r="N889" s="14"/>
    </row>
    <row r="890" spans="1:15" x14ac:dyDescent="0.25">
      <c r="A890" s="19">
        <v>44540</v>
      </c>
      <c r="B890" s="15">
        <f t="shared" ref="B890" si="924">B878+1</f>
        <v>75</v>
      </c>
      <c r="C890" s="15" t="s">
        <v>360</v>
      </c>
      <c r="D890" s="15" t="s">
        <v>184</v>
      </c>
      <c r="E890" s="25"/>
      <c r="F890" s="25">
        <f>+SUM(L890:L901)</f>
        <v>15.899999999999995</v>
      </c>
      <c r="G890" s="16">
        <v>1</v>
      </c>
      <c r="H890" s="16" t="s">
        <v>9</v>
      </c>
      <c r="I890" s="59" t="s">
        <v>56</v>
      </c>
      <c r="J890" s="21">
        <f>12.15+10.95+12.75+11.95+2.1</f>
        <v>49.9</v>
      </c>
      <c r="K890" s="21">
        <f>8.3+8.3+8.55+8.55+0.5+0.5</f>
        <v>34.700000000000003</v>
      </c>
      <c r="L890" s="12">
        <f>+J890-K890</f>
        <v>15.199999999999996</v>
      </c>
      <c r="M890" s="23">
        <f t="shared" si="868"/>
        <v>0.95597484276729561</v>
      </c>
      <c r="N890" s="13" t="s">
        <v>362</v>
      </c>
      <c r="O890" t="s">
        <v>361</v>
      </c>
    </row>
    <row r="891" spans="1:15" x14ac:dyDescent="0.25">
      <c r="A891" s="20">
        <v>44540</v>
      </c>
      <c r="B891" s="1">
        <f t="shared" ref="B891" si="925">B890</f>
        <v>75</v>
      </c>
      <c r="C891" s="1" t="s">
        <v>360</v>
      </c>
      <c r="D891" s="1" t="s">
        <v>184</v>
      </c>
      <c r="E891" s="26">
        <f>+E890</f>
        <v>0</v>
      </c>
      <c r="F891" s="28" t="e">
        <f>+(F890-E890)/E890</f>
        <v>#DIV/0!</v>
      </c>
      <c r="G891" s="17">
        <v>2</v>
      </c>
      <c r="H891" s="17" t="s">
        <v>9</v>
      </c>
      <c r="I891" s="30" t="s">
        <v>57</v>
      </c>
      <c r="J891" s="22">
        <v>9</v>
      </c>
      <c r="K891" s="22">
        <v>8.5500000000000007</v>
      </c>
      <c r="L891" s="8">
        <f t="shared" ref="L891:L901" si="926">+J891-K891</f>
        <v>0.44999999999999929</v>
      </c>
      <c r="M891" s="24">
        <f t="shared" si="868"/>
        <v>2.8301886792452793E-2</v>
      </c>
      <c r="N891" s="14" t="s">
        <v>363</v>
      </c>
    </row>
    <row r="892" spans="1:15" x14ac:dyDescent="0.25">
      <c r="A892" s="20">
        <v>44540</v>
      </c>
      <c r="B892" s="1">
        <f t="shared" ref="B892" si="927">B890</f>
        <v>75</v>
      </c>
      <c r="C892" s="1" t="s">
        <v>360</v>
      </c>
      <c r="D892" s="1" t="s">
        <v>184</v>
      </c>
      <c r="E892" s="26" t="e">
        <f>+#REF!</f>
        <v>#REF!</v>
      </c>
      <c r="F892" s="26" t="e">
        <f>+#REF!</f>
        <v>#REF!</v>
      </c>
      <c r="G892" s="17">
        <v>3</v>
      </c>
      <c r="H892" s="17" t="s">
        <v>9</v>
      </c>
      <c r="I892" s="30" t="s">
        <v>58</v>
      </c>
      <c r="J892" s="22"/>
      <c r="K892" s="22"/>
      <c r="L892" s="8">
        <f t="shared" si="926"/>
        <v>0</v>
      </c>
      <c r="M892" s="24">
        <f t="shared" si="868"/>
        <v>0</v>
      </c>
      <c r="N892" s="14"/>
    </row>
    <row r="893" spans="1:15" x14ac:dyDescent="0.25">
      <c r="A893" s="20">
        <v>44540</v>
      </c>
      <c r="B893" s="1">
        <f t="shared" ref="B893" si="928">B890</f>
        <v>75</v>
      </c>
      <c r="C893" s="1" t="s">
        <v>360</v>
      </c>
      <c r="D893" s="1" t="s">
        <v>184</v>
      </c>
      <c r="E893" s="26" t="e">
        <f t="shared" ref="E893:F893" si="929">+E892</f>
        <v>#REF!</v>
      </c>
      <c r="F893" s="26" t="e">
        <f t="shared" si="929"/>
        <v>#REF!</v>
      </c>
      <c r="G893" s="17">
        <v>4</v>
      </c>
      <c r="H893" s="17" t="s">
        <v>9</v>
      </c>
      <c r="I893" s="30" t="s">
        <v>22</v>
      </c>
      <c r="J893" s="22"/>
      <c r="K893" s="22"/>
      <c r="L893" s="8">
        <f t="shared" si="926"/>
        <v>0</v>
      </c>
      <c r="M893" s="24">
        <f t="shared" si="868"/>
        <v>0</v>
      </c>
      <c r="N893" s="14"/>
    </row>
    <row r="894" spans="1:15" x14ac:dyDescent="0.25">
      <c r="A894" s="20">
        <v>44540</v>
      </c>
      <c r="B894" s="1">
        <f t="shared" ref="B894" si="930">B890</f>
        <v>75</v>
      </c>
      <c r="C894" s="1" t="s">
        <v>360</v>
      </c>
      <c r="D894" s="1" t="s">
        <v>184</v>
      </c>
      <c r="E894" s="26" t="e">
        <f t="shared" ref="E894:F894" si="931">+E893</f>
        <v>#REF!</v>
      </c>
      <c r="F894" s="26" t="e">
        <f t="shared" si="931"/>
        <v>#REF!</v>
      </c>
      <c r="G894" s="17">
        <v>5</v>
      </c>
      <c r="H894" s="17" t="s">
        <v>9</v>
      </c>
      <c r="I894" s="30" t="s">
        <v>34</v>
      </c>
      <c r="J894" s="22">
        <v>0.6</v>
      </c>
      <c r="K894" s="22">
        <v>0.55000000000000004</v>
      </c>
      <c r="L894" s="8">
        <f t="shared" si="926"/>
        <v>4.9999999999999933E-2</v>
      </c>
      <c r="M894" s="24">
        <f t="shared" si="868"/>
        <v>3.1446540880503112E-3</v>
      </c>
      <c r="N894" s="14"/>
    </row>
    <row r="895" spans="1:15" x14ac:dyDescent="0.25">
      <c r="A895" s="20">
        <v>44540</v>
      </c>
      <c r="B895" s="1">
        <f t="shared" ref="B895" si="932">B890</f>
        <v>75</v>
      </c>
      <c r="C895" s="1" t="s">
        <v>360</v>
      </c>
      <c r="D895" s="1" t="s">
        <v>184</v>
      </c>
      <c r="E895" s="26" t="e">
        <f t="shared" ref="E895:F895" si="933">+E894</f>
        <v>#REF!</v>
      </c>
      <c r="F895" s="26" t="e">
        <f t="shared" si="933"/>
        <v>#REF!</v>
      </c>
      <c r="G895" s="17">
        <v>6</v>
      </c>
      <c r="H895" s="17" t="s">
        <v>9</v>
      </c>
      <c r="I895" s="30" t="s">
        <v>35</v>
      </c>
      <c r="J895" s="22"/>
      <c r="K895" s="22"/>
      <c r="L895" s="8">
        <f t="shared" si="926"/>
        <v>0</v>
      </c>
      <c r="M895" s="24">
        <f t="shared" si="868"/>
        <v>0</v>
      </c>
      <c r="N895" s="14"/>
    </row>
    <row r="896" spans="1:15" x14ac:dyDescent="0.25">
      <c r="A896" s="20">
        <v>44540</v>
      </c>
      <c r="B896" s="1">
        <f t="shared" ref="B896" si="934">B890</f>
        <v>75</v>
      </c>
      <c r="C896" s="1" t="s">
        <v>360</v>
      </c>
      <c r="D896" s="1" t="s">
        <v>184</v>
      </c>
      <c r="E896" s="26" t="e">
        <f t="shared" ref="E896:F896" si="935">+E895</f>
        <v>#REF!</v>
      </c>
      <c r="F896" s="26" t="e">
        <f t="shared" si="935"/>
        <v>#REF!</v>
      </c>
      <c r="G896" s="17">
        <v>7</v>
      </c>
      <c r="H896" s="17" t="s">
        <v>9</v>
      </c>
      <c r="I896" s="30" t="s">
        <v>36</v>
      </c>
      <c r="J896" s="22"/>
      <c r="K896" s="22"/>
      <c r="L896" s="8">
        <f t="shared" si="926"/>
        <v>0</v>
      </c>
      <c r="M896" s="24">
        <f t="shared" si="868"/>
        <v>0</v>
      </c>
      <c r="N896" s="14"/>
    </row>
    <row r="897" spans="1:15" x14ac:dyDescent="0.25">
      <c r="A897" s="20">
        <v>44540</v>
      </c>
      <c r="B897" s="1">
        <f t="shared" ref="B897" si="936">B890</f>
        <v>75</v>
      </c>
      <c r="C897" s="1" t="s">
        <v>360</v>
      </c>
      <c r="D897" s="1" t="s">
        <v>184</v>
      </c>
      <c r="E897" s="26" t="e">
        <f>+E896</f>
        <v>#REF!</v>
      </c>
      <c r="F897" s="26" t="e">
        <f>+F896</f>
        <v>#REF!</v>
      </c>
      <c r="G897" s="17">
        <v>8</v>
      </c>
      <c r="H897" s="17" t="s">
        <v>9</v>
      </c>
      <c r="I897" s="30" t="s">
        <v>59</v>
      </c>
      <c r="J897" s="22"/>
      <c r="K897" s="22"/>
      <c r="L897" s="8">
        <f t="shared" si="926"/>
        <v>0</v>
      </c>
      <c r="M897" s="24">
        <f t="shared" si="868"/>
        <v>0</v>
      </c>
      <c r="N897" s="14"/>
    </row>
    <row r="898" spans="1:15" x14ac:dyDescent="0.25">
      <c r="A898" s="20">
        <v>44540</v>
      </c>
      <c r="B898" s="1">
        <f t="shared" ref="B898" si="937">B890</f>
        <v>75</v>
      </c>
      <c r="C898" s="1" t="s">
        <v>360</v>
      </c>
      <c r="D898" s="1" t="s">
        <v>184</v>
      </c>
      <c r="E898" s="26" t="e">
        <f t="shared" ref="E898:F898" si="938">+E897</f>
        <v>#REF!</v>
      </c>
      <c r="F898" s="26" t="e">
        <f t="shared" si="938"/>
        <v>#REF!</v>
      </c>
      <c r="G898" s="17">
        <v>9</v>
      </c>
      <c r="H898" s="17" t="s">
        <v>9</v>
      </c>
      <c r="I898" s="30" t="s">
        <v>38</v>
      </c>
      <c r="J898" s="22"/>
      <c r="K898" s="22"/>
      <c r="L898" s="8">
        <f t="shared" si="926"/>
        <v>0</v>
      </c>
      <c r="M898" s="24">
        <f t="shared" si="868"/>
        <v>0</v>
      </c>
      <c r="N898" s="14"/>
    </row>
    <row r="899" spans="1:15" x14ac:dyDescent="0.25">
      <c r="A899" s="20">
        <v>44540</v>
      </c>
      <c r="B899" s="1">
        <f t="shared" ref="B899" si="939">B890</f>
        <v>75</v>
      </c>
      <c r="C899" s="1" t="s">
        <v>360</v>
      </c>
      <c r="D899" s="1" t="s">
        <v>184</v>
      </c>
      <c r="E899" s="26" t="e">
        <f t="shared" ref="E899:F899" si="940">+E898</f>
        <v>#REF!</v>
      </c>
      <c r="F899" s="26" t="e">
        <f t="shared" si="940"/>
        <v>#REF!</v>
      </c>
      <c r="G899" s="17">
        <v>10</v>
      </c>
      <c r="H899" s="17" t="s">
        <v>9</v>
      </c>
      <c r="I899" s="30" t="s">
        <v>23</v>
      </c>
      <c r="J899" s="22"/>
      <c r="K899" s="22"/>
      <c r="L899" s="8">
        <f t="shared" si="926"/>
        <v>0</v>
      </c>
      <c r="M899" s="24">
        <f t="shared" si="868"/>
        <v>0</v>
      </c>
      <c r="N899" s="14"/>
    </row>
    <row r="900" spans="1:15" x14ac:dyDescent="0.25">
      <c r="A900" s="20">
        <v>44540</v>
      </c>
      <c r="B900" s="1">
        <f t="shared" ref="B900" si="941">B890</f>
        <v>75</v>
      </c>
      <c r="C900" s="1" t="s">
        <v>360</v>
      </c>
      <c r="D900" s="1" t="s">
        <v>184</v>
      </c>
      <c r="E900" s="26" t="e">
        <f t="shared" ref="E900:F900" si="942">+E899</f>
        <v>#REF!</v>
      </c>
      <c r="F900" s="26" t="e">
        <f t="shared" si="942"/>
        <v>#REF!</v>
      </c>
      <c r="G900" s="17">
        <v>11</v>
      </c>
      <c r="H900" s="17" t="s">
        <v>9</v>
      </c>
      <c r="I900" s="30" t="s">
        <v>60</v>
      </c>
      <c r="J900" s="22"/>
      <c r="K900" s="22"/>
      <c r="L900" s="8">
        <f t="shared" si="926"/>
        <v>0</v>
      </c>
      <c r="M900" s="24">
        <f t="shared" si="868"/>
        <v>0</v>
      </c>
      <c r="N900" s="14"/>
    </row>
    <row r="901" spans="1:15" ht="15.75" thickBot="1" x14ac:dyDescent="0.3">
      <c r="A901" s="20">
        <v>44540</v>
      </c>
      <c r="B901" s="57">
        <f t="shared" ref="B901" si="943">B890</f>
        <v>75</v>
      </c>
      <c r="C901" s="1" t="s">
        <v>360</v>
      </c>
      <c r="D901" s="1" t="s">
        <v>184</v>
      </c>
      <c r="E901" s="26" t="e">
        <f t="shared" ref="E901:F901" si="944">+E900</f>
        <v>#REF!</v>
      </c>
      <c r="F901" s="26" t="e">
        <f t="shared" si="944"/>
        <v>#REF!</v>
      </c>
      <c r="G901" s="18">
        <f>+G900+1</f>
        <v>12</v>
      </c>
      <c r="H901" s="18" t="s">
        <v>10</v>
      </c>
      <c r="I901" s="46" t="s">
        <v>10</v>
      </c>
      <c r="J901" s="22">
        <v>8.6999999999999993</v>
      </c>
      <c r="K901" s="63">
        <v>8.5</v>
      </c>
      <c r="L901" s="8">
        <f t="shared" si="926"/>
        <v>0.19999999999999929</v>
      </c>
      <c r="M901" s="24">
        <f t="shared" si="868"/>
        <v>1.2578616352201217E-2</v>
      </c>
      <c r="N901" s="14"/>
    </row>
    <row r="902" spans="1:15" x14ac:dyDescent="0.25">
      <c r="A902" s="19">
        <v>44540</v>
      </c>
      <c r="B902" s="15">
        <f t="shared" ref="B902" si="945">B890+1</f>
        <v>76</v>
      </c>
      <c r="C902" s="15" t="s">
        <v>364</v>
      </c>
      <c r="D902" s="15" t="s">
        <v>184</v>
      </c>
      <c r="E902" s="25"/>
      <c r="F902" s="25">
        <f>+SUM(L902:L913)</f>
        <v>21.850000000000016</v>
      </c>
      <c r="G902" s="16">
        <v>1</v>
      </c>
      <c r="H902" s="16" t="s">
        <v>9</v>
      </c>
      <c r="I902" s="59" t="s">
        <v>56</v>
      </c>
      <c r="J902" s="21">
        <f>11.7+13.05+12.4+1.1+1.2+12.85+12.05</f>
        <v>64.350000000000009</v>
      </c>
      <c r="K902" s="21">
        <f>8.55+8.6+8.3+0.55+0.5+8.55+8.55</f>
        <v>43.599999999999994</v>
      </c>
      <c r="L902" s="12">
        <f>+J902-K902</f>
        <v>20.750000000000014</v>
      </c>
      <c r="M902" s="23">
        <f t="shared" si="868"/>
        <v>0.94965675057208232</v>
      </c>
      <c r="N902" s="13" t="s">
        <v>365</v>
      </c>
      <c r="O902" t="s">
        <v>361</v>
      </c>
    </row>
    <row r="903" spans="1:15" x14ac:dyDescent="0.25">
      <c r="A903" s="20">
        <v>44540</v>
      </c>
      <c r="B903" s="1">
        <f t="shared" ref="B903" si="946">B902</f>
        <v>76</v>
      </c>
      <c r="C903" s="1" t="s">
        <v>364</v>
      </c>
      <c r="D903" s="1" t="s">
        <v>184</v>
      </c>
      <c r="E903" s="26">
        <f>+E902</f>
        <v>0</v>
      </c>
      <c r="F903" s="28" t="e">
        <f>+(F902-E902)/E902</f>
        <v>#DIV/0!</v>
      </c>
      <c r="G903" s="17">
        <v>2</v>
      </c>
      <c r="H903" s="17" t="s">
        <v>9</v>
      </c>
      <c r="I903" s="30" t="s">
        <v>57</v>
      </c>
      <c r="J903" s="22">
        <f>8.8+8.75</f>
        <v>17.55</v>
      </c>
      <c r="K903" s="22">
        <f>8.5+8.3</f>
        <v>16.8</v>
      </c>
      <c r="L903" s="8">
        <f t="shared" ref="L903:L913" si="947">+J903-K903</f>
        <v>0.75</v>
      </c>
      <c r="M903" s="24">
        <f t="shared" si="868"/>
        <v>3.4324942791761986E-2</v>
      </c>
      <c r="N903" s="14" t="s">
        <v>363</v>
      </c>
    </row>
    <row r="904" spans="1:15" x14ac:dyDescent="0.25">
      <c r="A904" s="20">
        <v>44540</v>
      </c>
      <c r="B904" s="1">
        <f t="shared" ref="B904" si="948">B902</f>
        <v>76</v>
      </c>
      <c r="C904" s="1" t="s">
        <v>364</v>
      </c>
      <c r="D904" s="1" t="s">
        <v>184</v>
      </c>
      <c r="E904" s="26" t="e">
        <f>+#REF!</f>
        <v>#REF!</v>
      </c>
      <c r="F904" s="26" t="e">
        <f>+#REF!</f>
        <v>#REF!</v>
      </c>
      <c r="G904" s="17">
        <v>3</v>
      </c>
      <c r="H904" s="17" t="s">
        <v>9</v>
      </c>
      <c r="I904" s="30" t="s">
        <v>58</v>
      </c>
      <c r="J904" s="22"/>
      <c r="K904" s="22"/>
      <c r="L904" s="8">
        <f t="shared" si="947"/>
        <v>0</v>
      </c>
      <c r="M904" s="24">
        <f t="shared" si="868"/>
        <v>0</v>
      </c>
      <c r="N904" s="14"/>
    </row>
    <row r="905" spans="1:15" x14ac:dyDescent="0.25">
      <c r="A905" s="20">
        <v>44540</v>
      </c>
      <c r="B905" s="1">
        <f t="shared" ref="B905" si="949">B902</f>
        <v>76</v>
      </c>
      <c r="C905" s="1" t="s">
        <v>364</v>
      </c>
      <c r="D905" s="1" t="s">
        <v>184</v>
      </c>
      <c r="E905" s="26" t="e">
        <f t="shared" ref="E905:F905" si="950">+E904</f>
        <v>#REF!</v>
      </c>
      <c r="F905" s="26" t="e">
        <f t="shared" si="950"/>
        <v>#REF!</v>
      </c>
      <c r="G905" s="17">
        <v>4</v>
      </c>
      <c r="H905" s="17" t="s">
        <v>9</v>
      </c>
      <c r="I905" s="30" t="s">
        <v>22</v>
      </c>
      <c r="J905" s="22"/>
      <c r="K905" s="22"/>
      <c r="L905" s="8">
        <f t="shared" si="947"/>
        <v>0</v>
      </c>
      <c r="M905" s="24">
        <f t="shared" si="868"/>
        <v>0</v>
      </c>
      <c r="N905" s="14"/>
    </row>
    <row r="906" spans="1:15" x14ac:dyDescent="0.25">
      <c r="A906" s="20">
        <v>44540</v>
      </c>
      <c r="B906" s="1">
        <f t="shared" ref="B906" si="951">B902</f>
        <v>76</v>
      </c>
      <c r="C906" s="1" t="s">
        <v>364</v>
      </c>
      <c r="D906" s="1" t="s">
        <v>184</v>
      </c>
      <c r="E906" s="26" t="e">
        <f t="shared" ref="E906:F906" si="952">+E905</f>
        <v>#REF!</v>
      </c>
      <c r="F906" s="26" t="e">
        <f t="shared" si="952"/>
        <v>#REF!</v>
      </c>
      <c r="G906" s="17">
        <v>5</v>
      </c>
      <c r="H906" s="17" t="s">
        <v>9</v>
      </c>
      <c r="I906" s="30" t="s">
        <v>34</v>
      </c>
      <c r="J906" s="22"/>
      <c r="K906" s="22"/>
      <c r="L906" s="8">
        <f t="shared" si="947"/>
        <v>0</v>
      </c>
      <c r="M906" s="24">
        <f t="shared" si="868"/>
        <v>0</v>
      </c>
      <c r="N906" s="14"/>
    </row>
    <row r="907" spans="1:15" x14ac:dyDescent="0.25">
      <c r="A907" s="20">
        <v>44540</v>
      </c>
      <c r="B907" s="1">
        <f t="shared" ref="B907" si="953">B902</f>
        <v>76</v>
      </c>
      <c r="C907" s="1" t="s">
        <v>364</v>
      </c>
      <c r="D907" s="1" t="s">
        <v>184</v>
      </c>
      <c r="E907" s="26" t="e">
        <f t="shared" ref="E907:F907" si="954">+E906</f>
        <v>#REF!</v>
      </c>
      <c r="F907" s="26" t="e">
        <f t="shared" si="954"/>
        <v>#REF!</v>
      </c>
      <c r="G907" s="17">
        <v>6</v>
      </c>
      <c r="H907" s="17" t="s">
        <v>9</v>
      </c>
      <c r="I907" s="30" t="s">
        <v>35</v>
      </c>
      <c r="J907" s="22"/>
      <c r="K907" s="22"/>
      <c r="L907" s="8">
        <f t="shared" si="947"/>
        <v>0</v>
      </c>
      <c r="M907" s="24">
        <f t="shared" si="868"/>
        <v>0</v>
      </c>
      <c r="N907" s="14"/>
    </row>
    <row r="908" spans="1:15" x14ac:dyDescent="0.25">
      <c r="A908" s="20">
        <v>44540</v>
      </c>
      <c r="B908" s="1">
        <f t="shared" ref="B908" si="955">B902</f>
        <v>76</v>
      </c>
      <c r="C908" s="1" t="s">
        <v>364</v>
      </c>
      <c r="D908" s="1" t="s">
        <v>184</v>
      </c>
      <c r="E908" s="26" t="e">
        <f t="shared" ref="E908:F908" si="956">+E907</f>
        <v>#REF!</v>
      </c>
      <c r="F908" s="26" t="e">
        <f t="shared" si="956"/>
        <v>#REF!</v>
      </c>
      <c r="G908" s="17">
        <v>7</v>
      </c>
      <c r="H908" s="17" t="s">
        <v>9</v>
      </c>
      <c r="I908" s="30" t="s">
        <v>36</v>
      </c>
      <c r="J908" s="22"/>
      <c r="K908" s="22"/>
      <c r="L908" s="8">
        <f t="shared" si="947"/>
        <v>0</v>
      </c>
      <c r="M908" s="24">
        <f t="shared" si="868"/>
        <v>0</v>
      </c>
      <c r="N908" s="14"/>
    </row>
    <row r="909" spans="1:15" x14ac:dyDescent="0.25">
      <c r="A909" s="20">
        <v>44540</v>
      </c>
      <c r="B909" s="1">
        <f t="shared" ref="B909" si="957">B902</f>
        <v>76</v>
      </c>
      <c r="C909" s="1" t="s">
        <v>364</v>
      </c>
      <c r="D909" s="1" t="s">
        <v>184</v>
      </c>
      <c r="E909" s="26" t="e">
        <f>+E908</f>
        <v>#REF!</v>
      </c>
      <c r="F909" s="26" t="e">
        <f>+F908</f>
        <v>#REF!</v>
      </c>
      <c r="G909" s="17">
        <v>8</v>
      </c>
      <c r="H909" s="17" t="s">
        <v>9</v>
      </c>
      <c r="I909" s="30" t="s">
        <v>59</v>
      </c>
      <c r="J909" s="22"/>
      <c r="K909" s="22"/>
      <c r="L909" s="8">
        <f t="shared" si="947"/>
        <v>0</v>
      </c>
      <c r="M909" s="24">
        <f t="shared" si="868"/>
        <v>0</v>
      </c>
      <c r="N909" s="14"/>
    </row>
    <row r="910" spans="1:15" x14ac:dyDescent="0.25">
      <c r="A910" s="20">
        <v>44540</v>
      </c>
      <c r="B910" s="1">
        <f t="shared" ref="B910" si="958">B902</f>
        <v>76</v>
      </c>
      <c r="C910" s="1" t="s">
        <v>364</v>
      </c>
      <c r="D910" s="1" t="s">
        <v>184</v>
      </c>
      <c r="E910" s="26" t="e">
        <f t="shared" ref="E910:F910" si="959">+E909</f>
        <v>#REF!</v>
      </c>
      <c r="F910" s="26" t="e">
        <f t="shared" si="959"/>
        <v>#REF!</v>
      </c>
      <c r="G910" s="17">
        <v>9</v>
      </c>
      <c r="H910" s="17" t="s">
        <v>9</v>
      </c>
      <c r="I910" s="30" t="s">
        <v>38</v>
      </c>
      <c r="J910" s="22"/>
      <c r="K910" s="22"/>
      <c r="L910" s="8">
        <f t="shared" si="947"/>
        <v>0</v>
      </c>
      <c r="M910" s="24">
        <f t="shared" si="868"/>
        <v>0</v>
      </c>
      <c r="N910" s="14"/>
    </row>
    <row r="911" spans="1:15" x14ac:dyDescent="0.25">
      <c r="A911" s="20">
        <v>44540</v>
      </c>
      <c r="B911" s="1">
        <f t="shared" ref="B911" si="960">B902</f>
        <v>76</v>
      </c>
      <c r="C911" s="1" t="s">
        <v>364</v>
      </c>
      <c r="D911" s="1" t="s">
        <v>184</v>
      </c>
      <c r="E911" s="26" t="e">
        <f t="shared" ref="E911:F911" si="961">+E910</f>
        <v>#REF!</v>
      </c>
      <c r="F911" s="26" t="e">
        <f t="shared" si="961"/>
        <v>#REF!</v>
      </c>
      <c r="G911" s="17">
        <v>10</v>
      </c>
      <c r="H911" s="17" t="s">
        <v>9</v>
      </c>
      <c r="I911" s="30" t="s">
        <v>23</v>
      </c>
      <c r="J911" s="22">
        <v>0.05</v>
      </c>
      <c r="K911" s="22">
        <v>0</v>
      </c>
      <c r="L911" s="8">
        <f t="shared" si="947"/>
        <v>0.05</v>
      </c>
      <c r="M911" s="24">
        <f t="shared" si="868"/>
        <v>2.2883295194507996E-3</v>
      </c>
      <c r="N911" s="14"/>
    </row>
    <row r="912" spans="1:15" x14ac:dyDescent="0.25">
      <c r="A912" s="20">
        <v>44540</v>
      </c>
      <c r="B912" s="1">
        <f t="shared" ref="B912" si="962">B902</f>
        <v>76</v>
      </c>
      <c r="C912" s="1" t="s">
        <v>364</v>
      </c>
      <c r="D912" s="1" t="s">
        <v>184</v>
      </c>
      <c r="E912" s="26" t="e">
        <f t="shared" ref="E912:F912" si="963">+E911</f>
        <v>#REF!</v>
      </c>
      <c r="F912" s="26" t="e">
        <f t="shared" si="963"/>
        <v>#REF!</v>
      </c>
      <c r="G912" s="17">
        <v>11</v>
      </c>
      <c r="H912" s="17" t="s">
        <v>9</v>
      </c>
      <c r="I912" s="30" t="s">
        <v>60</v>
      </c>
      <c r="J912" s="22"/>
      <c r="K912" s="22"/>
      <c r="L912" s="8">
        <f t="shared" si="947"/>
        <v>0</v>
      </c>
      <c r="M912" s="24">
        <f t="shared" si="868"/>
        <v>0</v>
      </c>
      <c r="N912" s="14"/>
    </row>
    <row r="913" spans="1:15" ht="15.75" thickBot="1" x14ac:dyDescent="0.3">
      <c r="A913" s="20">
        <v>44540</v>
      </c>
      <c r="B913" s="57">
        <f t="shared" ref="B913" si="964">B902</f>
        <v>76</v>
      </c>
      <c r="C913" s="1" t="s">
        <v>364</v>
      </c>
      <c r="D913" s="1" t="s">
        <v>184</v>
      </c>
      <c r="E913" s="26" t="e">
        <f t="shared" ref="E913:F913" si="965">+E912</f>
        <v>#REF!</v>
      </c>
      <c r="F913" s="26" t="e">
        <f t="shared" si="965"/>
        <v>#REF!</v>
      </c>
      <c r="G913" s="18">
        <f>+G912+1</f>
        <v>12</v>
      </c>
      <c r="H913" s="18" t="s">
        <v>10</v>
      </c>
      <c r="I913" s="46" t="s">
        <v>10</v>
      </c>
      <c r="J913" s="22">
        <f>8.65+8.7</f>
        <v>17.350000000000001</v>
      </c>
      <c r="K913" s="63">
        <f>8.5+8.55</f>
        <v>17.05</v>
      </c>
      <c r="L913" s="8">
        <f t="shared" si="947"/>
        <v>0.30000000000000071</v>
      </c>
      <c r="M913" s="24">
        <f t="shared" si="868"/>
        <v>1.3729977116704829E-2</v>
      </c>
      <c r="N913" s="14"/>
    </row>
    <row r="914" spans="1:15" x14ac:dyDescent="0.25">
      <c r="A914" s="19">
        <v>44540</v>
      </c>
      <c r="B914" s="15">
        <f t="shared" ref="B914" si="966">B902+1</f>
        <v>77</v>
      </c>
      <c r="C914" s="15" t="s">
        <v>366</v>
      </c>
      <c r="D914" s="15" t="s">
        <v>184</v>
      </c>
      <c r="E914" s="25"/>
      <c r="F914" s="25">
        <f>+SUM(L914:L925)</f>
        <v>16.349999999999994</v>
      </c>
      <c r="G914" s="16">
        <v>1</v>
      </c>
      <c r="H914" s="16" t="s">
        <v>9</v>
      </c>
      <c r="I914" s="59" t="s">
        <v>56</v>
      </c>
      <c r="J914" s="21">
        <f>12.8+12.55+12.7+12.5+10.3</f>
        <v>60.849999999999994</v>
      </c>
      <c r="K914" s="21">
        <f>8.5+8.3+8.3+8.55+2.5+1.05+8.55</f>
        <v>45.75</v>
      </c>
      <c r="L914" s="12">
        <f>+J914-K914</f>
        <v>15.099999999999994</v>
      </c>
      <c r="M914" s="23">
        <f t="shared" si="868"/>
        <v>0.92354740061162077</v>
      </c>
      <c r="N914" s="13" t="s">
        <v>367</v>
      </c>
      <c r="O914" t="s">
        <v>361</v>
      </c>
    </row>
    <row r="915" spans="1:15" x14ac:dyDescent="0.25">
      <c r="A915" s="20">
        <v>44540</v>
      </c>
      <c r="B915" s="1">
        <f t="shared" ref="B915" si="967">B914</f>
        <v>77</v>
      </c>
      <c r="C915" s="1" t="s">
        <v>366</v>
      </c>
      <c r="D915" s="1" t="s">
        <v>184</v>
      </c>
      <c r="E915" s="26">
        <f>+E914</f>
        <v>0</v>
      </c>
      <c r="F915" s="28" t="e">
        <f>+(F914-E914)/E914</f>
        <v>#DIV/0!</v>
      </c>
      <c r="G915" s="17">
        <v>2</v>
      </c>
      <c r="H915" s="17" t="s">
        <v>9</v>
      </c>
      <c r="I915" s="30" t="s">
        <v>57</v>
      </c>
      <c r="J915" s="22">
        <f>9.15+8.65</f>
        <v>17.8</v>
      </c>
      <c r="K915" s="22">
        <f>8.6+8.3</f>
        <v>16.899999999999999</v>
      </c>
      <c r="L915" s="8">
        <f t="shared" ref="L915:L925" si="968">+J915-K915</f>
        <v>0.90000000000000213</v>
      </c>
      <c r="M915" s="24">
        <f t="shared" si="868"/>
        <v>5.5045871559633176E-2</v>
      </c>
      <c r="N915" s="14" t="s">
        <v>363</v>
      </c>
    </row>
    <row r="916" spans="1:15" x14ac:dyDescent="0.25">
      <c r="A916" s="20">
        <v>44540</v>
      </c>
      <c r="B916" s="1">
        <f t="shared" ref="B916" si="969">B914</f>
        <v>77</v>
      </c>
      <c r="C916" s="1" t="s">
        <v>366</v>
      </c>
      <c r="D916" s="1" t="s">
        <v>184</v>
      </c>
      <c r="E916" s="26" t="e">
        <f>+#REF!</f>
        <v>#REF!</v>
      </c>
      <c r="F916" s="26" t="e">
        <f>+#REF!</f>
        <v>#REF!</v>
      </c>
      <c r="G916" s="17">
        <v>3</v>
      </c>
      <c r="H916" s="17" t="s">
        <v>9</v>
      </c>
      <c r="I916" s="30" t="s">
        <v>58</v>
      </c>
      <c r="J916" s="22"/>
      <c r="K916" s="22"/>
      <c r="L916" s="8">
        <f t="shared" si="968"/>
        <v>0</v>
      </c>
      <c r="M916" s="24">
        <f t="shared" si="868"/>
        <v>0</v>
      </c>
      <c r="N916" s="14"/>
    </row>
    <row r="917" spans="1:15" x14ac:dyDescent="0.25">
      <c r="A917" s="20">
        <v>44540</v>
      </c>
      <c r="B917" s="1">
        <f t="shared" ref="B917" si="970">B914</f>
        <v>77</v>
      </c>
      <c r="C917" s="1" t="s">
        <v>366</v>
      </c>
      <c r="D917" s="1" t="s">
        <v>184</v>
      </c>
      <c r="E917" s="26" t="e">
        <f t="shared" ref="E917:F917" si="971">+E916</f>
        <v>#REF!</v>
      </c>
      <c r="F917" s="26" t="e">
        <f t="shared" si="971"/>
        <v>#REF!</v>
      </c>
      <c r="G917" s="17">
        <v>4</v>
      </c>
      <c r="H917" s="17" t="s">
        <v>9</v>
      </c>
      <c r="I917" s="30" t="s">
        <v>22</v>
      </c>
      <c r="J917" s="22"/>
      <c r="K917" s="22"/>
      <c r="L917" s="8">
        <f t="shared" si="968"/>
        <v>0</v>
      </c>
      <c r="M917" s="24">
        <f t="shared" si="868"/>
        <v>0</v>
      </c>
      <c r="N917" s="14"/>
    </row>
    <row r="918" spans="1:15" x14ac:dyDescent="0.25">
      <c r="A918" s="20">
        <v>44540</v>
      </c>
      <c r="B918" s="1">
        <f t="shared" ref="B918" si="972">B914</f>
        <v>77</v>
      </c>
      <c r="C918" s="1" t="s">
        <v>366</v>
      </c>
      <c r="D918" s="1" t="s">
        <v>184</v>
      </c>
      <c r="E918" s="26" t="e">
        <f t="shared" ref="E918:F918" si="973">+E917</f>
        <v>#REF!</v>
      </c>
      <c r="F918" s="26" t="e">
        <f t="shared" si="973"/>
        <v>#REF!</v>
      </c>
      <c r="G918" s="17">
        <v>5</v>
      </c>
      <c r="H918" s="17" t="s">
        <v>9</v>
      </c>
      <c r="I918" s="30" t="s">
        <v>34</v>
      </c>
      <c r="J918" s="22"/>
      <c r="K918" s="22"/>
      <c r="L918" s="8">
        <f t="shared" si="968"/>
        <v>0</v>
      </c>
      <c r="M918" s="24">
        <f t="shared" si="868"/>
        <v>0</v>
      </c>
      <c r="N918" s="14"/>
    </row>
    <row r="919" spans="1:15" x14ac:dyDescent="0.25">
      <c r="A919" s="20">
        <v>44540</v>
      </c>
      <c r="B919" s="1">
        <f t="shared" ref="B919" si="974">B914</f>
        <v>77</v>
      </c>
      <c r="C919" s="1" t="s">
        <v>366</v>
      </c>
      <c r="D919" s="1" t="s">
        <v>184</v>
      </c>
      <c r="E919" s="26" t="e">
        <f t="shared" ref="E919:F919" si="975">+E918</f>
        <v>#REF!</v>
      </c>
      <c r="F919" s="26" t="e">
        <f t="shared" si="975"/>
        <v>#REF!</v>
      </c>
      <c r="G919" s="17">
        <v>6</v>
      </c>
      <c r="H919" s="17" t="s">
        <v>9</v>
      </c>
      <c r="I919" s="30" t="s">
        <v>35</v>
      </c>
      <c r="J919" s="22"/>
      <c r="K919" s="22"/>
      <c r="L919" s="8">
        <f t="shared" si="968"/>
        <v>0</v>
      </c>
      <c r="M919" s="24">
        <f t="shared" si="868"/>
        <v>0</v>
      </c>
      <c r="N919" s="14"/>
    </row>
    <row r="920" spans="1:15" x14ac:dyDescent="0.25">
      <c r="A920" s="20">
        <v>44540</v>
      </c>
      <c r="B920" s="1">
        <f t="shared" ref="B920" si="976">B914</f>
        <v>77</v>
      </c>
      <c r="C920" s="1" t="s">
        <v>366</v>
      </c>
      <c r="D920" s="1" t="s">
        <v>184</v>
      </c>
      <c r="E920" s="26" t="e">
        <f t="shared" ref="E920:F920" si="977">+E919</f>
        <v>#REF!</v>
      </c>
      <c r="F920" s="26" t="e">
        <f t="shared" si="977"/>
        <v>#REF!</v>
      </c>
      <c r="G920" s="17">
        <v>7</v>
      </c>
      <c r="H920" s="17" t="s">
        <v>9</v>
      </c>
      <c r="I920" s="30" t="s">
        <v>36</v>
      </c>
      <c r="J920" s="22"/>
      <c r="K920" s="22"/>
      <c r="L920" s="8">
        <f t="shared" si="968"/>
        <v>0</v>
      </c>
      <c r="M920" s="24">
        <f t="shared" si="868"/>
        <v>0</v>
      </c>
      <c r="N920" s="14"/>
    </row>
    <row r="921" spans="1:15" x14ac:dyDescent="0.25">
      <c r="A921" s="20">
        <v>44540</v>
      </c>
      <c r="B921" s="1">
        <f t="shared" ref="B921" si="978">B914</f>
        <v>77</v>
      </c>
      <c r="C921" s="1" t="s">
        <v>366</v>
      </c>
      <c r="D921" s="1" t="s">
        <v>184</v>
      </c>
      <c r="E921" s="26" t="e">
        <f>+E920</f>
        <v>#REF!</v>
      </c>
      <c r="F921" s="26" t="e">
        <f>+F920</f>
        <v>#REF!</v>
      </c>
      <c r="G921" s="17">
        <v>8</v>
      </c>
      <c r="H921" s="17" t="s">
        <v>9</v>
      </c>
      <c r="I921" s="30" t="s">
        <v>59</v>
      </c>
      <c r="J921" s="22"/>
      <c r="K921" s="22"/>
      <c r="L921" s="8">
        <f t="shared" si="968"/>
        <v>0</v>
      </c>
      <c r="M921" s="24">
        <f t="shared" si="868"/>
        <v>0</v>
      </c>
      <c r="N921" s="14"/>
    </row>
    <row r="922" spans="1:15" x14ac:dyDescent="0.25">
      <c r="A922" s="20">
        <v>44540</v>
      </c>
      <c r="B922" s="1">
        <f t="shared" ref="B922" si="979">B914</f>
        <v>77</v>
      </c>
      <c r="C922" s="1" t="s">
        <v>366</v>
      </c>
      <c r="D922" s="1" t="s">
        <v>184</v>
      </c>
      <c r="E922" s="26" t="e">
        <f t="shared" ref="E922:F922" si="980">+E921</f>
        <v>#REF!</v>
      </c>
      <c r="F922" s="26" t="e">
        <f t="shared" si="980"/>
        <v>#REF!</v>
      </c>
      <c r="G922" s="17">
        <v>9</v>
      </c>
      <c r="H922" s="17" t="s">
        <v>9</v>
      </c>
      <c r="I922" s="30" t="s">
        <v>38</v>
      </c>
      <c r="J922" s="22"/>
      <c r="K922" s="22"/>
      <c r="L922" s="8">
        <f t="shared" si="968"/>
        <v>0</v>
      </c>
      <c r="M922" s="24">
        <f t="shared" ref="M922:M961" si="981">+L922/SUMIF(C:C,C922,L:L)</f>
        <v>0</v>
      </c>
      <c r="N922" s="14"/>
    </row>
    <row r="923" spans="1:15" x14ac:dyDescent="0.25">
      <c r="A923" s="20">
        <v>44540</v>
      </c>
      <c r="B923" s="1">
        <f t="shared" ref="B923" si="982">B914</f>
        <v>77</v>
      </c>
      <c r="C923" s="1" t="s">
        <v>366</v>
      </c>
      <c r="D923" s="1" t="s">
        <v>184</v>
      </c>
      <c r="E923" s="26" t="e">
        <f t="shared" ref="E923:F923" si="983">+E922</f>
        <v>#REF!</v>
      </c>
      <c r="F923" s="26" t="e">
        <f t="shared" si="983"/>
        <v>#REF!</v>
      </c>
      <c r="G923" s="17">
        <v>10</v>
      </c>
      <c r="H923" s="17" t="s">
        <v>9</v>
      </c>
      <c r="I923" s="30" t="s">
        <v>23</v>
      </c>
      <c r="J923" s="22">
        <v>0.05</v>
      </c>
      <c r="K923" s="22">
        <v>0</v>
      </c>
      <c r="L923" s="8">
        <f t="shared" si="968"/>
        <v>0.05</v>
      </c>
      <c r="M923" s="24">
        <f t="shared" si="981"/>
        <v>3.0581039755351695E-3</v>
      </c>
      <c r="N923" s="14"/>
    </row>
    <row r="924" spans="1:15" x14ac:dyDescent="0.25">
      <c r="A924" s="20">
        <v>44540</v>
      </c>
      <c r="B924" s="1">
        <f t="shared" ref="B924" si="984">B914</f>
        <v>77</v>
      </c>
      <c r="C924" s="1" t="s">
        <v>366</v>
      </c>
      <c r="D924" s="1" t="s">
        <v>184</v>
      </c>
      <c r="E924" s="26" t="e">
        <f t="shared" ref="E924:F924" si="985">+E923</f>
        <v>#REF!</v>
      </c>
      <c r="F924" s="26" t="e">
        <f t="shared" si="985"/>
        <v>#REF!</v>
      </c>
      <c r="G924" s="17">
        <v>11</v>
      </c>
      <c r="H924" s="17" t="s">
        <v>9</v>
      </c>
      <c r="I924" s="30" t="s">
        <v>60</v>
      </c>
      <c r="J924" s="22"/>
      <c r="K924" s="22"/>
      <c r="L924" s="8">
        <f t="shared" si="968"/>
        <v>0</v>
      </c>
      <c r="M924" s="24">
        <f t="shared" si="981"/>
        <v>0</v>
      </c>
      <c r="N924" s="14"/>
    </row>
    <row r="925" spans="1:15" ht="15.75" thickBot="1" x14ac:dyDescent="0.3">
      <c r="A925" s="20">
        <v>44540</v>
      </c>
      <c r="B925" s="57">
        <f t="shared" ref="B925" si="986">B914</f>
        <v>77</v>
      </c>
      <c r="C925" s="1" t="s">
        <v>366</v>
      </c>
      <c r="D925" s="1" t="s">
        <v>184</v>
      </c>
      <c r="E925" s="26" t="e">
        <f t="shared" ref="E925:F925" si="987">+E924</f>
        <v>#REF!</v>
      </c>
      <c r="F925" s="26" t="e">
        <f t="shared" si="987"/>
        <v>#REF!</v>
      </c>
      <c r="G925" s="18">
        <f>+G924+1</f>
        <v>12</v>
      </c>
      <c r="H925" s="18" t="s">
        <v>10</v>
      </c>
      <c r="I925" s="46" t="s">
        <v>10</v>
      </c>
      <c r="J925" s="22">
        <f>8.65+8.75</f>
        <v>17.399999999999999</v>
      </c>
      <c r="K925" s="63">
        <f>8.55+8.55</f>
        <v>17.100000000000001</v>
      </c>
      <c r="L925" s="8">
        <f t="shared" si="968"/>
        <v>0.29999999999999716</v>
      </c>
      <c r="M925" s="24">
        <f t="shared" si="981"/>
        <v>1.834862385321084E-2</v>
      </c>
      <c r="N925" s="14"/>
    </row>
    <row r="926" spans="1:15" x14ac:dyDescent="0.25">
      <c r="A926" s="19">
        <v>44540</v>
      </c>
      <c r="B926" s="15">
        <f t="shared" ref="B926" si="988">B914+1</f>
        <v>78</v>
      </c>
      <c r="C926" s="15" t="s">
        <v>368</v>
      </c>
      <c r="D926" s="15" t="s">
        <v>23</v>
      </c>
      <c r="E926" s="25"/>
      <c r="F926" s="25">
        <f>+SUM(L926:L937)</f>
        <v>8.3999999999999986</v>
      </c>
      <c r="G926" s="16">
        <v>1</v>
      </c>
      <c r="H926" s="16" t="s">
        <v>9</v>
      </c>
      <c r="I926" s="59" t="s">
        <v>56</v>
      </c>
      <c r="J926" s="21">
        <v>0.1</v>
      </c>
      <c r="K926" s="21">
        <v>0</v>
      </c>
      <c r="L926" s="12">
        <f>+J926-K926</f>
        <v>0.1</v>
      </c>
      <c r="M926" s="23">
        <f t="shared" si="981"/>
        <v>1.1904761904761908E-2</v>
      </c>
      <c r="N926" s="13"/>
      <c r="O926" t="s">
        <v>361</v>
      </c>
    </row>
    <row r="927" spans="1:15" x14ac:dyDescent="0.25">
      <c r="A927" s="20">
        <v>44540</v>
      </c>
      <c r="B927" s="1">
        <f t="shared" ref="B927" si="989">B926</f>
        <v>78</v>
      </c>
      <c r="C927" s="1" t="s">
        <v>368</v>
      </c>
      <c r="D927" s="1" t="s">
        <v>23</v>
      </c>
      <c r="E927" s="26">
        <f>+E926</f>
        <v>0</v>
      </c>
      <c r="F927" s="28" t="e">
        <f>+(F926-E926)/E926</f>
        <v>#DIV/0!</v>
      </c>
      <c r="G927" s="17">
        <v>2</v>
      </c>
      <c r="H927" s="17" t="s">
        <v>9</v>
      </c>
      <c r="I927" s="30" t="s">
        <v>57</v>
      </c>
      <c r="J927" s="22">
        <v>0.7</v>
      </c>
      <c r="K927" s="22">
        <v>0.55000000000000004</v>
      </c>
      <c r="L927" s="8">
        <f t="shared" ref="L927:L937" si="990">+J927-K927</f>
        <v>0.14999999999999991</v>
      </c>
      <c r="M927" s="24">
        <f t="shared" si="981"/>
        <v>1.7857142857142849E-2</v>
      </c>
      <c r="N927" s="14"/>
    </row>
    <row r="928" spans="1:15" x14ac:dyDescent="0.25">
      <c r="A928" s="20">
        <v>44540</v>
      </c>
      <c r="B928" s="1">
        <f t="shared" ref="B928" si="991">B926</f>
        <v>78</v>
      </c>
      <c r="C928" s="1" t="s">
        <v>368</v>
      </c>
      <c r="D928" s="1" t="s">
        <v>23</v>
      </c>
      <c r="E928" s="26" t="e">
        <f>+#REF!</f>
        <v>#REF!</v>
      </c>
      <c r="F928" s="26" t="e">
        <f>+#REF!</f>
        <v>#REF!</v>
      </c>
      <c r="G928" s="17">
        <v>3</v>
      </c>
      <c r="H928" s="17" t="s">
        <v>9</v>
      </c>
      <c r="I928" s="30" t="s">
        <v>58</v>
      </c>
      <c r="J928" s="22">
        <v>0.85</v>
      </c>
      <c r="K928" s="22">
        <v>0.5</v>
      </c>
      <c r="L928" s="8">
        <f t="shared" si="990"/>
        <v>0.35</v>
      </c>
      <c r="M928" s="24">
        <f t="shared" si="981"/>
        <v>4.1666666666666671E-2</v>
      </c>
      <c r="N928" s="14"/>
    </row>
    <row r="929" spans="1:15" x14ac:dyDescent="0.25">
      <c r="A929" s="20">
        <v>44540</v>
      </c>
      <c r="B929" s="1">
        <f t="shared" ref="B929" si="992">B926</f>
        <v>78</v>
      </c>
      <c r="C929" s="1" t="s">
        <v>368</v>
      </c>
      <c r="D929" s="1" t="s">
        <v>23</v>
      </c>
      <c r="E929" s="26" t="e">
        <f t="shared" ref="E929:F929" si="993">+E928</f>
        <v>#REF!</v>
      </c>
      <c r="F929" s="26" t="e">
        <f t="shared" si="993"/>
        <v>#REF!</v>
      </c>
      <c r="G929" s="17">
        <v>4</v>
      </c>
      <c r="H929" s="17" t="s">
        <v>9</v>
      </c>
      <c r="I929" s="30" t="s">
        <v>22</v>
      </c>
      <c r="J929" s="22">
        <v>0.85</v>
      </c>
      <c r="K929" s="22">
        <v>0.55000000000000004</v>
      </c>
      <c r="L929" s="8">
        <f t="shared" si="990"/>
        <v>0.29999999999999993</v>
      </c>
      <c r="M929" s="24">
        <f t="shared" si="981"/>
        <v>3.5714285714285712E-2</v>
      </c>
      <c r="N929" s="14"/>
    </row>
    <row r="930" spans="1:15" x14ac:dyDescent="0.25">
      <c r="A930" s="20">
        <v>44540</v>
      </c>
      <c r="B930" s="1">
        <f t="shared" ref="B930" si="994">B926</f>
        <v>78</v>
      </c>
      <c r="C930" s="1" t="s">
        <v>368</v>
      </c>
      <c r="D930" s="1" t="s">
        <v>23</v>
      </c>
      <c r="E930" s="26" t="e">
        <f t="shared" ref="E930:F930" si="995">+E929</f>
        <v>#REF!</v>
      </c>
      <c r="F930" s="26" t="e">
        <f t="shared" si="995"/>
        <v>#REF!</v>
      </c>
      <c r="G930" s="17">
        <v>5</v>
      </c>
      <c r="H930" s="17" t="s">
        <v>9</v>
      </c>
      <c r="I930" s="30" t="s">
        <v>34</v>
      </c>
      <c r="J930" s="22"/>
      <c r="K930" s="22"/>
      <c r="L930" s="8">
        <f t="shared" si="990"/>
        <v>0</v>
      </c>
      <c r="M930" s="24">
        <f t="shared" si="981"/>
        <v>0</v>
      </c>
      <c r="N930" s="14"/>
    </row>
    <row r="931" spans="1:15" x14ac:dyDescent="0.25">
      <c r="A931" s="20">
        <v>44540</v>
      </c>
      <c r="B931" s="1">
        <f t="shared" ref="B931" si="996">B926</f>
        <v>78</v>
      </c>
      <c r="C931" s="1" t="s">
        <v>368</v>
      </c>
      <c r="D931" s="1" t="s">
        <v>23</v>
      </c>
      <c r="E931" s="26" t="e">
        <f t="shared" ref="E931:F931" si="997">+E930</f>
        <v>#REF!</v>
      </c>
      <c r="F931" s="26" t="e">
        <f t="shared" si="997"/>
        <v>#REF!</v>
      </c>
      <c r="G931" s="17">
        <v>6</v>
      </c>
      <c r="H931" s="17" t="s">
        <v>9</v>
      </c>
      <c r="I931" s="30" t="s">
        <v>35</v>
      </c>
      <c r="J931" s="22"/>
      <c r="K931" s="22"/>
      <c r="L931" s="8">
        <f t="shared" si="990"/>
        <v>0</v>
      </c>
      <c r="M931" s="24">
        <f t="shared" si="981"/>
        <v>0</v>
      </c>
      <c r="N931" s="14"/>
    </row>
    <row r="932" spans="1:15" x14ac:dyDescent="0.25">
      <c r="A932" s="20">
        <v>44540</v>
      </c>
      <c r="B932" s="1">
        <f t="shared" ref="B932" si="998">B926</f>
        <v>78</v>
      </c>
      <c r="C932" s="1" t="s">
        <v>368</v>
      </c>
      <c r="D932" s="1" t="s">
        <v>23</v>
      </c>
      <c r="E932" s="26" t="e">
        <f t="shared" ref="E932:F932" si="999">+E931</f>
        <v>#REF!</v>
      </c>
      <c r="F932" s="26" t="e">
        <f t="shared" si="999"/>
        <v>#REF!</v>
      </c>
      <c r="G932" s="17">
        <v>7</v>
      </c>
      <c r="H932" s="17" t="s">
        <v>9</v>
      </c>
      <c r="I932" s="30" t="s">
        <v>36</v>
      </c>
      <c r="J932" s="22"/>
      <c r="K932" s="22"/>
      <c r="L932" s="8">
        <f t="shared" si="990"/>
        <v>0</v>
      </c>
      <c r="M932" s="24">
        <f t="shared" si="981"/>
        <v>0</v>
      </c>
      <c r="N932" s="14"/>
    </row>
    <row r="933" spans="1:15" x14ac:dyDescent="0.25">
      <c r="A933" s="20">
        <v>44540</v>
      </c>
      <c r="B933" s="1">
        <f t="shared" ref="B933" si="1000">B926</f>
        <v>78</v>
      </c>
      <c r="C933" s="1" t="s">
        <v>368</v>
      </c>
      <c r="D933" s="1" t="s">
        <v>23</v>
      </c>
      <c r="E933" s="26" t="e">
        <f>+E932</f>
        <v>#REF!</v>
      </c>
      <c r="F933" s="26" t="e">
        <f>+F932</f>
        <v>#REF!</v>
      </c>
      <c r="G933" s="17">
        <v>8</v>
      </c>
      <c r="H933" s="17" t="s">
        <v>9</v>
      </c>
      <c r="I933" s="30" t="s">
        <v>59</v>
      </c>
      <c r="J933" s="22">
        <f>10.95+10.6</f>
        <v>21.549999999999997</v>
      </c>
      <c r="K933" s="22">
        <f>8.6+8.3</f>
        <v>16.899999999999999</v>
      </c>
      <c r="L933" s="8">
        <f t="shared" si="990"/>
        <v>4.6499999999999986</v>
      </c>
      <c r="M933" s="24">
        <f t="shared" si="981"/>
        <v>0.55357142857142849</v>
      </c>
      <c r="N933" s="14"/>
    </row>
    <row r="934" spans="1:15" x14ac:dyDescent="0.25">
      <c r="A934" s="20">
        <v>44540</v>
      </c>
      <c r="B934" s="1">
        <f t="shared" ref="B934" si="1001">B926</f>
        <v>78</v>
      </c>
      <c r="C934" s="1" t="s">
        <v>368</v>
      </c>
      <c r="D934" s="1" t="s">
        <v>23</v>
      </c>
      <c r="E934" s="26" t="e">
        <f t="shared" ref="E934:F934" si="1002">+E933</f>
        <v>#REF!</v>
      </c>
      <c r="F934" s="26" t="e">
        <f t="shared" si="1002"/>
        <v>#REF!</v>
      </c>
      <c r="G934" s="17">
        <v>9</v>
      </c>
      <c r="H934" s="17" t="s">
        <v>9</v>
      </c>
      <c r="I934" s="30" t="s">
        <v>38</v>
      </c>
      <c r="J934" s="22">
        <v>0.15</v>
      </c>
      <c r="K934" s="22">
        <v>0</v>
      </c>
      <c r="L934" s="8">
        <f t="shared" si="990"/>
        <v>0.15</v>
      </c>
      <c r="M934" s="24">
        <f t="shared" si="981"/>
        <v>1.785714285714286E-2</v>
      </c>
      <c r="N934" s="14"/>
    </row>
    <row r="935" spans="1:15" x14ac:dyDescent="0.25">
      <c r="A935" s="20">
        <v>44540</v>
      </c>
      <c r="B935" s="1">
        <f t="shared" ref="B935" si="1003">B926</f>
        <v>78</v>
      </c>
      <c r="C935" s="1" t="s">
        <v>368</v>
      </c>
      <c r="D935" s="1" t="s">
        <v>23</v>
      </c>
      <c r="E935" s="26" t="e">
        <f t="shared" ref="E935:F935" si="1004">+E934</f>
        <v>#REF!</v>
      </c>
      <c r="F935" s="26" t="e">
        <f t="shared" si="1004"/>
        <v>#REF!</v>
      </c>
      <c r="G935" s="17">
        <v>10</v>
      </c>
      <c r="H935" s="17" t="s">
        <v>9</v>
      </c>
      <c r="I935" s="30" t="s">
        <v>23</v>
      </c>
      <c r="J935" s="22">
        <f>17.25+19.15+16.3+16.15</f>
        <v>68.849999999999994</v>
      </c>
      <c r="K935" s="22">
        <f>8.55+8.55+8.55+8.3</f>
        <v>33.950000000000003</v>
      </c>
      <c r="L935" s="8">
        <v>0</v>
      </c>
      <c r="M935" s="24">
        <f t="shared" si="981"/>
        <v>0</v>
      </c>
      <c r="N935" s="14"/>
    </row>
    <row r="936" spans="1:15" x14ac:dyDescent="0.25">
      <c r="A936" s="20">
        <v>44540</v>
      </c>
      <c r="B936" s="1">
        <f t="shared" ref="B936" si="1005">B926</f>
        <v>78</v>
      </c>
      <c r="C936" s="1" t="s">
        <v>368</v>
      </c>
      <c r="D936" s="1" t="s">
        <v>23</v>
      </c>
      <c r="E936" s="26" t="e">
        <f t="shared" ref="E936:F936" si="1006">+E935</f>
        <v>#REF!</v>
      </c>
      <c r="F936" s="26" t="e">
        <f t="shared" si="1006"/>
        <v>#REF!</v>
      </c>
      <c r="G936" s="17">
        <v>11</v>
      </c>
      <c r="H936" s="17" t="s">
        <v>9</v>
      </c>
      <c r="I936" s="30" t="s">
        <v>60</v>
      </c>
      <c r="J936" s="22">
        <v>0.7</v>
      </c>
      <c r="K936" s="22">
        <v>0.5</v>
      </c>
      <c r="L936" s="8">
        <f t="shared" si="990"/>
        <v>0.19999999999999996</v>
      </c>
      <c r="M936" s="24">
        <f t="shared" si="981"/>
        <v>2.3809523809523808E-2</v>
      </c>
      <c r="N936" s="14"/>
    </row>
    <row r="937" spans="1:15" ht="15.75" thickBot="1" x14ac:dyDescent="0.3">
      <c r="A937" s="20">
        <v>44540</v>
      </c>
      <c r="B937" s="57">
        <f t="shared" ref="B937" si="1007">B926</f>
        <v>78</v>
      </c>
      <c r="C937" s="1" t="s">
        <v>368</v>
      </c>
      <c r="D937" s="1" t="s">
        <v>23</v>
      </c>
      <c r="E937" s="26" t="e">
        <f t="shared" ref="E937:F937" si="1008">+E936</f>
        <v>#REF!</v>
      </c>
      <c r="F937" s="26" t="e">
        <f t="shared" si="1008"/>
        <v>#REF!</v>
      </c>
      <c r="G937" s="18">
        <f>+G936+1</f>
        <v>12</v>
      </c>
      <c r="H937" s="18" t="s">
        <v>10</v>
      </c>
      <c r="I937" s="46" t="s">
        <v>10</v>
      </c>
      <c r="J937" s="22">
        <f>9.8+9.5</f>
        <v>19.3</v>
      </c>
      <c r="K937" s="63">
        <f>8.5+8.3</f>
        <v>16.8</v>
      </c>
      <c r="L937" s="8">
        <f t="shared" si="990"/>
        <v>2.5</v>
      </c>
      <c r="M937" s="24">
        <f t="shared" si="981"/>
        <v>0.29761904761904767</v>
      </c>
      <c r="N937" s="14" t="s">
        <v>369</v>
      </c>
    </row>
    <row r="938" spans="1:15" x14ac:dyDescent="0.25">
      <c r="A938" s="19">
        <v>44540</v>
      </c>
      <c r="B938" s="15">
        <f t="shared" ref="B938" si="1009">B926+1</f>
        <v>79</v>
      </c>
      <c r="C938" s="15" t="s">
        <v>371</v>
      </c>
      <c r="D938" s="15" t="s">
        <v>181</v>
      </c>
      <c r="E938" s="25"/>
      <c r="F938" s="25">
        <f>+SUM(L938:L949)</f>
        <v>28.5</v>
      </c>
      <c r="G938" s="16">
        <v>1</v>
      </c>
      <c r="H938" s="16" t="s">
        <v>9</v>
      </c>
      <c r="I938" s="59" t="s">
        <v>56</v>
      </c>
      <c r="J938" s="21"/>
      <c r="K938" s="21"/>
      <c r="L938" s="12">
        <f>+J938-K938</f>
        <v>0</v>
      </c>
      <c r="M938" s="23">
        <f t="shared" si="981"/>
        <v>0</v>
      </c>
      <c r="N938" s="13"/>
      <c r="O938" t="s">
        <v>361</v>
      </c>
    </row>
    <row r="939" spans="1:15" x14ac:dyDescent="0.25">
      <c r="A939" s="20">
        <v>44540</v>
      </c>
      <c r="B939" s="1">
        <f t="shared" ref="B939" si="1010">B938</f>
        <v>79</v>
      </c>
      <c r="C939" s="1" t="s">
        <v>371</v>
      </c>
      <c r="D939" s="1" t="s">
        <v>181</v>
      </c>
      <c r="E939" s="26">
        <f>+E938</f>
        <v>0</v>
      </c>
      <c r="F939" s="28" t="e">
        <f>+(F938-E938)/E938</f>
        <v>#DIV/0!</v>
      </c>
      <c r="G939" s="17">
        <v>2</v>
      </c>
      <c r="H939" s="17" t="s">
        <v>9</v>
      </c>
      <c r="I939" s="30" t="s">
        <v>57</v>
      </c>
      <c r="J939" s="22">
        <v>0.1</v>
      </c>
      <c r="K939" s="22">
        <v>0</v>
      </c>
      <c r="L939" s="8">
        <f t="shared" ref="L939:L949" si="1011">+J939-K939</f>
        <v>0.1</v>
      </c>
      <c r="M939" s="24">
        <f t="shared" si="981"/>
        <v>3.5087719298245615E-3</v>
      </c>
      <c r="N939" s="14"/>
    </row>
    <row r="940" spans="1:15" x14ac:dyDescent="0.25">
      <c r="A940" s="20">
        <v>44540</v>
      </c>
      <c r="B940" s="1">
        <f t="shared" ref="B940" si="1012">B938</f>
        <v>79</v>
      </c>
      <c r="C940" s="1" t="s">
        <v>371</v>
      </c>
      <c r="D940" s="1" t="s">
        <v>181</v>
      </c>
      <c r="E940" s="26" t="e">
        <f>+#REF!</f>
        <v>#REF!</v>
      </c>
      <c r="F940" s="26" t="e">
        <f>+#REF!</f>
        <v>#REF!</v>
      </c>
      <c r="G940" s="17">
        <v>3</v>
      </c>
      <c r="H940" s="17" t="s">
        <v>9</v>
      </c>
      <c r="I940" s="30" t="s">
        <v>58</v>
      </c>
      <c r="J940" s="22"/>
      <c r="K940" s="22"/>
      <c r="L940" s="8">
        <f t="shared" si="1011"/>
        <v>0</v>
      </c>
      <c r="M940" s="24">
        <f t="shared" si="981"/>
        <v>0</v>
      </c>
      <c r="N940" s="14"/>
    </row>
    <row r="941" spans="1:15" x14ac:dyDescent="0.25">
      <c r="A941" s="20">
        <v>44540</v>
      </c>
      <c r="B941" s="1">
        <f t="shared" ref="B941" si="1013">B938</f>
        <v>79</v>
      </c>
      <c r="C941" s="1" t="s">
        <v>371</v>
      </c>
      <c r="D941" s="1" t="s">
        <v>181</v>
      </c>
      <c r="E941" s="26" t="e">
        <f t="shared" ref="E941:F941" si="1014">+E940</f>
        <v>#REF!</v>
      </c>
      <c r="F941" s="26" t="e">
        <f t="shared" si="1014"/>
        <v>#REF!</v>
      </c>
      <c r="G941" s="17">
        <v>4</v>
      </c>
      <c r="H941" s="17" t="s">
        <v>9</v>
      </c>
      <c r="I941" s="30" t="s">
        <v>22</v>
      </c>
      <c r="J941" s="22"/>
      <c r="K941" s="22"/>
      <c r="L941" s="8">
        <f t="shared" si="1011"/>
        <v>0</v>
      </c>
      <c r="M941" s="24">
        <f t="shared" si="981"/>
        <v>0</v>
      </c>
      <c r="N941" s="14"/>
    </row>
    <row r="942" spans="1:15" x14ac:dyDescent="0.25">
      <c r="A942" s="20">
        <v>44540</v>
      </c>
      <c r="B942" s="1">
        <f t="shared" ref="B942" si="1015">B938</f>
        <v>79</v>
      </c>
      <c r="C942" s="1" t="s">
        <v>371</v>
      </c>
      <c r="D942" s="1" t="s">
        <v>181</v>
      </c>
      <c r="E942" s="26" t="e">
        <f t="shared" ref="E942:F942" si="1016">+E941</f>
        <v>#REF!</v>
      </c>
      <c r="F942" s="26" t="e">
        <f t="shared" si="1016"/>
        <v>#REF!</v>
      </c>
      <c r="G942" s="17">
        <v>5</v>
      </c>
      <c r="H942" s="17" t="s">
        <v>9</v>
      </c>
      <c r="I942" s="30" t="s">
        <v>34</v>
      </c>
      <c r="J942" s="22"/>
      <c r="K942" s="22"/>
      <c r="L942" s="8">
        <f t="shared" si="1011"/>
        <v>0</v>
      </c>
      <c r="M942" s="24">
        <f t="shared" si="981"/>
        <v>0</v>
      </c>
      <c r="N942" s="14"/>
    </row>
    <row r="943" spans="1:15" x14ac:dyDescent="0.25">
      <c r="A943" s="20">
        <v>44540</v>
      </c>
      <c r="B943" s="1">
        <f t="shared" ref="B943" si="1017">B938</f>
        <v>79</v>
      </c>
      <c r="C943" s="1" t="s">
        <v>371</v>
      </c>
      <c r="D943" s="1" t="s">
        <v>181</v>
      </c>
      <c r="E943" s="26" t="e">
        <f t="shared" ref="E943:F943" si="1018">+E942</f>
        <v>#REF!</v>
      </c>
      <c r="F943" s="26" t="e">
        <f t="shared" si="1018"/>
        <v>#REF!</v>
      </c>
      <c r="G943" s="17">
        <v>6</v>
      </c>
      <c r="H943" s="17" t="s">
        <v>9</v>
      </c>
      <c r="I943" s="30" t="s">
        <v>35</v>
      </c>
      <c r="J943" s="22"/>
      <c r="K943" s="22"/>
      <c r="L943" s="8">
        <f t="shared" si="1011"/>
        <v>0</v>
      </c>
      <c r="M943" s="24">
        <f t="shared" si="981"/>
        <v>0</v>
      </c>
      <c r="N943" s="14"/>
    </row>
    <row r="944" spans="1:15" x14ac:dyDescent="0.25">
      <c r="A944" s="20">
        <v>44540</v>
      </c>
      <c r="B944" s="1">
        <f t="shared" ref="B944" si="1019">B938</f>
        <v>79</v>
      </c>
      <c r="C944" s="1" t="s">
        <v>371</v>
      </c>
      <c r="D944" s="1" t="s">
        <v>181</v>
      </c>
      <c r="E944" s="26" t="e">
        <f t="shared" ref="E944:F944" si="1020">+E943</f>
        <v>#REF!</v>
      </c>
      <c r="F944" s="26" t="e">
        <f t="shared" si="1020"/>
        <v>#REF!</v>
      </c>
      <c r="G944" s="17">
        <v>7</v>
      </c>
      <c r="H944" s="17" t="s">
        <v>9</v>
      </c>
      <c r="I944" s="30" t="s">
        <v>36</v>
      </c>
      <c r="J944" s="22"/>
      <c r="K944" s="22"/>
      <c r="L944" s="8">
        <f t="shared" si="1011"/>
        <v>0</v>
      </c>
      <c r="M944" s="24">
        <f t="shared" si="981"/>
        <v>0</v>
      </c>
      <c r="N944" s="14"/>
    </row>
    <row r="945" spans="1:15" x14ac:dyDescent="0.25">
      <c r="A945" s="20">
        <v>44540</v>
      </c>
      <c r="B945" s="1">
        <f t="shared" ref="B945" si="1021">B938</f>
        <v>79</v>
      </c>
      <c r="C945" s="1" t="s">
        <v>371</v>
      </c>
      <c r="D945" s="1" t="s">
        <v>181</v>
      </c>
      <c r="E945" s="26" t="e">
        <f>+E944</f>
        <v>#REF!</v>
      </c>
      <c r="F945" s="26" t="e">
        <f>+F944</f>
        <v>#REF!</v>
      </c>
      <c r="G945" s="17">
        <v>8</v>
      </c>
      <c r="H945" s="17" t="s">
        <v>9</v>
      </c>
      <c r="I945" s="30" t="s">
        <v>59</v>
      </c>
      <c r="J945" s="22">
        <v>8.6</v>
      </c>
      <c r="K945" s="22">
        <v>8.3000000000000007</v>
      </c>
      <c r="L945" s="8">
        <f t="shared" si="1011"/>
        <v>0.29999999999999893</v>
      </c>
      <c r="M945" s="24">
        <f t="shared" si="981"/>
        <v>1.0526315789473648E-2</v>
      </c>
      <c r="N945" s="14"/>
    </row>
    <row r="946" spans="1:15" x14ac:dyDescent="0.25">
      <c r="A946" s="20">
        <v>44540</v>
      </c>
      <c r="B946" s="1">
        <f t="shared" ref="B946" si="1022">B938</f>
        <v>79</v>
      </c>
      <c r="C946" s="1" t="s">
        <v>371</v>
      </c>
      <c r="D946" s="1" t="s">
        <v>181</v>
      </c>
      <c r="E946" s="26" t="e">
        <f t="shared" ref="E946:F946" si="1023">+E945</f>
        <v>#REF!</v>
      </c>
      <c r="F946" s="26" t="e">
        <f t="shared" si="1023"/>
        <v>#REF!</v>
      </c>
      <c r="G946" s="17">
        <v>9</v>
      </c>
      <c r="H946" s="17" t="s">
        <v>9</v>
      </c>
      <c r="I946" s="30" t="s">
        <v>38</v>
      </c>
      <c r="J946" s="22"/>
      <c r="K946" s="22"/>
      <c r="L946" s="8">
        <f t="shared" si="1011"/>
        <v>0</v>
      </c>
      <c r="M946" s="24">
        <f t="shared" si="981"/>
        <v>0</v>
      </c>
      <c r="N946" s="14"/>
    </row>
    <row r="947" spans="1:15" x14ac:dyDescent="0.25">
      <c r="A947" s="20">
        <v>44540</v>
      </c>
      <c r="B947" s="1">
        <f t="shared" ref="B947" si="1024">B938</f>
        <v>79</v>
      </c>
      <c r="C947" s="1" t="s">
        <v>371</v>
      </c>
      <c r="D947" s="1" t="s">
        <v>181</v>
      </c>
      <c r="E947" s="26" t="e">
        <f t="shared" ref="E947:F947" si="1025">+E946</f>
        <v>#REF!</v>
      </c>
      <c r="F947" s="26" t="e">
        <f t="shared" si="1025"/>
        <v>#REF!</v>
      </c>
      <c r="G947" s="17">
        <v>10</v>
      </c>
      <c r="H947" s="17" t="s">
        <v>9</v>
      </c>
      <c r="I947" s="30" t="s">
        <v>23</v>
      </c>
      <c r="J947" s="22">
        <f>14.1+17.15+13.95+16</f>
        <v>61.2</v>
      </c>
      <c r="K947" s="22">
        <f>8.3+8.55+8.55+8.3</f>
        <v>33.700000000000003</v>
      </c>
      <c r="L947" s="8">
        <f t="shared" si="1011"/>
        <v>27.5</v>
      </c>
      <c r="M947" s="24">
        <f t="shared" si="981"/>
        <v>0.96491228070175439</v>
      </c>
      <c r="N947" s="14"/>
    </row>
    <row r="948" spans="1:15" x14ac:dyDescent="0.25">
      <c r="A948" s="20">
        <v>44540</v>
      </c>
      <c r="B948" s="1">
        <f t="shared" ref="B948" si="1026">B938</f>
        <v>79</v>
      </c>
      <c r="C948" s="1" t="s">
        <v>371</v>
      </c>
      <c r="D948" s="1" t="s">
        <v>181</v>
      </c>
      <c r="E948" s="26" t="e">
        <f t="shared" ref="E948:F948" si="1027">+E947</f>
        <v>#REF!</v>
      </c>
      <c r="F948" s="26" t="e">
        <f t="shared" si="1027"/>
        <v>#REF!</v>
      </c>
      <c r="G948" s="17">
        <v>11</v>
      </c>
      <c r="H948" s="17" t="s">
        <v>9</v>
      </c>
      <c r="I948" s="30" t="s">
        <v>60</v>
      </c>
      <c r="J948" s="22"/>
      <c r="K948" s="22"/>
      <c r="L948" s="8">
        <f t="shared" si="1011"/>
        <v>0</v>
      </c>
      <c r="M948" s="24">
        <f t="shared" si="981"/>
        <v>0</v>
      </c>
      <c r="N948" s="14"/>
    </row>
    <row r="949" spans="1:15" ht="15.75" thickBot="1" x14ac:dyDescent="0.3">
      <c r="A949" s="20">
        <v>44540</v>
      </c>
      <c r="B949" s="57">
        <f t="shared" ref="B949" si="1028">B938</f>
        <v>79</v>
      </c>
      <c r="C949" s="1" t="s">
        <v>371</v>
      </c>
      <c r="D949" s="1" t="s">
        <v>181</v>
      </c>
      <c r="E949" s="26" t="e">
        <f t="shared" ref="E949:F949" si="1029">+E948</f>
        <v>#REF!</v>
      </c>
      <c r="F949" s="26" t="e">
        <f t="shared" si="1029"/>
        <v>#REF!</v>
      </c>
      <c r="G949" s="18">
        <f>+G948+1</f>
        <v>12</v>
      </c>
      <c r="H949" s="18" t="s">
        <v>10</v>
      </c>
      <c r="I949" s="46" t="s">
        <v>10</v>
      </c>
      <c r="J949" s="22">
        <f>9.15</f>
        <v>9.15</v>
      </c>
      <c r="K949" s="63">
        <f>8.55</f>
        <v>8.5500000000000007</v>
      </c>
      <c r="L949" s="8">
        <f t="shared" si="1011"/>
        <v>0.59999999999999964</v>
      </c>
      <c r="M949" s="24">
        <f t="shared" si="981"/>
        <v>2.1052631578947358E-2</v>
      </c>
      <c r="N949" s="14" t="s">
        <v>370</v>
      </c>
    </row>
    <row r="950" spans="1:15" x14ac:dyDescent="0.25">
      <c r="A950" s="19">
        <v>44540</v>
      </c>
      <c r="B950" s="15">
        <f t="shared" ref="B950" si="1030">B938+1</f>
        <v>80</v>
      </c>
      <c r="C950" s="15" t="s">
        <v>372</v>
      </c>
      <c r="D950" s="15" t="s">
        <v>181</v>
      </c>
      <c r="E950" s="25"/>
      <c r="F950" s="25">
        <f>+SUM(L950:L961)</f>
        <v>24.949999999999989</v>
      </c>
      <c r="G950" s="16">
        <v>1</v>
      </c>
      <c r="H950" s="16" t="s">
        <v>9</v>
      </c>
      <c r="I950" s="59" t="s">
        <v>56</v>
      </c>
      <c r="J950" s="21"/>
      <c r="K950" s="21"/>
      <c r="L950" s="12">
        <f>+J950-K950</f>
        <v>0</v>
      </c>
      <c r="M950" s="23">
        <f t="shared" si="981"/>
        <v>0</v>
      </c>
      <c r="N950" s="13"/>
      <c r="O950" t="s">
        <v>361</v>
      </c>
    </row>
    <row r="951" spans="1:15" x14ac:dyDescent="0.25">
      <c r="A951" s="20">
        <v>44540</v>
      </c>
      <c r="B951" s="1">
        <f t="shared" ref="B951" si="1031">B950</f>
        <v>80</v>
      </c>
      <c r="C951" s="1" t="s">
        <v>372</v>
      </c>
      <c r="D951" s="1" t="s">
        <v>181</v>
      </c>
      <c r="E951" s="26">
        <f>+E950</f>
        <v>0</v>
      </c>
      <c r="F951" s="28" t="e">
        <f>+(F950-E950)/E950</f>
        <v>#DIV/0!</v>
      </c>
      <c r="G951" s="17">
        <v>2</v>
      </c>
      <c r="H951" s="17" t="s">
        <v>9</v>
      </c>
      <c r="I951" s="30" t="s">
        <v>57</v>
      </c>
      <c r="J951" s="22">
        <v>0.05</v>
      </c>
      <c r="K951" s="22">
        <v>0</v>
      </c>
      <c r="L951" s="8">
        <f t="shared" ref="L951:L961" si="1032">+J951-K951</f>
        <v>0.05</v>
      </c>
      <c r="M951" s="24">
        <f t="shared" si="981"/>
        <v>2.0040080160320653E-3</v>
      </c>
      <c r="N951" s="14"/>
    </row>
    <row r="952" spans="1:15" x14ac:dyDescent="0.25">
      <c r="A952" s="20">
        <v>44540</v>
      </c>
      <c r="B952" s="1">
        <f t="shared" ref="B952" si="1033">B950</f>
        <v>80</v>
      </c>
      <c r="C952" s="1" t="s">
        <v>372</v>
      </c>
      <c r="D952" s="1" t="s">
        <v>181</v>
      </c>
      <c r="E952" s="26" t="e">
        <f>+#REF!</f>
        <v>#REF!</v>
      </c>
      <c r="F952" s="26" t="e">
        <f>+#REF!</f>
        <v>#REF!</v>
      </c>
      <c r="G952" s="17">
        <v>3</v>
      </c>
      <c r="H952" s="17" t="s">
        <v>9</v>
      </c>
      <c r="I952" s="30" t="s">
        <v>58</v>
      </c>
      <c r="J952" s="22"/>
      <c r="K952" s="22"/>
      <c r="L952" s="8">
        <f t="shared" si="1032"/>
        <v>0</v>
      </c>
      <c r="M952" s="24">
        <f t="shared" si="981"/>
        <v>0</v>
      </c>
      <c r="N952" s="14"/>
    </row>
    <row r="953" spans="1:15" x14ac:dyDescent="0.25">
      <c r="A953" s="20">
        <v>44540</v>
      </c>
      <c r="B953" s="1">
        <f t="shared" ref="B953" si="1034">B950</f>
        <v>80</v>
      </c>
      <c r="C953" s="1" t="s">
        <v>372</v>
      </c>
      <c r="D953" s="1" t="s">
        <v>181</v>
      </c>
      <c r="E953" s="26" t="e">
        <f t="shared" ref="E953:F953" si="1035">+E952</f>
        <v>#REF!</v>
      </c>
      <c r="F953" s="26" t="e">
        <f t="shared" si="1035"/>
        <v>#REF!</v>
      </c>
      <c r="G953" s="17">
        <v>4</v>
      </c>
      <c r="H953" s="17" t="s">
        <v>9</v>
      </c>
      <c r="I953" s="30" t="s">
        <v>22</v>
      </c>
      <c r="J953" s="22"/>
      <c r="K953" s="22"/>
      <c r="L953" s="8">
        <f t="shared" si="1032"/>
        <v>0</v>
      </c>
      <c r="M953" s="24">
        <f t="shared" si="981"/>
        <v>0</v>
      </c>
      <c r="N953" s="14"/>
    </row>
    <row r="954" spans="1:15" x14ac:dyDescent="0.25">
      <c r="A954" s="20">
        <v>44540</v>
      </c>
      <c r="B954" s="1">
        <f t="shared" ref="B954" si="1036">B950</f>
        <v>80</v>
      </c>
      <c r="C954" s="1" t="s">
        <v>372</v>
      </c>
      <c r="D954" s="1" t="s">
        <v>181</v>
      </c>
      <c r="E954" s="26" t="e">
        <f t="shared" ref="E954:F954" si="1037">+E953</f>
        <v>#REF!</v>
      </c>
      <c r="F954" s="26" t="e">
        <f t="shared" si="1037"/>
        <v>#REF!</v>
      </c>
      <c r="G954" s="17">
        <v>5</v>
      </c>
      <c r="H954" s="17" t="s">
        <v>9</v>
      </c>
      <c r="I954" s="30" t="s">
        <v>34</v>
      </c>
      <c r="J954" s="22"/>
      <c r="K954" s="22"/>
      <c r="L954" s="8">
        <f t="shared" si="1032"/>
        <v>0</v>
      </c>
      <c r="M954" s="24">
        <f t="shared" si="981"/>
        <v>0</v>
      </c>
      <c r="N954" s="14"/>
    </row>
    <row r="955" spans="1:15" x14ac:dyDescent="0.25">
      <c r="A955" s="20">
        <v>44540</v>
      </c>
      <c r="B955" s="1">
        <f t="shared" ref="B955" si="1038">B950</f>
        <v>80</v>
      </c>
      <c r="C955" s="1" t="s">
        <v>372</v>
      </c>
      <c r="D955" s="1" t="s">
        <v>181</v>
      </c>
      <c r="E955" s="26" t="e">
        <f t="shared" ref="E955:F955" si="1039">+E954</f>
        <v>#REF!</v>
      </c>
      <c r="F955" s="26" t="e">
        <f t="shared" si="1039"/>
        <v>#REF!</v>
      </c>
      <c r="G955" s="17">
        <v>6</v>
      </c>
      <c r="H955" s="17" t="s">
        <v>9</v>
      </c>
      <c r="I955" s="30" t="s">
        <v>35</v>
      </c>
      <c r="J955" s="22"/>
      <c r="K955" s="22"/>
      <c r="L955" s="8">
        <f t="shared" si="1032"/>
        <v>0</v>
      </c>
      <c r="M955" s="24">
        <f t="shared" si="981"/>
        <v>0</v>
      </c>
      <c r="N955" s="14"/>
    </row>
    <row r="956" spans="1:15" x14ac:dyDescent="0.25">
      <c r="A956" s="20">
        <v>44540</v>
      </c>
      <c r="B956" s="1">
        <f t="shared" ref="B956" si="1040">B950</f>
        <v>80</v>
      </c>
      <c r="C956" s="1" t="s">
        <v>372</v>
      </c>
      <c r="D956" s="1" t="s">
        <v>181</v>
      </c>
      <c r="E956" s="26" t="e">
        <f t="shared" ref="E956:F956" si="1041">+E955</f>
        <v>#REF!</v>
      </c>
      <c r="F956" s="26" t="e">
        <f t="shared" si="1041"/>
        <v>#REF!</v>
      </c>
      <c r="G956" s="17">
        <v>7</v>
      </c>
      <c r="H956" s="17" t="s">
        <v>9</v>
      </c>
      <c r="I956" s="30" t="s">
        <v>36</v>
      </c>
      <c r="J956" s="22"/>
      <c r="K956" s="22"/>
      <c r="L956" s="8">
        <f t="shared" si="1032"/>
        <v>0</v>
      </c>
      <c r="M956" s="24">
        <f t="shared" si="981"/>
        <v>0</v>
      </c>
      <c r="N956" s="14"/>
    </row>
    <row r="957" spans="1:15" x14ac:dyDescent="0.25">
      <c r="A957" s="20">
        <v>44540</v>
      </c>
      <c r="B957" s="1">
        <f t="shared" ref="B957" si="1042">B950</f>
        <v>80</v>
      </c>
      <c r="C957" s="1" t="s">
        <v>372</v>
      </c>
      <c r="D957" s="1" t="s">
        <v>181</v>
      </c>
      <c r="E957" s="26" t="e">
        <f>+E956</f>
        <v>#REF!</v>
      </c>
      <c r="F957" s="26" t="e">
        <f>+F956</f>
        <v>#REF!</v>
      </c>
      <c r="G957" s="17">
        <v>8</v>
      </c>
      <c r="H957" s="17" t="s">
        <v>9</v>
      </c>
      <c r="I957" s="30" t="s">
        <v>59</v>
      </c>
      <c r="J957" s="22">
        <v>0.05</v>
      </c>
      <c r="K957" s="22">
        <v>0</v>
      </c>
      <c r="L957" s="8">
        <f t="shared" si="1032"/>
        <v>0.05</v>
      </c>
      <c r="M957" s="24">
        <f t="shared" si="981"/>
        <v>2.0040080160320653E-3</v>
      </c>
      <c r="N957" s="14"/>
    </row>
    <row r="958" spans="1:15" x14ac:dyDescent="0.25">
      <c r="A958" s="20">
        <v>44540</v>
      </c>
      <c r="B958" s="1">
        <f t="shared" ref="B958" si="1043">B950</f>
        <v>80</v>
      </c>
      <c r="C958" s="1" t="s">
        <v>372</v>
      </c>
      <c r="D958" s="1" t="s">
        <v>181</v>
      </c>
      <c r="E958" s="26" t="e">
        <f t="shared" ref="E958:F958" si="1044">+E957</f>
        <v>#REF!</v>
      </c>
      <c r="F958" s="26" t="e">
        <f t="shared" si="1044"/>
        <v>#REF!</v>
      </c>
      <c r="G958" s="17">
        <v>9</v>
      </c>
      <c r="H958" s="17" t="s">
        <v>9</v>
      </c>
      <c r="I958" s="30" t="s">
        <v>38</v>
      </c>
      <c r="J958" s="22">
        <v>1.1000000000000001</v>
      </c>
      <c r="K958" s="22">
        <v>0.5</v>
      </c>
      <c r="L958" s="8">
        <f t="shared" si="1032"/>
        <v>0.60000000000000009</v>
      </c>
      <c r="M958" s="24">
        <f t="shared" si="981"/>
        <v>2.4048096192384783E-2</v>
      </c>
      <c r="N958" s="14" t="s">
        <v>410</v>
      </c>
    </row>
    <row r="959" spans="1:15" x14ac:dyDescent="0.25">
      <c r="A959" s="20">
        <v>44540</v>
      </c>
      <c r="B959" s="1">
        <f t="shared" ref="B959" si="1045">B950</f>
        <v>80</v>
      </c>
      <c r="C959" s="1" t="s">
        <v>372</v>
      </c>
      <c r="D959" s="1" t="s">
        <v>181</v>
      </c>
      <c r="E959" s="26" t="e">
        <f t="shared" ref="E959:F959" si="1046">+E958</f>
        <v>#REF!</v>
      </c>
      <c r="F959" s="26" t="e">
        <f t="shared" si="1046"/>
        <v>#REF!</v>
      </c>
      <c r="G959" s="17">
        <v>10</v>
      </c>
      <c r="H959" s="17" t="s">
        <v>9</v>
      </c>
      <c r="I959" s="30" t="s">
        <v>23</v>
      </c>
      <c r="J959" s="22">
        <f>15.9+13.7+13.9+14.8</f>
        <v>58.3</v>
      </c>
      <c r="K959" s="22">
        <f>8.55+8.5+8.55+8.55</f>
        <v>34.150000000000006</v>
      </c>
      <c r="L959" s="8">
        <f t="shared" si="1032"/>
        <v>24.149999999999991</v>
      </c>
      <c r="M959" s="24">
        <f t="shared" si="981"/>
        <v>0.96793587174348705</v>
      </c>
      <c r="N959" s="14"/>
    </row>
    <row r="960" spans="1:15" x14ac:dyDescent="0.25">
      <c r="A960" s="20">
        <v>44540</v>
      </c>
      <c r="B960" s="1">
        <f t="shared" ref="B960" si="1047">B950</f>
        <v>80</v>
      </c>
      <c r="C960" s="1" t="s">
        <v>372</v>
      </c>
      <c r="D960" s="1" t="s">
        <v>181</v>
      </c>
      <c r="E960" s="26" t="e">
        <f t="shared" ref="E960:F960" si="1048">+E959</f>
        <v>#REF!</v>
      </c>
      <c r="F960" s="26" t="e">
        <f t="shared" si="1048"/>
        <v>#REF!</v>
      </c>
      <c r="G960" s="17">
        <v>11</v>
      </c>
      <c r="H960" s="17" t="s">
        <v>9</v>
      </c>
      <c r="I960" s="30" t="s">
        <v>60</v>
      </c>
      <c r="J960" s="22">
        <v>0.6</v>
      </c>
      <c r="K960" s="22">
        <v>0.55000000000000004</v>
      </c>
      <c r="L960" s="8">
        <f t="shared" si="1032"/>
        <v>4.9999999999999933E-2</v>
      </c>
      <c r="M960" s="24">
        <f t="shared" si="981"/>
        <v>2.0040080160320622E-3</v>
      </c>
      <c r="N960" s="14"/>
    </row>
    <row r="961" spans="1:15" ht="15.75" thickBot="1" x14ac:dyDescent="0.3">
      <c r="A961" s="20">
        <v>44540</v>
      </c>
      <c r="B961" s="57">
        <f t="shared" ref="B961" si="1049">B950</f>
        <v>80</v>
      </c>
      <c r="C961" s="1" t="s">
        <v>372</v>
      </c>
      <c r="D961" s="1" t="s">
        <v>181</v>
      </c>
      <c r="E961" s="26" t="e">
        <f t="shared" ref="E961:F961" si="1050">+E960</f>
        <v>#REF!</v>
      </c>
      <c r="F961" s="26" t="e">
        <f t="shared" si="1050"/>
        <v>#REF!</v>
      </c>
      <c r="G961" s="18">
        <f>+G960+1</f>
        <v>12</v>
      </c>
      <c r="H961" s="18" t="s">
        <v>10</v>
      </c>
      <c r="I961" s="46" t="s">
        <v>10</v>
      </c>
      <c r="J961" s="22">
        <v>8.35</v>
      </c>
      <c r="K961" s="63">
        <v>8.3000000000000007</v>
      </c>
      <c r="L961" s="8">
        <f t="shared" si="1032"/>
        <v>4.9999999999998934E-2</v>
      </c>
      <c r="M961" s="24">
        <f t="shared" si="981"/>
        <v>2.0040080160320223E-3</v>
      </c>
      <c r="N961" s="14"/>
    </row>
    <row r="962" spans="1:15" x14ac:dyDescent="0.25">
      <c r="A962" s="19">
        <v>44540</v>
      </c>
      <c r="B962" s="15">
        <f t="shared" ref="B962" si="1051">B950+1</f>
        <v>81</v>
      </c>
      <c r="C962" s="15" t="s">
        <v>373</v>
      </c>
      <c r="D962" s="15" t="s">
        <v>181</v>
      </c>
      <c r="E962" s="25"/>
      <c r="F962" s="25">
        <f>+SUM(L962:L973)</f>
        <v>34.200000000000003</v>
      </c>
      <c r="G962" s="16">
        <v>1</v>
      </c>
      <c r="H962" s="16" t="s">
        <v>9</v>
      </c>
      <c r="I962" s="59" t="s">
        <v>56</v>
      </c>
      <c r="J962" s="21">
        <v>0.75</v>
      </c>
      <c r="K962" s="21">
        <v>0.5</v>
      </c>
      <c r="L962" s="12">
        <f>+J962-K962</f>
        <v>0.25</v>
      </c>
      <c r="M962" s="23">
        <f t="shared" ref="M962:M1025" si="1052">+L962/SUMIF(C:C,C962,L:L)</f>
        <v>7.3099415204678359E-3</v>
      </c>
      <c r="N962" s="13"/>
      <c r="O962" t="s">
        <v>361</v>
      </c>
    </row>
    <row r="963" spans="1:15" x14ac:dyDescent="0.25">
      <c r="A963" s="20">
        <v>44540</v>
      </c>
      <c r="B963" s="1">
        <f t="shared" ref="B963" si="1053">B962</f>
        <v>81</v>
      </c>
      <c r="C963" s="1" t="s">
        <v>373</v>
      </c>
      <c r="D963" s="1" t="s">
        <v>181</v>
      </c>
      <c r="E963" s="26">
        <f>+E962</f>
        <v>0</v>
      </c>
      <c r="F963" s="28" t="e">
        <f>+(F962-E962)/E962</f>
        <v>#DIV/0!</v>
      </c>
      <c r="G963" s="17">
        <v>2</v>
      </c>
      <c r="H963" s="17" t="s">
        <v>9</v>
      </c>
      <c r="I963" s="30" t="s">
        <v>57</v>
      </c>
      <c r="J963" s="22">
        <v>0.85</v>
      </c>
      <c r="K963" s="22">
        <v>0.5</v>
      </c>
      <c r="L963" s="8">
        <f t="shared" ref="L963:L973" si="1054">+J963-K963</f>
        <v>0.35</v>
      </c>
      <c r="M963" s="24">
        <f t="shared" si="1052"/>
        <v>1.0233918128654968E-2</v>
      </c>
      <c r="N963" s="14"/>
    </row>
    <row r="964" spans="1:15" x14ac:dyDescent="0.25">
      <c r="A964" s="20">
        <v>44540</v>
      </c>
      <c r="B964" s="1">
        <f t="shared" ref="B964" si="1055">B962</f>
        <v>81</v>
      </c>
      <c r="C964" s="1" t="s">
        <v>373</v>
      </c>
      <c r="D964" s="1" t="s">
        <v>181</v>
      </c>
      <c r="E964" s="26" t="e">
        <f>+#REF!</f>
        <v>#REF!</v>
      </c>
      <c r="F964" s="26" t="e">
        <f>+#REF!</f>
        <v>#REF!</v>
      </c>
      <c r="G964" s="17">
        <v>3</v>
      </c>
      <c r="H964" s="17" t="s">
        <v>9</v>
      </c>
      <c r="I964" s="30" t="s">
        <v>58</v>
      </c>
      <c r="J964" s="22">
        <v>0.65</v>
      </c>
      <c r="K964" s="22">
        <v>0.55000000000000004</v>
      </c>
      <c r="L964" s="8">
        <f t="shared" si="1054"/>
        <v>9.9999999999999978E-2</v>
      </c>
      <c r="M964" s="24">
        <f t="shared" si="1052"/>
        <v>2.9239766081871335E-3</v>
      </c>
      <c r="N964" s="14"/>
    </row>
    <row r="965" spans="1:15" x14ac:dyDescent="0.25">
      <c r="A965" s="20">
        <v>44540</v>
      </c>
      <c r="B965" s="1">
        <f t="shared" ref="B965" si="1056">B962</f>
        <v>81</v>
      </c>
      <c r="C965" s="1" t="s">
        <v>373</v>
      </c>
      <c r="D965" s="1" t="s">
        <v>181</v>
      </c>
      <c r="E965" s="26" t="e">
        <f t="shared" ref="E965:F965" si="1057">+E964</f>
        <v>#REF!</v>
      </c>
      <c r="F965" s="26" t="e">
        <f t="shared" si="1057"/>
        <v>#REF!</v>
      </c>
      <c r="G965" s="17">
        <v>4</v>
      </c>
      <c r="H965" s="17" t="s">
        <v>9</v>
      </c>
      <c r="I965" s="30" t="s">
        <v>22</v>
      </c>
      <c r="J965" s="22"/>
      <c r="K965" s="22"/>
      <c r="L965" s="8">
        <f t="shared" si="1054"/>
        <v>0</v>
      </c>
      <c r="M965" s="24">
        <f t="shared" si="1052"/>
        <v>0</v>
      </c>
      <c r="N965" s="14"/>
    </row>
    <row r="966" spans="1:15" x14ac:dyDescent="0.25">
      <c r="A966" s="20">
        <v>44540</v>
      </c>
      <c r="B966" s="1">
        <f t="shared" ref="B966" si="1058">B962</f>
        <v>81</v>
      </c>
      <c r="C966" s="1" t="s">
        <v>373</v>
      </c>
      <c r="D966" s="1" t="s">
        <v>181</v>
      </c>
      <c r="E966" s="26" t="e">
        <f t="shared" ref="E966:F966" si="1059">+E965</f>
        <v>#REF!</v>
      </c>
      <c r="F966" s="26" t="e">
        <f t="shared" si="1059"/>
        <v>#REF!</v>
      </c>
      <c r="G966" s="17">
        <v>5</v>
      </c>
      <c r="H966" s="17" t="s">
        <v>9</v>
      </c>
      <c r="I966" s="30" t="s">
        <v>34</v>
      </c>
      <c r="J966" s="22"/>
      <c r="K966" s="22"/>
      <c r="L966" s="8">
        <f t="shared" si="1054"/>
        <v>0</v>
      </c>
      <c r="M966" s="24">
        <f t="shared" si="1052"/>
        <v>0</v>
      </c>
      <c r="N966" s="14"/>
    </row>
    <row r="967" spans="1:15" x14ac:dyDescent="0.25">
      <c r="A967" s="20">
        <v>44540</v>
      </c>
      <c r="B967" s="1">
        <f t="shared" ref="B967" si="1060">B962</f>
        <v>81</v>
      </c>
      <c r="C967" s="1" t="s">
        <v>373</v>
      </c>
      <c r="D967" s="1" t="s">
        <v>181</v>
      </c>
      <c r="E967" s="26" t="e">
        <f t="shared" ref="E967:F967" si="1061">+E966</f>
        <v>#REF!</v>
      </c>
      <c r="F967" s="26" t="e">
        <f t="shared" si="1061"/>
        <v>#REF!</v>
      </c>
      <c r="G967" s="17">
        <v>6</v>
      </c>
      <c r="H967" s="17" t="s">
        <v>9</v>
      </c>
      <c r="I967" s="30" t="s">
        <v>35</v>
      </c>
      <c r="J967" s="22"/>
      <c r="K967" s="22"/>
      <c r="L967" s="8">
        <f t="shared" si="1054"/>
        <v>0</v>
      </c>
      <c r="M967" s="24">
        <f t="shared" si="1052"/>
        <v>0</v>
      </c>
      <c r="N967" s="14"/>
    </row>
    <row r="968" spans="1:15" x14ac:dyDescent="0.25">
      <c r="A968" s="20">
        <v>44540</v>
      </c>
      <c r="B968" s="1">
        <f t="shared" ref="B968" si="1062">B962</f>
        <v>81</v>
      </c>
      <c r="C968" s="1" t="s">
        <v>373</v>
      </c>
      <c r="D968" s="1" t="s">
        <v>181</v>
      </c>
      <c r="E968" s="26" t="e">
        <f t="shared" ref="E968:F968" si="1063">+E967</f>
        <v>#REF!</v>
      </c>
      <c r="F968" s="26" t="e">
        <f t="shared" si="1063"/>
        <v>#REF!</v>
      </c>
      <c r="G968" s="17">
        <v>7</v>
      </c>
      <c r="H968" s="17" t="s">
        <v>9</v>
      </c>
      <c r="I968" s="30" t="s">
        <v>36</v>
      </c>
      <c r="J968" s="22"/>
      <c r="K968" s="22"/>
      <c r="L968" s="8">
        <f t="shared" si="1054"/>
        <v>0</v>
      </c>
      <c r="M968" s="24">
        <f t="shared" si="1052"/>
        <v>0</v>
      </c>
      <c r="N968" s="14"/>
    </row>
    <row r="969" spans="1:15" x14ac:dyDescent="0.25">
      <c r="A969" s="20">
        <v>44540</v>
      </c>
      <c r="B969" s="1">
        <f t="shared" ref="B969" si="1064">B962</f>
        <v>81</v>
      </c>
      <c r="C969" s="1" t="s">
        <v>373</v>
      </c>
      <c r="D969" s="1" t="s">
        <v>181</v>
      </c>
      <c r="E969" s="26" t="e">
        <f>+E968</f>
        <v>#REF!</v>
      </c>
      <c r="F969" s="26" t="e">
        <f>+F968</f>
        <v>#REF!</v>
      </c>
      <c r="G969" s="17">
        <v>8</v>
      </c>
      <c r="H969" s="17" t="s">
        <v>9</v>
      </c>
      <c r="I969" s="30" t="s">
        <v>59</v>
      </c>
      <c r="J969" s="22">
        <f>10.4+10.05</f>
        <v>20.450000000000003</v>
      </c>
      <c r="K969" s="22">
        <f>8.3+8.55</f>
        <v>16.850000000000001</v>
      </c>
      <c r="L969" s="8">
        <f t="shared" si="1054"/>
        <v>3.6000000000000014</v>
      </c>
      <c r="M969" s="24">
        <f t="shared" si="1052"/>
        <v>0.10526315789473688</v>
      </c>
      <c r="N969" s="14"/>
    </row>
    <row r="970" spans="1:15" x14ac:dyDescent="0.25">
      <c r="A970" s="20">
        <v>44540</v>
      </c>
      <c r="B970" s="1">
        <f t="shared" ref="B970" si="1065">B962</f>
        <v>81</v>
      </c>
      <c r="C970" s="1" t="s">
        <v>373</v>
      </c>
      <c r="D970" s="1" t="s">
        <v>181</v>
      </c>
      <c r="E970" s="26" t="e">
        <f t="shared" ref="E970:F970" si="1066">+E969</f>
        <v>#REF!</v>
      </c>
      <c r="F970" s="26" t="e">
        <f t="shared" si="1066"/>
        <v>#REF!</v>
      </c>
      <c r="G970" s="17">
        <v>9</v>
      </c>
      <c r="H970" s="17" t="s">
        <v>9</v>
      </c>
      <c r="I970" s="30" t="s">
        <v>38</v>
      </c>
      <c r="J970" s="22"/>
      <c r="K970" s="22"/>
      <c r="L970" s="8">
        <f t="shared" si="1054"/>
        <v>0</v>
      </c>
      <c r="M970" s="24">
        <f t="shared" si="1052"/>
        <v>0</v>
      </c>
      <c r="N970" s="14"/>
    </row>
    <row r="971" spans="1:15" x14ac:dyDescent="0.25">
      <c r="A971" s="20">
        <v>44540</v>
      </c>
      <c r="B971" s="1">
        <f t="shared" ref="B971" si="1067">B962</f>
        <v>81</v>
      </c>
      <c r="C971" s="1" t="s">
        <v>373</v>
      </c>
      <c r="D971" s="1" t="s">
        <v>181</v>
      </c>
      <c r="E971" s="26" t="e">
        <f t="shared" ref="E971:F971" si="1068">+E970</f>
        <v>#REF!</v>
      </c>
      <c r="F971" s="26" t="e">
        <f t="shared" si="1068"/>
        <v>#REF!</v>
      </c>
      <c r="G971" s="17">
        <v>10</v>
      </c>
      <c r="H971" s="17" t="s">
        <v>9</v>
      </c>
      <c r="I971" s="30" t="s">
        <v>23</v>
      </c>
      <c r="J971" s="22">
        <f>17.7+13.5+12.65+16.25</f>
        <v>60.1</v>
      </c>
      <c r="K971" s="22">
        <f>8.5+8.5+8.3+8.55</f>
        <v>33.85</v>
      </c>
      <c r="L971" s="8">
        <f t="shared" si="1054"/>
        <v>26.25</v>
      </c>
      <c r="M971" s="24">
        <f t="shared" si="1052"/>
        <v>0.76754385964912275</v>
      </c>
      <c r="N971" s="14"/>
    </row>
    <row r="972" spans="1:15" x14ac:dyDescent="0.25">
      <c r="A972" s="20">
        <v>44540</v>
      </c>
      <c r="B972" s="1">
        <f t="shared" ref="B972" si="1069">B962</f>
        <v>81</v>
      </c>
      <c r="C972" s="1" t="s">
        <v>373</v>
      </c>
      <c r="D972" s="1" t="s">
        <v>181</v>
      </c>
      <c r="E972" s="26" t="e">
        <f t="shared" ref="E972:F972" si="1070">+E971</f>
        <v>#REF!</v>
      </c>
      <c r="F972" s="26" t="e">
        <f t="shared" si="1070"/>
        <v>#REF!</v>
      </c>
      <c r="G972" s="17">
        <v>11</v>
      </c>
      <c r="H972" s="17" t="s">
        <v>9</v>
      </c>
      <c r="I972" s="30" t="s">
        <v>60</v>
      </c>
      <c r="J972" s="22">
        <f>9.65+8.85</f>
        <v>18.5</v>
      </c>
      <c r="K972" s="22">
        <f>8.55+8.3</f>
        <v>16.850000000000001</v>
      </c>
      <c r="L972" s="8">
        <f t="shared" si="1054"/>
        <v>1.6499999999999986</v>
      </c>
      <c r="M972" s="24">
        <f t="shared" si="1052"/>
        <v>4.8245614035087675E-2</v>
      </c>
      <c r="N972" s="14"/>
    </row>
    <row r="973" spans="1:15" ht="15.75" thickBot="1" x14ac:dyDescent="0.3">
      <c r="A973" s="20">
        <v>44540</v>
      </c>
      <c r="B973" s="57">
        <f t="shared" ref="B973" si="1071">B962</f>
        <v>81</v>
      </c>
      <c r="C973" s="1" t="s">
        <v>373</v>
      </c>
      <c r="D973" s="1" t="s">
        <v>181</v>
      </c>
      <c r="E973" s="26" t="e">
        <f t="shared" ref="E973:F973" si="1072">+E972</f>
        <v>#REF!</v>
      </c>
      <c r="F973" s="26" t="e">
        <f t="shared" si="1072"/>
        <v>#REF!</v>
      </c>
      <c r="G973" s="18">
        <f>+G972+1</f>
        <v>12</v>
      </c>
      <c r="H973" s="18" t="s">
        <v>10</v>
      </c>
      <c r="I973" s="46" t="s">
        <v>10</v>
      </c>
      <c r="J973" s="22">
        <f>10.05+8.85</f>
        <v>18.899999999999999</v>
      </c>
      <c r="K973" s="63">
        <f>8.6+8.3</f>
        <v>16.899999999999999</v>
      </c>
      <c r="L973" s="8">
        <f t="shared" si="1054"/>
        <v>2</v>
      </c>
      <c r="M973" s="24">
        <f t="shared" si="1052"/>
        <v>5.8479532163742687E-2</v>
      </c>
      <c r="N973" s="14"/>
    </row>
    <row r="974" spans="1:15" x14ac:dyDescent="0.25">
      <c r="A974" s="19">
        <v>44540</v>
      </c>
      <c r="B974" s="15">
        <f t="shared" ref="B974" si="1073">B962+1</f>
        <v>82</v>
      </c>
      <c r="C974" s="15" t="s">
        <v>374</v>
      </c>
      <c r="D974" s="15" t="s">
        <v>179</v>
      </c>
      <c r="E974" s="25"/>
      <c r="F974" s="25">
        <f>+SUM(L974:L985)</f>
        <v>39.54999999999999</v>
      </c>
      <c r="G974" s="16">
        <v>1</v>
      </c>
      <c r="H974" s="16" t="s">
        <v>9</v>
      </c>
      <c r="I974" s="59" t="s">
        <v>56</v>
      </c>
      <c r="J974" s="21">
        <v>1.1000000000000001</v>
      </c>
      <c r="K974" s="21">
        <v>0.5</v>
      </c>
      <c r="L974" s="12">
        <f>+J974-K974</f>
        <v>0.60000000000000009</v>
      </c>
      <c r="M974" s="23">
        <f t="shared" si="1052"/>
        <v>1.5170670037926682E-2</v>
      </c>
      <c r="N974" s="13"/>
      <c r="O974" t="s">
        <v>361</v>
      </c>
    </row>
    <row r="975" spans="1:15" x14ac:dyDescent="0.25">
      <c r="A975" s="20">
        <v>44540</v>
      </c>
      <c r="B975" s="1">
        <f t="shared" ref="B975" si="1074">B974</f>
        <v>82</v>
      </c>
      <c r="C975" s="1" t="s">
        <v>374</v>
      </c>
      <c r="D975" s="1" t="s">
        <v>179</v>
      </c>
      <c r="E975" s="26">
        <f>+E974</f>
        <v>0</v>
      </c>
      <c r="F975" s="28" t="e">
        <f>+(F974-E974)/E974</f>
        <v>#DIV/0!</v>
      </c>
      <c r="G975" s="17">
        <v>2</v>
      </c>
      <c r="H975" s="17" t="s">
        <v>9</v>
      </c>
      <c r="I975" s="30" t="s">
        <v>57</v>
      </c>
      <c r="J975" s="22">
        <f>5.1</f>
        <v>5.0999999999999996</v>
      </c>
      <c r="K975" s="22">
        <f>0.55+0.5+0.55</f>
        <v>1.6</v>
      </c>
      <c r="L975" s="8">
        <f t="shared" ref="L975:L985" si="1075">+J975-K975</f>
        <v>3.4999999999999996</v>
      </c>
      <c r="M975" s="24">
        <f t="shared" si="1052"/>
        <v>8.8495575221238951E-2</v>
      </c>
      <c r="N975" s="14"/>
    </row>
    <row r="976" spans="1:15" x14ac:dyDescent="0.25">
      <c r="A976" s="20">
        <v>44540</v>
      </c>
      <c r="B976" s="1">
        <f t="shared" ref="B976" si="1076">B974</f>
        <v>82</v>
      </c>
      <c r="C976" s="1" t="s">
        <v>374</v>
      </c>
      <c r="D976" s="1" t="s">
        <v>179</v>
      </c>
      <c r="E976" s="26" t="e">
        <f>+#REF!</f>
        <v>#REF!</v>
      </c>
      <c r="F976" s="26" t="e">
        <f>+#REF!</f>
        <v>#REF!</v>
      </c>
      <c r="G976" s="17">
        <v>3</v>
      </c>
      <c r="H976" s="17" t="s">
        <v>9</v>
      </c>
      <c r="I976" s="30" t="s">
        <v>58</v>
      </c>
      <c r="J976" s="22">
        <v>1.85</v>
      </c>
      <c r="K976" s="22">
        <v>0.5</v>
      </c>
      <c r="L976" s="8">
        <f t="shared" si="1075"/>
        <v>1.35</v>
      </c>
      <c r="M976" s="24">
        <f t="shared" si="1052"/>
        <v>3.4134007585335031E-2</v>
      </c>
      <c r="N976" s="14"/>
    </row>
    <row r="977" spans="1:14" x14ac:dyDescent="0.25">
      <c r="A977" s="20">
        <v>44540</v>
      </c>
      <c r="B977" s="1">
        <f t="shared" ref="B977" si="1077">B974</f>
        <v>82</v>
      </c>
      <c r="C977" s="1" t="s">
        <v>374</v>
      </c>
      <c r="D977" s="1" t="s">
        <v>179</v>
      </c>
      <c r="E977" s="26" t="e">
        <f t="shared" ref="E977:F977" si="1078">+E976</f>
        <v>#REF!</v>
      </c>
      <c r="F977" s="26" t="e">
        <f t="shared" si="1078"/>
        <v>#REF!</v>
      </c>
      <c r="G977" s="17">
        <v>4</v>
      </c>
      <c r="H977" s="17" t="s">
        <v>9</v>
      </c>
      <c r="I977" s="30" t="s">
        <v>22</v>
      </c>
      <c r="J977" s="22">
        <v>0.95</v>
      </c>
      <c r="K977" s="22">
        <v>0.55000000000000004</v>
      </c>
      <c r="L977" s="8">
        <f t="shared" si="1075"/>
        <v>0.39999999999999991</v>
      </c>
      <c r="M977" s="24">
        <f t="shared" si="1052"/>
        <v>1.0113780025284451E-2</v>
      </c>
      <c r="N977" s="14"/>
    </row>
    <row r="978" spans="1:14" x14ac:dyDescent="0.25">
      <c r="A978" s="20">
        <v>44540</v>
      </c>
      <c r="B978" s="1">
        <f t="shared" ref="B978" si="1079">B974</f>
        <v>82</v>
      </c>
      <c r="C978" s="1" t="s">
        <v>374</v>
      </c>
      <c r="D978" s="1" t="s">
        <v>179</v>
      </c>
      <c r="E978" s="26" t="e">
        <f t="shared" ref="E978:F978" si="1080">+E977</f>
        <v>#REF!</v>
      </c>
      <c r="F978" s="26" t="e">
        <f t="shared" si="1080"/>
        <v>#REF!</v>
      </c>
      <c r="G978" s="17">
        <v>5</v>
      </c>
      <c r="H978" s="17" t="s">
        <v>9</v>
      </c>
      <c r="I978" s="30" t="s">
        <v>34</v>
      </c>
      <c r="J978" s="22">
        <v>1.05</v>
      </c>
      <c r="K978" s="22">
        <v>0.5</v>
      </c>
      <c r="L978" s="8">
        <f t="shared" si="1075"/>
        <v>0.55000000000000004</v>
      </c>
      <c r="M978" s="24">
        <f t="shared" si="1052"/>
        <v>1.3906447534766123E-2</v>
      </c>
      <c r="N978" s="14"/>
    </row>
    <row r="979" spans="1:14" x14ac:dyDescent="0.25">
      <c r="A979" s="20">
        <v>44540</v>
      </c>
      <c r="B979" s="1">
        <f t="shared" ref="B979" si="1081">B974</f>
        <v>82</v>
      </c>
      <c r="C979" s="1" t="s">
        <v>374</v>
      </c>
      <c r="D979" s="1" t="s">
        <v>179</v>
      </c>
      <c r="E979" s="26" t="e">
        <f t="shared" ref="E979:F979" si="1082">+E978</f>
        <v>#REF!</v>
      </c>
      <c r="F979" s="26" t="e">
        <f t="shared" si="1082"/>
        <v>#REF!</v>
      </c>
      <c r="G979" s="17">
        <v>6</v>
      </c>
      <c r="H979" s="17" t="s">
        <v>9</v>
      </c>
      <c r="I979" s="30" t="s">
        <v>35</v>
      </c>
      <c r="J979" s="22">
        <v>0.3</v>
      </c>
      <c r="K979" s="22">
        <v>0</v>
      </c>
      <c r="L979" s="8">
        <f t="shared" si="1075"/>
        <v>0.3</v>
      </c>
      <c r="M979" s="24">
        <f t="shared" si="1052"/>
        <v>7.5853350189633391E-3</v>
      </c>
      <c r="N979" s="14"/>
    </row>
    <row r="980" spans="1:14" x14ac:dyDescent="0.25">
      <c r="A980" s="20">
        <v>44540</v>
      </c>
      <c r="B980" s="1">
        <f t="shared" ref="B980" si="1083">B974</f>
        <v>82</v>
      </c>
      <c r="C980" s="1" t="s">
        <v>374</v>
      </c>
      <c r="D980" s="1" t="s">
        <v>179</v>
      </c>
      <c r="E980" s="26" t="e">
        <f t="shared" ref="E980:F980" si="1084">+E979</f>
        <v>#REF!</v>
      </c>
      <c r="F980" s="26" t="e">
        <f t="shared" si="1084"/>
        <v>#REF!</v>
      </c>
      <c r="G980" s="17">
        <v>7</v>
      </c>
      <c r="H980" s="17" t="s">
        <v>9</v>
      </c>
      <c r="I980" s="30" t="s">
        <v>36</v>
      </c>
      <c r="J980" s="22">
        <f>16.85+23.35</f>
        <v>40.200000000000003</v>
      </c>
      <c r="K980" s="22">
        <f>6.05+6.05</f>
        <v>12.1</v>
      </c>
      <c r="L980" s="8">
        <f t="shared" si="1075"/>
        <v>28.1</v>
      </c>
      <c r="M980" s="24">
        <f t="shared" si="1052"/>
        <v>0.71049304677623282</v>
      </c>
      <c r="N980" s="14"/>
    </row>
    <row r="981" spans="1:14" x14ac:dyDescent="0.25">
      <c r="A981" s="20">
        <v>44540</v>
      </c>
      <c r="B981" s="1">
        <f t="shared" ref="B981" si="1085">B974</f>
        <v>82</v>
      </c>
      <c r="C981" s="1" t="s">
        <v>374</v>
      </c>
      <c r="D981" s="1" t="s">
        <v>179</v>
      </c>
      <c r="E981" s="26" t="e">
        <f>+E980</f>
        <v>#REF!</v>
      </c>
      <c r="F981" s="26" t="e">
        <f>+F980</f>
        <v>#REF!</v>
      </c>
      <c r="G981" s="17">
        <v>8</v>
      </c>
      <c r="H981" s="17" t="s">
        <v>9</v>
      </c>
      <c r="I981" s="30" t="s">
        <v>59</v>
      </c>
      <c r="J981" s="22">
        <f>8.65</f>
        <v>8.65</v>
      </c>
      <c r="K981" s="22">
        <f>8.6</f>
        <v>8.6</v>
      </c>
      <c r="L981" s="8">
        <f t="shared" si="1075"/>
        <v>5.0000000000000711E-2</v>
      </c>
      <c r="M981" s="24">
        <f t="shared" si="1052"/>
        <v>1.2642225031605746E-3</v>
      </c>
      <c r="N981" s="14"/>
    </row>
    <row r="982" spans="1:14" x14ac:dyDescent="0.25">
      <c r="A982" s="20">
        <v>44540</v>
      </c>
      <c r="B982" s="1">
        <f t="shared" ref="B982" si="1086">B974</f>
        <v>82</v>
      </c>
      <c r="C982" s="1" t="s">
        <v>374</v>
      </c>
      <c r="D982" s="1" t="s">
        <v>179</v>
      </c>
      <c r="E982" s="26" t="e">
        <f t="shared" ref="E982:F982" si="1087">+E981</f>
        <v>#REF!</v>
      </c>
      <c r="F982" s="26" t="e">
        <f t="shared" si="1087"/>
        <v>#REF!</v>
      </c>
      <c r="G982" s="17">
        <v>9</v>
      </c>
      <c r="H982" s="17" t="s">
        <v>9</v>
      </c>
      <c r="I982" s="30" t="s">
        <v>38</v>
      </c>
      <c r="J982" s="22">
        <v>0.65</v>
      </c>
      <c r="K982" s="22">
        <v>0.5</v>
      </c>
      <c r="L982" s="8">
        <f t="shared" si="1075"/>
        <v>0.15000000000000002</v>
      </c>
      <c r="M982" s="24">
        <f t="shared" si="1052"/>
        <v>3.7926675094816704E-3</v>
      </c>
      <c r="N982" s="14"/>
    </row>
    <row r="983" spans="1:14" x14ac:dyDescent="0.25">
      <c r="A983" s="20">
        <v>44540</v>
      </c>
      <c r="B983" s="1">
        <f t="shared" ref="B983" si="1088">B974</f>
        <v>82</v>
      </c>
      <c r="C983" s="1" t="s">
        <v>374</v>
      </c>
      <c r="D983" s="1" t="s">
        <v>179</v>
      </c>
      <c r="E983" s="26" t="e">
        <f t="shared" ref="E983:F983" si="1089">+E982</f>
        <v>#REF!</v>
      </c>
      <c r="F983" s="26" t="e">
        <f t="shared" si="1089"/>
        <v>#REF!</v>
      </c>
      <c r="G983" s="17">
        <v>10</v>
      </c>
      <c r="H983" s="17" t="s">
        <v>9</v>
      </c>
      <c r="I983" s="30" t="s">
        <v>23</v>
      </c>
      <c r="J983" s="22">
        <f>8.95</f>
        <v>8.9499999999999993</v>
      </c>
      <c r="K983" s="22">
        <f>8.55</f>
        <v>8.5500000000000007</v>
      </c>
      <c r="L983" s="8">
        <f t="shared" si="1075"/>
        <v>0.39999999999999858</v>
      </c>
      <c r="M983" s="24">
        <f t="shared" si="1052"/>
        <v>1.0113780025284416E-2</v>
      </c>
      <c r="N983" s="14"/>
    </row>
    <row r="984" spans="1:14" x14ac:dyDescent="0.25">
      <c r="A984" s="20">
        <v>44540</v>
      </c>
      <c r="B984" s="1">
        <f t="shared" ref="B984" si="1090">B974</f>
        <v>82</v>
      </c>
      <c r="C984" s="1" t="s">
        <v>374</v>
      </c>
      <c r="D984" s="1" t="s">
        <v>179</v>
      </c>
      <c r="E984" s="26" t="e">
        <f t="shared" ref="E984:F984" si="1091">+E983</f>
        <v>#REF!</v>
      </c>
      <c r="F984" s="26" t="e">
        <f t="shared" si="1091"/>
        <v>#REF!</v>
      </c>
      <c r="G984" s="17">
        <v>11</v>
      </c>
      <c r="H984" s="17" t="s">
        <v>9</v>
      </c>
      <c r="I984" s="30" t="s">
        <v>60</v>
      </c>
      <c r="J984" s="22">
        <v>0.6</v>
      </c>
      <c r="K984" s="22">
        <v>0.5</v>
      </c>
      <c r="L984" s="8">
        <f t="shared" si="1075"/>
        <v>9.9999999999999978E-2</v>
      </c>
      <c r="M984" s="24">
        <f t="shared" si="1052"/>
        <v>2.5284450063211127E-3</v>
      </c>
      <c r="N984" s="14"/>
    </row>
    <row r="985" spans="1:14" ht="15.75" thickBot="1" x14ac:dyDescent="0.3">
      <c r="A985" s="20">
        <v>44540</v>
      </c>
      <c r="B985" s="57">
        <f t="shared" ref="B985" si="1092">B974</f>
        <v>82</v>
      </c>
      <c r="C985" s="1" t="s">
        <v>374</v>
      </c>
      <c r="D985" s="1" t="s">
        <v>179</v>
      </c>
      <c r="E985" s="26" t="e">
        <f t="shared" ref="E985:F985" si="1093">+E984</f>
        <v>#REF!</v>
      </c>
      <c r="F985" s="26" t="e">
        <f t="shared" si="1093"/>
        <v>#REF!</v>
      </c>
      <c r="G985" s="18">
        <f>+G984+1</f>
        <v>12</v>
      </c>
      <c r="H985" s="18" t="s">
        <v>10</v>
      </c>
      <c r="I985" s="46" t="s">
        <v>10</v>
      </c>
      <c r="J985" s="22">
        <f>10.65+10.25</f>
        <v>20.9</v>
      </c>
      <c r="K985" s="63">
        <f>8.55+8.3</f>
        <v>16.850000000000001</v>
      </c>
      <c r="L985" s="8">
        <f t="shared" si="1075"/>
        <v>4.0499999999999972</v>
      </c>
      <c r="M985" s="24">
        <f t="shared" si="1052"/>
        <v>0.102402022756005</v>
      </c>
      <c r="N985" s="14"/>
    </row>
    <row r="986" spans="1:14" x14ac:dyDescent="0.25">
      <c r="A986" s="19">
        <v>44544</v>
      </c>
      <c r="B986" s="15">
        <f t="shared" ref="B986" si="1094">B974+1</f>
        <v>83</v>
      </c>
      <c r="C986" s="15" t="s">
        <v>375</v>
      </c>
      <c r="D986" s="15" t="s">
        <v>22</v>
      </c>
      <c r="E986" s="25">
        <f>22.2-1.2</f>
        <v>21</v>
      </c>
      <c r="F986" s="25">
        <f>+SUM(L986:L997)</f>
        <v>20.949999999999989</v>
      </c>
      <c r="G986" s="16">
        <v>1</v>
      </c>
      <c r="H986" s="16" t="s">
        <v>9</v>
      </c>
      <c r="I986" s="59" t="s">
        <v>56</v>
      </c>
      <c r="J986" s="21"/>
      <c r="K986" s="21"/>
      <c r="L986" s="12">
        <f>+J986-K986</f>
        <v>0</v>
      </c>
      <c r="M986" s="23">
        <f t="shared" si="1052"/>
        <v>0</v>
      </c>
      <c r="N986" s="13"/>
    </row>
    <row r="987" spans="1:14" x14ac:dyDescent="0.25">
      <c r="A987" s="20">
        <v>44544</v>
      </c>
      <c r="B987" s="1">
        <f t="shared" ref="B987" si="1095">B986</f>
        <v>83</v>
      </c>
      <c r="C987" s="1" t="s">
        <v>375</v>
      </c>
      <c r="D987" s="1" t="s">
        <v>22</v>
      </c>
      <c r="E987" s="26">
        <f>+E986</f>
        <v>21</v>
      </c>
      <c r="F987" s="28">
        <f>+(F986-E986)/E986</f>
        <v>-2.3809523809529224E-3</v>
      </c>
      <c r="G987" s="17">
        <v>2</v>
      </c>
      <c r="H987" s="17" t="s">
        <v>9</v>
      </c>
      <c r="I987" s="30" t="s">
        <v>57</v>
      </c>
      <c r="J987" s="22">
        <v>0.55000000000000004</v>
      </c>
      <c r="K987" s="22">
        <v>0.5</v>
      </c>
      <c r="L987" s="8">
        <f t="shared" ref="L987:L997" si="1096">+J987-K987</f>
        <v>5.0000000000000044E-2</v>
      </c>
      <c r="M987" s="24">
        <f t="shared" si="1052"/>
        <v>2.3866348448687387E-3</v>
      </c>
      <c r="N987" s="14"/>
    </row>
    <row r="988" spans="1:14" x14ac:dyDescent="0.25">
      <c r="A988" s="20">
        <v>44544</v>
      </c>
      <c r="B988" s="1">
        <f t="shared" ref="B988" si="1097">B986</f>
        <v>83</v>
      </c>
      <c r="C988" s="1" t="s">
        <v>375</v>
      </c>
      <c r="D988" s="1" t="s">
        <v>22</v>
      </c>
      <c r="E988" s="26" t="e">
        <f>+#REF!</f>
        <v>#REF!</v>
      </c>
      <c r="F988" s="26" t="e">
        <f>+#REF!</f>
        <v>#REF!</v>
      </c>
      <c r="G988" s="17">
        <v>3</v>
      </c>
      <c r="H988" s="17" t="s">
        <v>9</v>
      </c>
      <c r="I988" s="30" t="s">
        <v>58</v>
      </c>
      <c r="J988" s="22">
        <v>0.7</v>
      </c>
      <c r="K988" s="22">
        <v>0.5</v>
      </c>
      <c r="L988" s="8">
        <f t="shared" si="1096"/>
        <v>0.19999999999999996</v>
      </c>
      <c r="M988" s="24">
        <f t="shared" si="1052"/>
        <v>9.5465393794749442E-3</v>
      </c>
      <c r="N988" s="14"/>
    </row>
    <row r="989" spans="1:14" x14ac:dyDescent="0.25">
      <c r="A989" s="20">
        <v>44544</v>
      </c>
      <c r="B989" s="1">
        <f t="shared" ref="B989" si="1098">B986</f>
        <v>83</v>
      </c>
      <c r="C989" s="1" t="s">
        <v>375</v>
      </c>
      <c r="D989" s="1" t="s">
        <v>22</v>
      </c>
      <c r="E989" s="26" t="e">
        <f t="shared" ref="E989:F989" si="1099">+E988</f>
        <v>#REF!</v>
      </c>
      <c r="F989" s="26" t="e">
        <f t="shared" si="1099"/>
        <v>#REF!</v>
      </c>
      <c r="G989" s="17">
        <v>4</v>
      </c>
      <c r="H989" s="17" t="s">
        <v>9</v>
      </c>
      <c r="I989" s="30" t="s">
        <v>22</v>
      </c>
      <c r="J989" s="22">
        <f>13.9+12.75+13.45+13.6</f>
        <v>53.699999999999996</v>
      </c>
      <c r="K989" s="22">
        <f>8.3+8.55+8.3+8.5</f>
        <v>33.650000000000006</v>
      </c>
      <c r="L989" s="8">
        <f t="shared" si="1096"/>
        <v>20.04999999999999</v>
      </c>
      <c r="M989" s="24">
        <f t="shared" si="1052"/>
        <v>0.95704057279236276</v>
      </c>
      <c r="N989" s="14"/>
    </row>
    <row r="990" spans="1:14" x14ac:dyDescent="0.25">
      <c r="A990" s="20">
        <v>44544</v>
      </c>
      <c r="B990" s="1">
        <f t="shared" ref="B990" si="1100">B986</f>
        <v>83</v>
      </c>
      <c r="C990" s="1" t="s">
        <v>375</v>
      </c>
      <c r="D990" s="1" t="s">
        <v>22</v>
      </c>
      <c r="E990" s="26" t="e">
        <f t="shared" ref="E990:F990" si="1101">+E989</f>
        <v>#REF!</v>
      </c>
      <c r="F990" s="26" t="e">
        <f t="shared" si="1101"/>
        <v>#REF!</v>
      </c>
      <c r="G990" s="17">
        <v>5</v>
      </c>
      <c r="H990" s="17" t="s">
        <v>9</v>
      </c>
      <c r="I990" s="30" t="s">
        <v>34</v>
      </c>
      <c r="J990" s="22"/>
      <c r="K990" s="22"/>
      <c r="L990" s="8">
        <f t="shared" si="1096"/>
        <v>0</v>
      </c>
      <c r="M990" s="24">
        <f t="shared" si="1052"/>
        <v>0</v>
      </c>
      <c r="N990" s="14"/>
    </row>
    <row r="991" spans="1:14" x14ac:dyDescent="0.25">
      <c r="A991" s="20">
        <v>44544</v>
      </c>
      <c r="B991" s="1">
        <f t="shared" ref="B991" si="1102">B986</f>
        <v>83</v>
      </c>
      <c r="C991" s="1" t="s">
        <v>375</v>
      </c>
      <c r="D991" s="1" t="s">
        <v>22</v>
      </c>
      <c r="E991" s="26" t="e">
        <f t="shared" ref="E991:F991" si="1103">+E990</f>
        <v>#REF!</v>
      </c>
      <c r="F991" s="26" t="e">
        <f t="shared" si="1103"/>
        <v>#REF!</v>
      </c>
      <c r="G991" s="17">
        <v>6</v>
      </c>
      <c r="H991" s="17" t="s">
        <v>9</v>
      </c>
      <c r="I991" s="30" t="s">
        <v>35</v>
      </c>
      <c r="J991" s="22"/>
      <c r="K991" s="22"/>
      <c r="L991" s="8">
        <f t="shared" si="1096"/>
        <v>0</v>
      </c>
      <c r="M991" s="24">
        <f t="shared" si="1052"/>
        <v>0</v>
      </c>
      <c r="N991" s="14"/>
    </row>
    <row r="992" spans="1:14" x14ac:dyDescent="0.25">
      <c r="A992" s="20">
        <v>44544</v>
      </c>
      <c r="B992" s="1">
        <f t="shared" ref="B992" si="1104">B986</f>
        <v>83</v>
      </c>
      <c r="C992" s="1" t="s">
        <v>375</v>
      </c>
      <c r="D992" s="1" t="s">
        <v>22</v>
      </c>
      <c r="E992" s="26" t="e">
        <f t="shared" ref="E992:F992" si="1105">+E991</f>
        <v>#REF!</v>
      </c>
      <c r="F992" s="26" t="e">
        <f t="shared" si="1105"/>
        <v>#REF!</v>
      </c>
      <c r="G992" s="17">
        <v>7</v>
      </c>
      <c r="H992" s="17" t="s">
        <v>9</v>
      </c>
      <c r="I992" s="30" t="s">
        <v>36</v>
      </c>
      <c r="J992" s="22"/>
      <c r="K992" s="22"/>
      <c r="L992" s="8">
        <f t="shared" si="1096"/>
        <v>0</v>
      </c>
      <c r="M992" s="24">
        <f t="shared" si="1052"/>
        <v>0</v>
      </c>
      <c r="N992" s="14"/>
    </row>
    <row r="993" spans="1:14" x14ac:dyDescent="0.25">
      <c r="A993" s="20">
        <v>44544</v>
      </c>
      <c r="B993" s="1">
        <f t="shared" ref="B993" si="1106">B986</f>
        <v>83</v>
      </c>
      <c r="C993" s="1" t="s">
        <v>375</v>
      </c>
      <c r="D993" s="1" t="s">
        <v>22</v>
      </c>
      <c r="E993" s="26" t="e">
        <f>+E992</f>
        <v>#REF!</v>
      </c>
      <c r="F993" s="26" t="e">
        <f>+F992</f>
        <v>#REF!</v>
      </c>
      <c r="G993" s="17">
        <v>8</v>
      </c>
      <c r="H993" s="17" t="s">
        <v>9</v>
      </c>
      <c r="I993" s="30" t="s">
        <v>59</v>
      </c>
      <c r="J993" s="22">
        <v>0.6</v>
      </c>
      <c r="K993" s="22">
        <v>0.55000000000000004</v>
      </c>
      <c r="L993" s="8">
        <f t="shared" si="1096"/>
        <v>4.9999999999999933E-2</v>
      </c>
      <c r="M993" s="24">
        <f t="shared" si="1052"/>
        <v>2.386634844868733E-3</v>
      </c>
      <c r="N993" s="14"/>
    </row>
    <row r="994" spans="1:14" x14ac:dyDescent="0.25">
      <c r="A994" s="20">
        <v>44544</v>
      </c>
      <c r="B994" s="1">
        <f t="shared" ref="B994" si="1107">B986</f>
        <v>83</v>
      </c>
      <c r="C994" s="1" t="s">
        <v>375</v>
      </c>
      <c r="D994" s="1" t="s">
        <v>22</v>
      </c>
      <c r="E994" s="26" t="e">
        <f t="shared" ref="E994:F994" si="1108">+E993</f>
        <v>#REF!</v>
      </c>
      <c r="F994" s="26" t="e">
        <f t="shared" si="1108"/>
        <v>#REF!</v>
      </c>
      <c r="G994" s="17">
        <v>9</v>
      </c>
      <c r="H994" s="17" t="s">
        <v>9</v>
      </c>
      <c r="I994" s="30" t="s">
        <v>38</v>
      </c>
      <c r="J994" s="22"/>
      <c r="K994" s="22"/>
      <c r="L994" s="8">
        <f t="shared" si="1096"/>
        <v>0</v>
      </c>
      <c r="M994" s="24">
        <f t="shared" si="1052"/>
        <v>0</v>
      </c>
      <c r="N994" s="14"/>
    </row>
    <row r="995" spans="1:14" x14ac:dyDescent="0.25">
      <c r="A995" s="20">
        <v>44544</v>
      </c>
      <c r="B995" s="1">
        <f t="shared" ref="B995" si="1109">B986</f>
        <v>83</v>
      </c>
      <c r="C995" s="1" t="s">
        <v>375</v>
      </c>
      <c r="D995" s="1" t="s">
        <v>22</v>
      </c>
      <c r="E995" s="26" t="e">
        <f t="shared" ref="E995:F995" si="1110">+E994</f>
        <v>#REF!</v>
      </c>
      <c r="F995" s="26" t="e">
        <f t="shared" si="1110"/>
        <v>#REF!</v>
      </c>
      <c r="G995" s="17">
        <v>10</v>
      </c>
      <c r="H995" s="17" t="s">
        <v>9</v>
      </c>
      <c r="I995" s="30" t="s">
        <v>23</v>
      </c>
      <c r="J995" s="22">
        <v>1</v>
      </c>
      <c r="K995" s="22">
        <v>0.55000000000000004</v>
      </c>
      <c r="L995" s="8">
        <f t="shared" si="1096"/>
        <v>0.44999999999999996</v>
      </c>
      <c r="M995" s="24">
        <f t="shared" si="1052"/>
        <v>2.1479713603818625E-2</v>
      </c>
      <c r="N995" s="14"/>
    </row>
    <row r="996" spans="1:14" x14ac:dyDescent="0.25">
      <c r="A996" s="20">
        <v>44544</v>
      </c>
      <c r="B996" s="1">
        <f t="shared" ref="B996" si="1111">B986</f>
        <v>83</v>
      </c>
      <c r="C996" s="1" t="s">
        <v>375</v>
      </c>
      <c r="D996" s="1" t="s">
        <v>22</v>
      </c>
      <c r="E996" s="26" t="e">
        <f t="shared" ref="E996:F996" si="1112">+E995</f>
        <v>#REF!</v>
      </c>
      <c r="F996" s="26" t="e">
        <f t="shared" si="1112"/>
        <v>#REF!</v>
      </c>
      <c r="G996" s="17">
        <v>11</v>
      </c>
      <c r="H996" s="17" t="s">
        <v>9</v>
      </c>
      <c r="I996" s="30" t="s">
        <v>60</v>
      </c>
      <c r="J996" s="22"/>
      <c r="K996" s="22"/>
      <c r="L996" s="8">
        <f t="shared" si="1096"/>
        <v>0</v>
      </c>
      <c r="M996" s="24">
        <f t="shared" si="1052"/>
        <v>0</v>
      </c>
      <c r="N996" s="14"/>
    </row>
    <row r="997" spans="1:14" ht="15.75" thickBot="1" x14ac:dyDescent="0.3">
      <c r="A997" s="20">
        <v>44544</v>
      </c>
      <c r="B997" s="57">
        <f t="shared" ref="B997" si="1113">B986</f>
        <v>83</v>
      </c>
      <c r="C997" s="1" t="s">
        <v>375</v>
      </c>
      <c r="D997" s="1" t="s">
        <v>22</v>
      </c>
      <c r="E997" s="26" t="e">
        <f t="shared" ref="E997:F997" si="1114">+E996</f>
        <v>#REF!</v>
      </c>
      <c r="F997" s="26" t="e">
        <f t="shared" si="1114"/>
        <v>#REF!</v>
      </c>
      <c r="G997" s="18">
        <f>+G996+1</f>
        <v>12</v>
      </c>
      <c r="H997" s="18" t="s">
        <v>10</v>
      </c>
      <c r="I997" s="46" t="s">
        <v>10</v>
      </c>
      <c r="J997" s="22">
        <v>0.7</v>
      </c>
      <c r="K997" s="63">
        <v>0.55000000000000004</v>
      </c>
      <c r="L997" s="8">
        <f t="shared" si="1096"/>
        <v>0.14999999999999991</v>
      </c>
      <c r="M997" s="24">
        <f t="shared" si="1052"/>
        <v>7.1599045346062047E-3</v>
      </c>
      <c r="N997" s="14"/>
    </row>
    <row r="998" spans="1:14" x14ac:dyDescent="0.25">
      <c r="A998" s="19">
        <v>44544</v>
      </c>
      <c r="B998" s="15">
        <f t="shared" ref="B998" si="1115">B986+1</f>
        <v>84</v>
      </c>
      <c r="C998" s="15" t="s">
        <v>376</v>
      </c>
      <c r="D998" s="15" t="s">
        <v>22</v>
      </c>
      <c r="E998" s="25">
        <f>23.2-1.2</f>
        <v>22</v>
      </c>
      <c r="F998" s="25">
        <f>+SUM(L998:L1009)</f>
        <v>21.899999999999988</v>
      </c>
      <c r="G998" s="16">
        <v>1</v>
      </c>
      <c r="H998" s="16" t="s">
        <v>9</v>
      </c>
      <c r="I998" s="59" t="s">
        <v>56</v>
      </c>
      <c r="J998" s="21"/>
      <c r="K998" s="21"/>
      <c r="L998" s="12">
        <f>+J998-K998</f>
        <v>0</v>
      </c>
      <c r="M998" s="23">
        <f t="shared" si="1052"/>
        <v>0</v>
      </c>
      <c r="N998" s="13"/>
    </row>
    <row r="999" spans="1:14" x14ac:dyDescent="0.25">
      <c r="A999" s="20">
        <v>44544</v>
      </c>
      <c r="B999" s="1">
        <f t="shared" ref="B999" si="1116">B998</f>
        <v>84</v>
      </c>
      <c r="C999" s="1" t="s">
        <v>376</v>
      </c>
      <c r="D999" s="1" t="s">
        <v>22</v>
      </c>
      <c r="E999" s="26">
        <f>+E998</f>
        <v>22</v>
      </c>
      <c r="F999" s="28">
        <f>+(F998-E998)/E998</f>
        <v>-4.5454545454550943E-3</v>
      </c>
      <c r="G999" s="17">
        <v>2</v>
      </c>
      <c r="H999" s="17" t="s">
        <v>9</v>
      </c>
      <c r="I999" s="30" t="s">
        <v>57</v>
      </c>
      <c r="J999" s="22">
        <v>0.6</v>
      </c>
      <c r="K999" s="22">
        <v>0.55000000000000004</v>
      </c>
      <c r="L999" s="8">
        <f t="shared" ref="L999:L1009" si="1117">+J999-K999</f>
        <v>4.9999999999999933E-2</v>
      </c>
      <c r="M999" s="24">
        <f t="shared" si="1052"/>
        <v>2.2831050228310484E-3</v>
      </c>
      <c r="N999" s="14"/>
    </row>
    <row r="1000" spans="1:14" x14ac:dyDescent="0.25">
      <c r="A1000" s="20">
        <v>44544</v>
      </c>
      <c r="B1000" s="1">
        <f t="shared" ref="B1000" si="1118">B998</f>
        <v>84</v>
      </c>
      <c r="C1000" s="1" t="s">
        <v>376</v>
      </c>
      <c r="D1000" s="1" t="s">
        <v>22</v>
      </c>
      <c r="E1000" s="26" t="e">
        <f>+#REF!</f>
        <v>#REF!</v>
      </c>
      <c r="F1000" s="26" t="e">
        <f>+#REF!</f>
        <v>#REF!</v>
      </c>
      <c r="G1000" s="17">
        <v>3</v>
      </c>
      <c r="H1000" s="17" t="s">
        <v>9</v>
      </c>
      <c r="I1000" s="30" t="s">
        <v>58</v>
      </c>
      <c r="J1000" s="22">
        <v>0.6</v>
      </c>
      <c r="K1000" s="22">
        <v>0.55000000000000004</v>
      </c>
      <c r="L1000" s="8">
        <f t="shared" si="1117"/>
        <v>4.9999999999999933E-2</v>
      </c>
      <c r="M1000" s="24">
        <f t="shared" si="1052"/>
        <v>2.2831050228310484E-3</v>
      </c>
      <c r="N1000" s="14"/>
    </row>
    <row r="1001" spans="1:14" x14ac:dyDescent="0.25">
      <c r="A1001" s="20">
        <v>44544</v>
      </c>
      <c r="B1001" s="1">
        <f t="shared" ref="B1001" si="1119">B998</f>
        <v>84</v>
      </c>
      <c r="C1001" s="1" t="s">
        <v>376</v>
      </c>
      <c r="D1001" s="1" t="s">
        <v>22</v>
      </c>
      <c r="E1001" s="26" t="e">
        <f t="shared" ref="E1001:F1001" si="1120">+E1000</f>
        <v>#REF!</v>
      </c>
      <c r="F1001" s="26" t="e">
        <f t="shared" si="1120"/>
        <v>#REF!</v>
      </c>
      <c r="G1001" s="17">
        <v>4</v>
      </c>
      <c r="H1001" s="17" t="s">
        <v>9</v>
      </c>
      <c r="I1001" s="30" t="s">
        <v>22</v>
      </c>
      <c r="J1001" s="22">
        <f>11.7+14.6+14.3+14</f>
        <v>54.599999999999994</v>
      </c>
      <c r="K1001" s="22">
        <f>8.3+8.3+8.5+8.55</f>
        <v>33.650000000000006</v>
      </c>
      <c r="L1001" s="8">
        <f t="shared" si="1117"/>
        <v>20.949999999999989</v>
      </c>
      <c r="M1001" s="24">
        <f t="shared" si="1052"/>
        <v>0.95662100456621002</v>
      </c>
      <c r="N1001" s="14"/>
    </row>
    <row r="1002" spans="1:14" x14ac:dyDescent="0.25">
      <c r="A1002" s="20">
        <v>44544</v>
      </c>
      <c r="B1002" s="1">
        <f t="shared" ref="B1002" si="1121">B998</f>
        <v>84</v>
      </c>
      <c r="C1002" s="1" t="s">
        <v>376</v>
      </c>
      <c r="D1002" s="1" t="s">
        <v>22</v>
      </c>
      <c r="E1002" s="26" t="e">
        <f t="shared" ref="E1002:F1002" si="1122">+E1001</f>
        <v>#REF!</v>
      </c>
      <c r="F1002" s="26" t="e">
        <f t="shared" si="1122"/>
        <v>#REF!</v>
      </c>
      <c r="G1002" s="17">
        <v>5</v>
      </c>
      <c r="H1002" s="17" t="s">
        <v>9</v>
      </c>
      <c r="I1002" s="30" t="s">
        <v>34</v>
      </c>
      <c r="J1002" s="22"/>
      <c r="K1002" s="22"/>
      <c r="L1002" s="8">
        <f t="shared" si="1117"/>
        <v>0</v>
      </c>
      <c r="M1002" s="24">
        <f t="shared" si="1052"/>
        <v>0</v>
      </c>
      <c r="N1002" s="14"/>
    </row>
    <row r="1003" spans="1:14" x14ac:dyDescent="0.25">
      <c r="A1003" s="20">
        <v>44544</v>
      </c>
      <c r="B1003" s="1">
        <f t="shared" ref="B1003" si="1123">B998</f>
        <v>84</v>
      </c>
      <c r="C1003" s="1" t="s">
        <v>376</v>
      </c>
      <c r="D1003" s="1" t="s">
        <v>22</v>
      </c>
      <c r="E1003" s="26" t="e">
        <f t="shared" ref="E1003:F1003" si="1124">+E1002</f>
        <v>#REF!</v>
      </c>
      <c r="F1003" s="26" t="e">
        <f t="shared" si="1124"/>
        <v>#REF!</v>
      </c>
      <c r="G1003" s="17">
        <v>6</v>
      </c>
      <c r="H1003" s="17" t="s">
        <v>9</v>
      </c>
      <c r="I1003" s="30" t="s">
        <v>35</v>
      </c>
      <c r="J1003" s="22"/>
      <c r="K1003" s="22"/>
      <c r="L1003" s="8">
        <f t="shared" si="1117"/>
        <v>0</v>
      </c>
      <c r="M1003" s="24">
        <f t="shared" si="1052"/>
        <v>0</v>
      </c>
      <c r="N1003" s="14"/>
    </row>
    <row r="1004" spans="1:14" x14ac:dyDescent="0.25">
      <c r="A1004" s="20">
        <v>44544</v>
      </c>
      <c r="B1004" s="1">
        <f t="shared" ref="B1004" si="1125">B998</f>
        <v>84</v>
      </c>
      <c r="C1004" s="1" t="s">
        <v>376</v>
      </c>
      <c r="D1004" s="1" t="s">
        <v>22</v>
      </c>
      <c r="E1004" s="26" t="e">
        <f t="shared" ref="E1004:F1004" si="1126">+E1003</f>
        <v>#REF!</v>
      </c>
      <c r="F1004" s="26" t="e">
        <f t="shared" si="1126"/>
        <v>#REF!</v>
      </c>
      <c r="G1004" s="17">
        <v>7</v>
      </c>
      <c r="H1004" s="17" t="s">
        <v>9</v>
      </c>
      <c r="I1004" s="30" t="s">
        <v>36</v>
      </c>
      <c r="J1004" s="22"/>
      <c r="K1004" s="22"/>
      <c r="L1004" s="8">
        <f t="shared" si="1117"/>
        <v>0</v>
      </c>
      <c r="M1004" s="24">
        <f t="shared" si="1052"/>
        <v>0</v>
      </c>
      <c r="N1004" s="14"/>
    </row>
    <row r="1005" spans="1:14" x14ac:dyDescent="0.25">
      <c r="A1005" s="20">
        <v>44544</v>
      </c>
      <c r="B1005" s="1">
        <f t="shared" ref="B1005" si="1127">B998</f>
        <v>84</v>
      </c>
      <c r="C1005" s="1" t="s">
        <v>376</v>
      </c>
      <c r="D1005" s="1" t="s">
        <v>22</v>
      </c>
      <c r="E1005" s="26" t="e">
        <f>+E1004</f>
        <v>#REF!</v>
      </c>
      <c r="F1005" s="26" t="e">
        <f>+F1004</f>
        <v>#REF!</v>
      </c>
      <c r="G1005" s="17">
        <v>8</v>
      </c>
      <c r="H1005" s="17" t="s">
        <v>9</v>
      </c>
      <c r="I1005" s="30" t="s">
        <v>59</v>
      </c>
      <c r="J1005" s="22">
        <v>0.7</v>
      </c>
      <c r="K1005" s="22">
        <v>0.55000000000000004</v>
      </c>
      <c r="L1005" s="8">
        <f t="shared" si="1117"/>
        <v>0.14999999999999991</v>
      </c>
      <c r="M1005" s="24">
        <f t="shared" si="1052"/>
        <v>6.8493150684931503E-3</v>
      </c>
      <c r="N1005" s="14"/>
    </row>
    <row r="1006" spans="1:14" x14ac:dyDescent="0.25">
      <c r="A1006" s="20">
        <v>44544</v>
      </c>
      <c r="B1006" s="1">
        <f t="shared" ref="B1006" si="1128">B998</f>
        <v>84</v>
      </c>
      <c r="C1006" s="1" t="s">
        <v>376</v>
      </c>
      <c r="D1006" s="1" t="s">
        <v>22</v>
      </c>
      <c r="E1006" s="26" t="e">
        <f t="shared" ref="E1006:F1006" si="1129">+E1005</f>
        <v>#REF!</v>
      </c>
      <c r="F1006" s="26" t="e">
        <f t="shared" si="1129"/>
        <v>#REF!</v>
      </c>
      <c r="G1006" s="17">
        <v>9</v>
      </c>
      <c r="H1006" s="17" t="s">
        <v>9</v>
      </c>
      <c r="I1006" s="30" t="s">
        <v>38</v>
      </c>
      <c r="J1006" s="22"/>
      <c r="K1006" s="22"/>
      <c r="L1006" s="8">
        <f t="shared" si="1117"/>
        <v>0</v>
      </c>
      <c r="M1006" s="24">
        <f t="shared" si="1052"/>
        <v>0</v>
      </c>
      <c r="N1006" s="14"/>
    </row>
    <row r="1007" spans="1:14" x14ac:dyDescent="0.25">
      <c r="A1007" s="20">
        <v>44544</v>
      </c>
      <c r="B1007" s="1">
        <f t="shared" ref="B1007" si="1130">B998</f>
        <v>84</v>
      </c>
      <c r="C1007" s="1" t="s">
        <v>376</v>
      </c>
      <c r="D1007" s="1" t="s">
        <v>22</v>
      </c>
      <c r="E1007" s="26" t="e">
        <f t="shared" ref="E1007:F1007" si="1131">+E1006</f>
        <v>#REF!</v>
      </c>
      <c r="F1007" s="26" t="e">
        <f t="shared" si="1131"/>
        <v>#REF!</v>
      </c>
      <c r="G1007" s="17">
        <v>10</v>
      </c>
      <c r="H1007" s="17" t="s">
        <v>9</v>
      </c>
      <c r="I1007" s="30" t="s">
        <v>23</v>
      </c>
      <c r="J1007" s="22">
        <v>1.1000000000000001</v>
      </c>
      <c r="K1007" s="22">
        <v>0.55000000000000004</v>
      </c>
      <c r="L1007" s="8">
        <f t="shared" si="1117"/>
        <v>0.55000000000000004</v>
      </c>
      <c r="M1007" s="24">
        <f t="shared" si="1052"/>
        <v>2.5114155251141568E-2</v>
      </c>
      <c r="N1007" s="14"/>
    </row>
    <row r="1008" spans="1:14" x14ac:dyDescent="0.25">
      <c r="A1008" s="20">
        <v>44544</v>
      </c>
      <c r="B1008" s="1">
        <f t="shared" ref="B1008" si="1132">B998</f>
        <v>84</v>
      </c>
      <c r="C1008" s="1" t="s">
        <v>376</v>
      </c>
      <c r="D1008" s="1" t="s">
        <v>22</v>
      </c>
      <c r="E1008" s="26" t="e">
        <f t="shared" ref="E1008:F1008" si="1133">+E1007</f>
        <v>#REF!</v>
      </c>
      <c r="F1008" s="26" t="e">
        <f t="shared" si="1133"/>
        <v>#REF!</v>
      </c>
      <c r="G1008" s="17">
        <v>11</v>
      </c>
      <c r="H1008" s="17" t="s">
        <v>9</v>
      </c>
      <c r="I1008" s="30" t="s">
        <v>60</v>
      </c>
      <c r="J1008" s="22"/>
      <c r="K1008" s="22"/>
      <c r="L1008" s="8">
        <f t="shared" si="1117"/>
        <v>0</v>
      </c>
      <c r="M1008" s="24">
        <f t="shared" si="1052"/>
        <v>0</v>
      </c>
      <c r="N1008" s="14"/>
    </row>
    <row r="1009" spans="1:14" ht="15.75" thickBot="1" x14ac:dyDescent="0.3">
      <c r="A1009" s="20">
        <v>44544</v>
      </c>
      <c r="B1009" s="57">
        <f t="shared" ref="B1009" si="1134">B998</f>
        <v>84</v>
      </c>
      <c r="C1009" s="1" t="s">
        <v>376</v>
      </c>
      <c r="D1009" s="1" t="s">
        <v>22</v>
      </c>
      <c r="E1009" s="26" t="e">
        <f t="shared" ref="E1009:F1009" si="1135">+E1008</f>
        <v>#REF!</v>
      </c>
      <c r="F1009" s="26" t="e">
        <f t="shared" si="1135"/>
        <v>#REF!</v>
      </c>
      <c r="G1009" s="18">
        <f>+G1008+1</f>
        <v>12</v>
      </c>
      <c r="H1009" s="18" t="s">
        <v>10</v>
      </c>
      <c r="I1009" s="46" t="s">
        <v>10</v>
      </c>
      <c r="J1009" s="22">
        <v>0.7</v>
      </c>
      <c r="K1009" s="63">
        <v>0.55000000000000004</v>
      </c>
      <c r="L1009" s="8">
        <f t="shared" si="1117"/>
        <v>0.14999999999999991</v>
      </c>
      <c r="M1009" s="24">
        <f t="shared" si="1052"/>
        <v>6.8493150684931503E-3</v>
      </c>
      <c r="N1009" s="14"/>
    </row>
    <row r="1010" spans="1:14" x14ac:dyDescent="0.25">
      <c r="A1010" s="19">
        <v>44544</v>
      </c>
      <c r="B1010" s="15">
        <f t="shared" ref="B1010" si="1136">B998+1</f>
        <v>85</v>
      </c>
      <c r="C1010" s="15" t="s">
        <v>377</v>
      </c>
      <c r="D1010" s="15" t="s">
        <v>22</v>
      </c>
      <c r="E1010" s="25">
        <f>20+29.6-1.2-1.2</f>
        <v>47.199999999999996</v>
      </c>
      <c r="F1010" s="25">
        <f>+SUM(L1010:L1021)</f>
        <v>47.149999999999991</v>
      </c>
      <c r="G1010" s="16">
        <v>1</v>
      </c>
      <c r="H1010" s="16" t="s">
        <v>9</v>
      </c>
      <c r="I1010" s="59" t="s">
        <v>56</v>
      </c>
      <c r="J1010" s="21"/>
      <c r="K1010" s="21"/>
      <c r="L1010" s="12">
        <f>+J1010-K1010</f>
        <v>0</v>
      </c>
      <c r="M1010" s="23">
        <f t="shared" si="1052"/>
        <v>0</v>
      </c>
      <c r="N1010" s="13"/>
    </row>
    <row r="1011" spans="1:14" x14ac:dyDescent="0.25">
      <c r="A1011" s="20">
        <v>44544</v>
      </c>
      <c r="B1011" s="1">
        <f t="shared" ref="B1011" si="1137">B1010</f>
        <v>85</v>
      </c>
      <c r="C1011" s="1" t="s">
        <v>377</v>
      </c>
      <c r="D1011" s="1" t="s">
        <v>22</v>
      </c>
      <c r="E1011" s="26">
        <f>+E1010</f>
        <v>47.199999999999996</v>
      </c>
      <c r="F1011" s="28">
        <f>+(F1010-E1010)/E1010</f>
        <v>-1.0593220338983955E-3</v>
      </c>
      <c r="G1011" s="17">
        <v>2</v>
      </c>
      <c r="H1011" s="17" t="s">
        <v>9</v>
      </c>
      <c r="I1011" s="30" t="s">
        <v>57</v>
      </c>
      <c r="J1011" s="22">
        <v>0.65</v>
      </c>
      <c r="K1011" s="22">
        <v>0.55000000000000004</v>
      </c>
      <c r="L1011" s="8">
        <f t="shared" ref="L1011:L1021" si="1138">+J1011-K1011</f>
        <v>9.9999999999999978E-2</v>
      </c>
      <c r="M1011" s="24">
        <f t="shared" si="1052"/>
        <v>2.1208907741251323E-3</v>
      </c>
      <c r="N1011" s="14"/>
    </row>
    <row r="1012" spans="1:14" x14ac:dyDescent="0.25">
      <c r="A1012" s="20">
        <v>44544</v>
      </c>
      <c r="B1012" s="1">
        <f t="shared" ref="B1012" si="1139">B1010</f>
        <v>85</v>
      </c>
      <c r="C1012" s="1" t="s">
        <v>377</v>
      </c>
      <c r="D1012" s="1" t="s">
        <v>22</v>
      </c>
      <c r="E1012" s="26" t="e">
        <f>+#REF!</f>
        <v>#REF!</v>
      </c>
      <c r="F1012" s="26" t="e">
        <f>+#REF!</f>
        <v>#REF!</v>
      </c>
      <c r="G1012" s="17">
        <v>3</v>
      </c>
      <c r="H1012" s="17" t="s">
        <v>9</v>
      </c>
      <c r="I1012" s="30" t="s">
        <v>58</v>
      </c>
      <c r="J1012" s="22">
        <v>0.75</v>
      </c>
      <c r="K1012" s="22">
        <v>0.55000000000000004</v>
      </c>
      <c r="L1012" s="8">
        <f t="shared" si="1138"/>
        <v>0.19999999999999996</v>
      </c>
      <c r="M1012" s="24">
        <f t="shared" si="1052"/>
        <v>4.2417815482502647E-3</v>
      </c>
      <c r="N1012" s="14"/>
    </row>
    <row r="1013" spans="1:14" x14ac:dyDescent="0.25">
      <c r="A1013" s="20">
        <v>44544</v>
      </c>
      <c r="B1013" s="1">
        <f t="shared" ref="B1013" si="1140">B1010</f>
        <v>85</v>
      </c>
      <c r="C1013" s="1" t="s">
        <v>377</v>
      </c>
      <c r="D1013" s="1" t="s">
        <v>22</v>
      </c>
      <c r="E1013" s="26" t="e">
        <f t="shared" ref="E1013:F1013" si="1141">+E1012</f>
        <v>#REF!</v>
      </c>
      <c r="F1013" s="26" t="e">
        <f t="shared" si="1141"/>
        <v>#REF!</v>
      </c>
      <c r="G1013" s="17">
        <v>4</v>
      </c>
      <c r="H1013" s="17" t="s">
        <v>9</v>
      </c>
      <c r="I1013" s="30" t="s">
        <v>22</v>
      </c>
      <c r="J1013" s="22">
        <f>12.15+20.6+19.1+16.65+9.7+17.8</f>
        <v>96</v>
      </c>
      <c r="K1013" s="22">
        <f>8.3+8.3+8.5+8.3+8.55+8.5</f>
        <v>50.45</v>
      </c>
      <c r="L1013" s="8">
        <f t="shared" si="1138"/>
        <v>45.55</v>
      </c>
      <c r="M1013" s="24">
        <f t="shared" si="1052"/>
        <v>0.96606574761399799</v>
      </c>
      <c r="N1013" s="14"/>
    </row>
    <row r="1014" spans="1:14" x14ac:dyDescent="0.25">
      <c r="A1014" s="20">
        <v>44544</v>
      </c>
      <c r="B1014" s="1">
        <f t="shared" ref="B1014" si="1142">B1010</f>
        <v>85</v>
      </c>
      <c r="C1014" s="1" t="s">
        <v>377</v>
      </c>
      <c r="D1014" s="1" t="s">
        <v>22</v>
      </c>
      <c r="E1014" s="26" t="e">
        <f t="shared" ref="E1014:F1014" si="1143">+E1013</f>
        <v>#REF!</v>
      </c>
      <c r="F1014" s="26" t="e">
        <f t="shared" si="1143"/>
        <v>#REF!</v>
      </c>
      <c r="G1014" s="17">
        <v>5</v>
      </c>
      <c r="H1014" s="17" t="s">
        <v>9</v>
      </c>
      <c r="I1014" s="30" t="s">
        <v>34</v>
      </c>
      <c r="J1014" s="22">
        <v>0.05</v>
      </c>
      <c r="K1014" s="22">
        <v>0</v>
      </c>
      <c r="L1014" s="8">
        <f t="shared" si="1138"/>
        <v>0.05</v>
      </c>
      <c r="M1014" s="24">
        <f t="shared" si="1052"/>
        <v>1.0604453870625666E-3</v>
      </c>
      <c r="N1014" s="14"/>
    </row>
    <row r="1015" spans="1:14" x14ac:dyDescent="0.25">
      <c r="A1015" s="20">
        <v>44544</v>
      </c>
      <c r="B1015" s="1">
        <f t="shared" ref="B1015" si="1144">B1010</f>
        <v>85</v>
      </c>
      <c r="C1015" s="1" t="s">
        <v>377</v>
      </c>
      <c r="D1015" s="1" t="s">
        <v>22</v>
      </c>
      <c r="E1015" s="26" t="e">
        <f t="shared" ref="E1015:F1015" si="1145">+E1014</f>
        <v>#REF!</v>
      </c>
      <c r="F1015" s="26" t="e">
        <f t="shared" si="1145"/>
        <v>#REF!</v>
      </c>
      <c r="G1015" s="17">
        <v>6</v>
      </c>
      <c r="H1015" s="17" t="s">
        <v>9</v>
      </c>
      <c r="I1015" s="30" t="s">
        <v>35</v>
      </c>
      <c r="J1015" s="22"/>
      <c r="K1015" s="22"/>
      <c r="L1015" s="8">
        <f t="shared" si="1138"/>
        <v>0</v>
      </c>
      <c r="M1015" s="24">
        <f t="shared" si="1052"/>
        <v>0</v>
      </c>
      <c r="N1015" s="14"/>
    </row>
    <row r="1016" spans="1:14" x14ac:dyDescent="0.25">
      <c r="A1016" s="20">
        <v>44544</v>
      </c>
      <c r="B1016" s="1">
        <f t="shared" ref="B1016" si="1146">B1010</f>
        <v>85</v>
      </c>
      <c r="C1016" s="1" t="s">
        <v>377</v>
      </c>
      <c r="D1016" s="1" t="s">
        <v>22</v>
      </c>
      <c r="E1016" s="26" t="e">
        <f t="shared" ref="E1016:F1016" si="1147">+E1015</f>
        <v>#REF!</v>
      </c>
      <c r="F1016" s="26" t="e">
        <f t="shared" si="1147"/>
        <v>#REF!</v>
      </c>
      <c r="G1016" s="17">
        <v>7</v>
      </c>
      <c r="H1016" s="17" t="s">
        <v>9</v>
      </c>
      <c r="I1016" s="30" t="s">
        <v>36</v>
      </c>
      <c r="J1016" s="22"/>
      <c r="K1016" s="22"/>
      <c r="L1016" s="8">
        <f t="shared" si="1138"/>
        <v>0</v>
      </c>
      <c r="M1016" s="24">
        <f t="shared" si="1052"/>
        <v>0</v>
      </c>
      <c r="N1016" s="14"/>
    </row>
    <row r="1017" spans="1:14" x14ac:dyDescent="0.25">
      <c r="A1017" s="20">
        <v>44544</v>
      </c>
      <c r="B1017" s="1">
        <f t="shared" ref="B1017" si="1148">B1010</f>
        <v>85</v>
      </c>
      <c r="C1017" s="1" t="s">
        <v>377</v>
      </c>
      <c r="D1017" s="1" t="s">
        <v>22</v>
      </c>
      <c r="E1017" s="26" t="e">
        <f>+E1016</f>
        <v>#REF!</v>
      </c>
      <c r="F1017" s="26" t="e">
        <f>+F1016</f>
        <v>#REF!</v>
      </c>
      <c r="G1017" s="17">
        <v>8</v>
      </c>
      <c r="H1017" s="17" t="s">
        <v>9</v>
      </c>
      <c r="I1017" s="30" t="s">
        <v>59</v>
      </c>
      <c r="J1017" s="22"/>
      <c r="K1017" s="22"/>
      <c r="L1017" s="8">
        <f t="shared" si="1138"/>
        <v>0</v>
      </c>
      <c r="M1017" s="24">
        <f t="shared" si="1052"/>
        <v>0</v>
      </c>
      <c r="N1017" s="14"/>
    </row>
    <row r="1018" spans="1:14" x14ac:dyDescent="0.25">
      <c r="A1018" s="20">
        <v>44544</v>
      </c>
      <c r="B1018" s="1">
        <f t="shared" ref="B1018" si="1149">B1010</f>
        <v>85</v>
      </c>
      <c r="C1018" s="1" t="s">
        <v>377</v>
      </c>
      <c r="D1018" s="1" t="s">
        <v>22</v>
      </c>
      <c r="E1018" s="26" t="e">
        <f t="shared" ref="E1018:F1018" si="1150">+E1017</f>
        <v>#REF!</v>
      </c>
      <c r="F1018" s="26" t="e">
        <f t="shared" si="1150"/>
        <v>#REF!</v>
      </c>
      <c r="G1018" s="17">
        <v>9</v>
      </c>
      <c r="H1018" s="17" t="s">
        <v>9</v>
      </c>
      <c r="I1018" s="30" t="s">
        <v>38</v>
      </c>
      <c r="J1018" s="22"/>
      <c r="K1018" s="22"/>
      <c r="L1018" s="8">
        <f t="shared" si="1138"/>
        <v>0</v>
      </c>
      <c r="M1018" s="24">
        <f t="shared" si="1052"/>
        <v>0</v>
      </c>
      <c r="N1018" s="14"/>
    </row>
    <row r="1019" spans="1:14" x14ac:dyDescent="0.25">
      <c r="A1019" s="20">
        <v>44544</v>
      </c>
      <c r="B1019" s="1">
        <f t="shared" ref="B1019" si="1151">B1010</f>
        <v>85</v>
      </c>
      <c r="C1019" s="1" t="s">
        <v>377</v>
      </c>
      <c r="D1019" s="1" t="s">
        <v>22</v>
      </c>
      <c r="E1019" s="26" t="e">
        <f t="shared" ref="E1019:F1019" si="1152">+E1018</f>
        <v>#REF!</v>
      </c>
      <c r="F1019" s="26" t="e">
        <f t="shared" si="1152"/>
        <v>#REF!</v>
      </c>
      <c r="G1019" s="17">
        <v>10</v>
      </c>
      <c r="H1019" s="17" t="s">
        <v>9</v>
      </c>
      <c r="I1019" s="30" t="s">
        <v>23</v>
      </c>
      <c r="J1019" s="22">
        <v>1.45</v>
      </c>
      <c r="K1019" s="22">
        <v>0.55000000000000004</v>
      </c>
      <c r="L1019" s="8">
        <f t="shared" si="1138"/>
        <v>0.89999999999999991</v>
      </c>
      <c r="M1019" s="24">
        <f t="shared" si="1052"/>
        <v>1.9088016967126194E-2</v>
      </c>
      <c r="N1019" s="14"/>
    </row>
    <row r="1020" spans="1:14" x14ac:dyDescent="0.25">
      <c r="A1020" s="20">
        <v>44544</v>
      </c>
      <c r="B1020" s="1">
        <f t="shared" ref="B1020" si="1153">B1010</f>
        <v>85</v>
      </c>
      <c r="C1020" s="1" t="s">
        <v>377</v>
      </c>
      <c r="D1020" s="1" t="s">
        <v>22</v>
      </c>
      <c r="E1020" s="26" t="e">
        <f t="shared" ref="E1020:F1020" si="1154">+E1019</f>
        <v>#REF!</v>
      </c>
      <c r="F1020" s="26" t="e">
        <f t="shared" si="1154"/>
        <v>#REF!</v>
      </c>
      <c r="G1020" s="17">
        <v>11</v>
      </c>
      <c r="H1020" s="17" t="s">
        <v>9</v>
      </c>
      <c r="I1020" s="30" t="s">
        <v>60</v>
      </c>
      <c r="J1020" s="22"/>
      <c r="K1020" s="22"/>
      <c r="L1020" s="8">
        <f t="shared" si="1138"/>
        <v>0</v>
      </c>
      <c r="M1020" s="24">
        <f t="shared" si="1052"/>
        <v>0</v>
      </c>
      <c r="N1020" s="14"/>
    </row>
    <row r="1021" spans="1:14" ht="15.75" thickBot="1" x14ac:dyDescent="0.3">
      <c r="A1021" s="20">
        <v>44544</v>
      </c>
      <c r="B1021" s="57">
        <f t="shared" ref="B1021" si="1155">B1010</f>
        <v>85</v>
      </c>
      <c r="C1021" s="1" t="s">
        <v>377</v>
      </c>
      <c r="D1021" s="1" t="s">
        <v>22</v>
      </c>
      <c r="E1021" s="26" t="e">
        <f t="shared" ref="E1021:F1021" si="1156">+E1020</f>
        <v>#REF!</v>
      </c>
      <c r="F1021" s="26" t="e">
        <f t="shared" si="1156"/>
        <v>#REF!</v>
      </c>
      <c r="G1021" s="18">
        <f>+G1020+1</f>
        <v>12</v>
      </c>
      <c r="H1021" s="18" t="s">
        <v>10</v>
      </c>
      <c r="I1021" s="46" t="s">
        <v>10</v>
      </c>
      <c r="J1021" s="22">
        <v>0.9</v>
      </c>
      <c r="K1021" s="63">
        <v>0.55000000000000004</v>
      </c>
      <c r="L1021" s="8">
        <f t="shared" si="1138"/>
        <v>0.35</v>
      </c>
      <c r="M1021" s="24">
        <f t="shared" si="1052"/>
        <v>7.4231177094379649E-3</v>
      </c>
      <c r="N1021" s="14"/>
    </row>
    <row r="1022" spans="1:14" x14ac:dyDescent="0.25">
      <c r="A1022" s="19">
        <v>44544</v>
      </c>
      <c r="B1022" s="15">
        <f t="shared" ref="B1022" si="1157">B1010+1</f>
        <v>86</v>
      </c>
      <c r="C1022" s="15" t="s">
        <v>378</v>
      </c>
      <c r="D1022" s="15" t="s">
        <v>183</v>
      </c>
      <c r="E1022" s="25">
        <f>11.2+6.4-1.2-1.2</f>
        <v>15.200000000000003</v>
      </c>
      <c r="F1022" s="25">
        <f>+SUM(L1022:L1033)</f>
        <v>14.79999999999999</v>
      </c>
      <c r="G1022" s="16">
        <v>1</v>
      </c>
      <c r="H1022" s="16" t="s">
        <v>9</v>
      </c>
      <c r="I1022" s="59" t="s">
        <v>56</v>
      </c>
      <c r="J1022" s="21">
        <v>0.6</v>
      </c>
      <c r="K1022" s="21">
        <v>0.55000000000000004</v>
      </c>
      <c r="L1022" s="12">
        <f>+J1022-K1022</f>
        <v>4.9999999999999933E-2</v>
      </c>
      <c r="M1022" s="23">
        <f t="shared" si="1052"/>
        <v>3.378378378378376E-3</v>
      </c>
      <c r="N1022" s="13"/>
    </row>
    <row r="1023" spans="1:14" x14ac:dyDescent="0.25">
      <c r="A1023" s="20">
        <v>44544</v>
      </c>
      <c r="B1023" s="1">
        <f t="shared" ref="B1023" si="1158">B1022</f>
        <v>86</v>
      </c>
      <c r="C1023" s="1" t="s">
        <v>378</v>
      </c>
      <c r="D1023" s="1" t="s">
        <v>183</v>
      </c>
      <c r="E1023" s="26">
        <f>+E1022</f>
        <v>15.200000000000003</v>
      </c>
      <c r="F1023" s="28">
        <f>+(F1022-E1022)/E1022</f>
        <v>-2.6315789473685049E-2</v>
      </c>
      <c r="G1023" s="17">
        <v>2</v>
      </c>
      <c r="H1023" s="17" t="s">
        <v>9</v>
      </c>
      <c r="I1023" s="30" t="s">
        <v>57</v>
      </c>
      <c r="J1023" s="22">
        <v>9.4</v>
      </c>
      <c r="K1023" s="22">
        <v>8.5500000000000007</v>
      </c>
      <c r="L1023" s="8">
        <f t="shared" ref="L1023:L1033" si="1159">+J1023-K1023</f>
        <v>0.84999999999999964</v>
      </c>
      <c r="M1023" s="24">
        <f t="shared" si="1052"/>
        <v>5.7432432432432449E-2</v>
      </c>
      <c r="N1023" s="14"/>
    </row>
    <row r="1024" spans="1:14" x14ac:dyDescent="0.25">
      <c r="A1024" s="20">
        <v>44544</v>
      </c>
      <c r="B1024" s="1">
        <f t="shared" ref="B1024" si="1160">B1022</f>
        <v>86</v>
      </c>
      <c r="C1024" s="1" t="s">
        <v>378</v>
      </c>
      <c r="D1024" s="1" t="s">
        <v>183</v>
      </c>
      <c r="E1024" s="26" t="e">
        <f>+#REF!</f>
        <v>#REF!</v>
      </c>
      <c r="F1024" s="26" t="e">
        <f>+#REF!</f>
        <v>#REF!</v>
      </c>
      <c r="G1024" s="17">
        <v>3</v>
      </c>
      <c r="H1024" s="17" t="s">
        <v>9</v>
      </c>
      <c r="I1024" s="30" t="s">
        <v>58</v>
      </c>
      <c r="J1024" s="22">
        <v>0.7</v>
      </c>
      <c r="K1024" s="22">
        <v>0.55000000000000004</v>
      </c>
      <c r="L1024" s="8">
        <f t="shared" si="1159"/>
        <v>0.14999999999999991</v>
      </c>
      <c r="M1024" s="24">
        <f t="shared" si="1052"/>
        <v>1.0135135135135136E-2</v>
      </c>
      <c r="N1024" s="14"/>
    </row>
    <row r="1025" spans="1:14" x14ac:dyDescent="0.25">
      <c r="A1025" s="20">
        <v>44544</v>
      </c>
      <c r="B1025" s="1">
        <f t="shared" ref="B1025" si="1161">B1022</f>
        <v>86</v>
      </c>
      <c r="C1025" s="1" t="s">
        <v>378</v>
      </c>
      <c r="D1025" s="1" t="s">
        <v>183</v>
      </c>
      <c r="E1025" s="26" t="e">
        <f t="shared" ref="E1025:F1025" si="1162">+E1024</f>
        <v>#REF!</v>
      </c>
      <c r="F1025" s="26" t="e">
        <f t="shared" si="1162"/>
        <v>#REF!</v>
      </c>
      <c r="G1025" s="17">
        <v>4</v>
      </c>
      <c r="H1025" s="17" t="s">
        <v>9</v>
      </c>
      <c r="I1025" s="30" t="s">
        <v>22</v>
      </c>
      <c r="J1025" s="22"/>
      <c r="K1025" s="22"/>
      <c r="L1025" s="8">
        <f t="shared" si="1159"/>
        <v>0</v>
      </c>
      <c r="M1025" s="24">
        <f t="shared" si="1052"/>
        <v>0</v>
      </c>
      <c r="N1025" s="14"/>
    </row>
    <row r="1026" spans="1:14" x14ac:dyDescent="0.25">
      <c r="A1026" s="20">
        <v>44544</v>
      </c>
      <c r="B1026" s="1">
        <f t="shared" ref="B1026" si="1163">B1022</f>
        <v>86</v>
      </c>
      <c r="C1026" s="1" t="s">
        <v>378</v>
      </c>
      <c r="D1026" s="1" t="s">
        <v>183</v>
      </c>
      <c r="E1026" s="26" t="e">
        <f t="shared" ref="E1026:F1026" si="1164">+E1025</f>
        <v>#REF!</v>
      </c>
      <c r="F1026" s="26" t="e">
        <f t="shared" si="1164"/>
        <v>#REF!</v>
      </c>
      <c r="G1026" s="17">
        <v>5</v>
      </c>
      <c r="H1026" s="17" t="s">
        <v>9</v>
      </c>
      <c r="I1026" s="30" t="s">
        <v>34</v>
      </c>
      <c r="J1026" s="22"/>
      <c r="K1026" s="22"/>
      <c r="L1026" s="8">
        <f t="shared" si="1159"/>
        <v>0</v>
      </c>
      <c r="M1026" s="24">
        <f t="shared" ref="M1026:M1037" si="1165">+L1026/SUMIF(C:C,C1026,L:L)</f>
        <v>0</v>
      </c>
      <c r="N1026" s="14"/>
    </row>
    <row r="1027" spans="1:14" x14ac:dyDescent="0.25">
      <c r="A1027" s="20">
        <v>44544</v>
      </c>
      <c r="B1027" s="1">
        <f t="shared" ref="B1027" si="1166">B1022</f>
        <v>86</v>
      </c>
      <c r="C1027" s="1" t="s">
        <v>378</v>
      </c>
      <c r="D1027" s="1" t="s">
        <v>183</v>
      </c>
      <c r="E1027" s="26" t="e">
        <f t="shared" ref="E1027:F1027" si="1167">+E1026</f>
        <v>#REF!</v>
      </c>
      <c r="F1027" s="26" t="e">
        <f t="shared" si="1167"/>
        <v>#REF!</v>
      </c>
      <c r="G1027" s="17">
        <v>6</v>
      </c>
      <c r="H1027" s="17" t="s">
        <v>9</v>
      </c>
      <c r="I1027" s="30" t="s">
        <v>35</v>
      </c>
      <c r="J1027" s="22">
        <v>0.55000000000000004</v>
      </c>
      <c r="K1027" s="22">
        <v>0.5</v>
      </c>
      <c r="L1027" s="8">
        <f t="shared" si="1159"/>
        <v>5.0000000000000044E-2</v>
      </c>
      <c r="M1027" s="24">
        <f t="shared" si="1165"/>
        <v>3.3783783783783838E-3</v>
      </c>
      <c r="N1027" s="14"/>
    </row>
    <row r="1028" spans="1:14" x14ac:dyDescent="0.25">
      <c r="A1028" s="20">
        <v>44544</v>
      </c>
      <c r="B1028" s="1">
        <f t="shared" ref="B1028" si="1168">B1022</f>
        <v>86</v>
      </c>
      <c r="C1028" s="1" t="s">
        <v>378</v>
      </c>
      <c r="D1028" s="1" t="s">
        <v>183</v>
      </c>
      <c r="E1028" s="26" t="e">
        <f t="shared" ref="E1028:F1028" si="1169">+E1027</f>
        <v>#REF!</v>
      </c>
      <c r="F1028" s="26" t="e">
        <f t="shared" si="1169"/>
        <v>#REF!</v>
      </c>
      <c r="G1028" s="17">
        <v>7</v>
      </c>
      <c r="H1028" s="17" t="s">
        <v>9</v>
      </c>
      <c r="I1028" s="30" t="s">
        <v>36</v>
      </c>
      <c r="J1028" s="22"/>
      <c r="K1028" s="22"/>
      <c r="L1028" s="8">
        <f t="shared" si="1159"/>
        <v>0</v>
      </c>
      <c r="M1028" s="24">
        <f t="shared" si="1165"/>
        <v>0</v>
      </c>
      <c r="N1028" s="14"/>
    </row>
    <row r="1029" spans="1:14" x14ac:dyDescent="0.25">
      <c r="A1029" s="20">
        <v>44544</v>
      </c>
      <c r="B1029" s="1">
        <f t="shared" ref="B1029" si="1170">B1022</f>
        <v>86</v>
      </c>
      <c r="C1029" s="1" t="s">
        <v>378</v>
      </c>
      <c r="D1029" s="1" t="s">
        <v>183</v>
      </c>
      <c r="E1029" s="26" t="e">
        <f>+E1028</f>
        <v>#REF!</v>
      </c>
      <c r="F1029" s="26" t="e">
        <f>+F1028</f>
        <v>#REF!</v>
      </c>
      <c r="G1029" s="17">
        <v>8</v>
      </c>
      <c r="H1029" s="17" t="s">
        <v>9</v>
      </c>
      <c r="I1029" s="30" t="s">
        <v>59</v>
      </c>
      <c r="J1029" s="22">
        <v>8.75</v>
      </c>
      <c r="K1029" s="22">
        <v>8.5500000000000007</v>
      </c>
      <c r="L1029" s="8">
        <f t="shared" si="1159"/>
        <v>0.19999999999999929</v>
      </c>
      <c r="M1029" s="24">
        <f t="shared" si="1165"/>
        <v>1.3513513513513474E-2</v>
      </c>
      <c r="N1029" s="14"/>
    </row>
    <row r="1030" spans="1:14" x14ac:dyDescent="0.25">
      <c r="A1030" s="20">
        <v>44544</v>
      </c>
      <c r="B1030" s="1">
        <f t="shared" ref="B1030" si="1171">B1022</f>
        <v>86</v>
      </c>
      <c r="C1030" s="1" t="s">
        <v>378</v>
      </c>
      <c r="D1030" s="1" t="s">
        <v>183</v>
      </c>
      <c r="E1030" s="26" t="e">
        <f t="shared" ref="E1030:F1030" si="1172">+E1029</f>
        <v>#REF!</v>
      </c>
      <c r="F1030" s="26" t="e">
        <f t="shared" si="1172"/>
        <v>#REF!</v>
      </c>
      <c r="G1030" s="17">
        <v>9</v>
      </c>
      <c r="H1030" s="17" t="s">
        <v>9</v>
      </c>
      <c r="I1030" s="30" t="s">
        <v>38</v>
      </c>
      <c r="J1030" s="22"/>
      <c r="K1030" s="22"/>
      <c r="L1030" s="8">
        <f t="shared" si="1159"/>
        <v>0</v>
      </c>
      <c r="M1030" s="24">
        <f t="shared" si="1165"/>
        <v>0</v>
      </c>
      <c r="N1030" s="14"/>
    </row>
    <row r="1031" spans="1:14" x14ac:dyDescent="0.25">
      <c r="A1031" s="20">
        <v>44544</v>
      </c>
      <c r="B1031" s="1">
        <f t="shared" ref="B1031" si="1173">B1022</f>
        <v>86</v>
      </c>
      <c r="C1031" s="1" t="s">
        <v>378</v>
      </c>
      <c r="D1031" s="1" t="s">
        <v>183</v>
      </c>
      <c r="E1031" s="26" t="e">
        <f t="shared" ref="E1031:F1031" si="1174">+E1030</f>
        <v>#REF!</v>
      </c>
      <c r="F1031" s="26" t="e">
        <f t="shared" si="1174"/>
        <v>#REF!</v>
      </c>
      <c r="G1031" s="17">
        <v>10</v>
      </c>
      <c r="H1031" s="17" t="s">
        <v>9</v>
      </c>
      <c r="I1031" s="30" t="s">
        <v>23</v>
      </c>
      <c r="J1031" s="22">
        <v>0.6</v>
      </c>
      <c r="K1031" s="22">
        <v>0.5</v>
      </c>
      <c r="L1031" s="8">
        <f t="shared" si="1159"/>
        <v>9.9999999999999978E-2</v>
      </c>
      <c r="M1031" s="24">
        <f t="shared" si="1165"/>
        <v>6.7567567567567597E-3</v>
      </c>
      <c r="N1031" s="14"/>
    </row>
    <row r="1032" spans="1:14" x14ac:dyDescent="0.25">
      <c r="A1032" s="20">
        <v>44544</v>
      </c>
      <c r="B1032" s="1">
        <f t="shared" ref="B1032" si="1175">B1022</f>
        <v>86</v>
      </c>
      <c r="C1032" s="1" t="s">
        <v>378</v>
      </c>
      <c r="D1032" s="1" t="s">
        <v>183</v>
      </c>
      <c r="E1032" s="26" t="e">
        <f t="shared" ref="E1032:F1032" si="1176">+E1031</f>
        <v>#REF!</v>
      </c>
      <c r="F1032" s="26" t="e">
        <f t="shared" si="1176"/>
        <v>#REF!</v>
      </c>
      <c r="G1032" s="17">
        <v>11</v>
      </c>
      <c r="H1032" s="17" t="s">
        <v>9</v>
      </c>
      <c r="I1032" s="30" t="s">
        <v>60</v>
      </c>
      <c r="J1032" s="22">
        <f>10.5+11.65+9.75+12.7</f>
        <v>44.599999999999994</v>
      </c>
      <c r="K1032" s="22">
        <f>8.3+8.55+8.3+8.3</f>
        <v>33.450000000000003</v>
      </c>
      <c r="L1032" s="8">
        <f t="shared" si="1159"/>
        <v>11.149999999999991</v>
      </c>
      <c r="M1032" s="24">
        <f t="shared" si="1165"/>
        <v>0.75337837837837829</v>
      </c>
      <c r="N1032" s="14"/>
    </row>
    <row r="1033" spans="1:14" ht="15.75" thickBot="1" x14ac:dyDescent="0.3">
      <c r="A1033" s="20">
        <v>44544</v>
      </c>
      <c r="B1033" s="57">
        <f t="shared" ref="B1033" si="1177">B1022</f>
        <v>86</v>
      </c>
      <c r="C1033" s="1" t="s">
        <v>378</v>
      </c>
      <c r="D1033" s="1" t="s">
        <v>183</v>
      </c>
      <c r="E1033" s="26" t="e">
        <f t="shared" ref="E1033:F1033" si="1178">+E1032</f>
        <v>#REF!</v>
      </c>
      <c r="F1033" s="26" t="e">
        <f t="shared" si="1178"/>
        <v>#REF!</v>
      </c>
      <c r="G1033" s="18">
        <f>+G1032+1</f>
        <v>12</v>
      </c>
      <c r="H1033" s="18" t="s">
        <v>10</v>
      </c>
      <c r="I1033" s="46" t="s">
        <v>10</v>
      </c>
      <c r="J1033" s="22">
        <f>9.65+9.5</f>
        <v>19.149999999999999</v>
      </c>
      <c r="K1033" s="63">
        <f>8.6+8.3</f>
        <v>16.899999999999999</v>
      </c>
      <c r="L1033" s="8">
        <f t="shared" si="1159"/>
        <v>2.25</v>
      </c>
      <c r="M1033" s="24">
        <f t="shared" si="1165"/>
        <v>0.15202702702702714</v>
      </c>
      <c r="N1033" s="14"/>
    </row>
    <row r="1034" spans="1:14" x14ac:dyDescent="0.25">
      <c r="A1034" s="19">
        <v>44544</v>
      </c>
      <c r="B1034" s="15">
        <f t="shared" ref="B1034" si="1179">B1022+1</f>
        <v>87</v>
      </c>
      <c r="C1034" s="15" t="s">
        <v>379</v>
      </c>
      <c r="D1034" s="15" t="s">
        <v>183</v>
      </c>
      <c r="E1034" s="25">
        <f>11.4-1.2</f>
        <v>10.200000000000001</v>
      </c>
      <c r="F1034" s="25">
        <f>+SUM(L1034:L1045)</f>
        <v>10.199999999999996</v>
      </c>
      <c r="G1034" s="16">
        <v>1</v>
      </c>
      <c r="H1034" s="16" t="s">
        <v>9</v>
      </c>
      <c r="I1034" s="59" t="s">
        <v>56</v>
      </c>
      <c r="J1034" s="21">
        <v>0.05</v>
      </c>
      <c r="K1034" s="21">
        <v>0</v>
      </c>
      <c r="L1034" s="12">
        <f>+J1034-K1034</f>
        <v>0.05</v>
      </c>
      <c r="M1034" s="23">
        <f t="shared" si="1165"/>
        <v>4.901960784313728E-3</v>
      </c>
      <c r="N1034" s="13"/>
    </row>
    <row r="1035" spans="1:14" x14ac:dyDescent="0.25">
      <c r="A1035" s="20">
        <v>44544</v>
      </c>
      <c r="B1035" s="1">
        <f t="shared" ref="B1035" si="1180">B1034</f>
        <v>87</v>
      </c>
      <c r="C1035" s="1" t="s">
        <v>379</v>
      </c>
      <c r="D1035" s="1" t="s">
        <v>183</v>
      </c>
      <c r="E1035" s="26">
        <f>+E1034</f>
        <v>10.200000000000001</v>
      </c>
      <c r="F1035" s="28">
        <f>+(F1034-E1034)/E1034</f>
        <v>-5.2245789394125006E-16</v>
      </c>
      <c r="G1035" s="17">
        <v>2</v>
      </c>
      <c r="H1035" s="17" t="s">
        <v>9</v>
      </c>
      <c r="I1035" s="30" t="s">
        <v>57</v>
      </c>
      <c r="J1035" s="22">
        <v>8.9499999999999993</v>
      </c>
      <c r="K1035" s="22">
        <v>8.3000000000000007</v>
      </c>
      <c r="L1035" s="8">
        <f t="shared" ref="L1035:L1045" si="1181">+J1035-K1035</f>
        <v>0.64999999999999858</v>
      </c>
      <c r="M1035" s="24">
        <f t="shared" si="1165"/>
        <v>6.3725490196078316E-2</v>
      </c>
      <c r="N1035" s="14"/>
    </row>
    <row r="1036" spans="1:14" x14ac:dyDescent="0.25">
      <c r="A1036" s="20">
        <v>44544</v>
      </c>
      <c r="B1036" s="1">
        <f t="shared" ref="B1036" si="1182">B1034</f>
        <v>87</v>
      </c>
      <c r="C1036" s="1" t="s">
        <v>379</v>
      </c>
      <c r="D1036" s="1" t="s">
        <v>183</v>
      </c>
      <c r="E1036" s="26" t="e">
        <f>+#REF!</f>
        <v>#REF!</v>
      </c>
      <c r="F1036" s="26" t="e">
        <f>+#REF!</f>
        <v>#REF!</v>
      </c>
      <c r="G1036" s="17">
        <v>3</v>
      </c>
      <c r="H1036" s="17" t="s">
        <v>9</v>
      </c>
      <c r="I1036" s="30" t="s">
        <v>58</v>
      </c>
      <c r="J1036" s="22">
        <v>0.75</v>
      </c>
      <c r="K1036" s="22">
        <f>0.5</f>
        <v>0.5</v>
      </c>
      <c r="L1036" s="8">
        <f t="shared" si="1181"/>
        <v>0.25</v>
      </c>
      <c r="M1036" s="24">
        <f t="shared" si="1165"/>
        <v>2.4509803921568638E-2</v>
      </c>
      <c r="N1036" s="14"/>
    </row>
    <row r="1037" spans="1:14" x14ac:dyDescent="0.25">
      <c r="A1037" s="20">
        <v>44544</v>
      </c>
      <c r="B1037" s="1">
        <f t="shared" ref="B1037" si="1183">B1034</f>
        <v>87</v>
      </c>
      <c r="C1037" s="1" t="s">
        <v>379</v>
      </c>
      <c r="D1037" s="1" t="s">
        <v>183</v>
      </c>
      <c r="E1037" s="26" t="e">
        <f t="shared" ref="E1037:F1037" si="1184">+E1036</f>
        <v>#REF!</v>
      </c>
      <c r="F1037" s="26" t="e">
        <f t="shared" si="1184"/>
        <v>#REF!</v>
      </c>
      <c r="G1037" s="17">
        <v>4</v>
      </c>
      <c r="H1037" s="17" t="s">
        <v>9</v>
      </c>
      <c r="I1037" s="30" t="s">
        <v>22</v>
      </c>
      <c r="J1037" s="22">
        <v>0.05</v>
      </c>
      <c r="K1037" s="22">
        <v>0</v>
      </c>
      <c r="L1037" s="8">
        <f t="shared" si="1181"/>
        <v>0.05</v>
      </c>
      <c r="M1037" s="24">
        <f t="shared" si="1165"/>
        <v>4.901960784313728E-3</v>
      </c>
      <c r="N1037" s="14"/>
    </row>
    <row r="1038" spans="1:14" x14ac:dyDescent="0.25">
      <c r="A1038" s="20">
        <v>44544</v>
      </c>
      <c r="B1038" s="1">
        <f t="shared" ref="B1038" si="1185">B1034</f>
        <v>87</v>
      </c>
      <c r="C1038" s="1" t="s">
        <v>379</v>
      </c>
      <c r="D1038" s="1" t="s">
        <v>183</v>
      </c>
      <c r="E1038" s="26" t="e">
        <f t="shared" ref="E1038:F1038" si="1186">+E1037</f>
        <v>#REF!</v>
      </c>
      <c r="F1038" s="26" t="e">
        <f t="shared" si="1186"/>
        <v>#REF!</v>
      </c>
      <c r="G1038" s="17">
        <v>5</v>
      </c>
      <c r="H1038" s="17" t="s">
        <v>9</v>
      </c>
      <c r="I1038" s="30" t="s">
        <v>34</v>
      </c>
      <c r="J1038" s="22"/>
      <c r="K1038" s="22"/>
      <c r="L1038" s="8">
        <f t="shared" si="1181"/>
        <v>0</v>
      </c>
      <c r="M1038" s="24">
        <f t="shared" ref="M1038:M1049" si="1187">+L1038/SUMIF(C:C,C1038,L:L)</f>
        <v>0</v>
      </c>
      <c r="N1038" s="14"/>
    </row>
    <row r="1039" spans="1:14" x14ac:dyDescent="0.25">
      <c r="A1039" s="20">
        <v>44544</v>
      </c>
      <c r="B1039" s="1">
        <f t="shared" ref="B1039" si="1188">B1034</f>
        <v>87</v>
      </c>
      <c r="C1039" s="1" t="s">
        <v>379</v>
      </c>
      <c r="D1039" s="1" t="s">
        <v>183</v>
      </c>
      <c r="E1039" s="26" t="e">
        <f t="shared" ref="E1039:F1039" si="1189">+E1038</f>
        <v>#REF!</v>
      </c>
      <c r="F1039" s="26" t="e">
        <f t="shared" si="1189"/>
        <v>#REF!</v>
      </c>
      <c r="G1039" s="17">
        <v>6</v>
      </c>
      <c r="H1039" s="17" t="s">
        <v>9</v>
      </c>
      <c r="I1039" s="30" t="s">
        <v>35</v>
      </c>
      <c r="J1039" s="22"/>
      <c r="K1039" s="22"/>
      <c r="L1039" s="8">
        <f t="shared" si="1181"/>
        <v>0</v>
      </c>
      <c r="M1039" s="24">
        <f t="shared" si="1187"/>
        <v>0</v>
      </c>
      <c r="N1039" s="14"/>
    </row>
    <row r="1040" spans="1:14" x14ac:dyDescent="0.25">
      <c r="A1040" s="20">
        <v>44544</v>
      </c>
      <c r="B1040" s="1">
        <f t="shared" ref="B1040" si="1190">B1034</f>
        <v>87</v>
      </c>
      <c r="C1040" s="1" t="s">
        <v>379</v>
      </c>
      <c r="D1040" s="1" t="s">
        <v>183</v>
      </c>
      <c r="E1040" s="26" t="e">
        <f t="shared" ref="E1040:F1040" si="1191">+E1039</f>
        <v>#REF!</v>
      </c>
      <c r="F1040" s="26" t="e">
        <f t="shared" si="1191"/>
        <v>#REF!</v>
      </c>
      <c r="G1040" s="17">
        <v>7</v>
      </c>
      <c r="H1040" s="17" t="s">
        <v>9</v>
      </c>
      <c r="I1040" s="30" t="s">
        <v>36</v>
      </c>
      <c r="J1040" s="22"/>
      <c r="K1040" s="22"/>
      <c r="L1040" s="8">
        <f t="shared" si="1181"/>
        <v>0</v>
      </c>
      <c r="M1040" s="24">
        <f t="shared" si="1187"/>
        <v>0</v>
      </c>
      <c r="N1040" s="14"/>
    </row>
    <row r="1041" spans="1:14" x14ac:dyDescent="0.25">
      <c r="A1041" s="20">
        <v>44544</v>
      </c>
      <c r="B1041" s="1">
        <f t="shared" ref="B1041" si="1192">B1034</f>
        <v>87</v>
      </c>
      <c r="C1041" s="1" t="s">
        <v>379</v>
      </c>
      <c r="D1041" s="1" t="s">
        <v>183</v>
      </c>
      <c r="E1041" s="26" t="e">
        <f>+E1040</f>
        <v>#REF!</v>
      </c>
      <c r="F1041" s="26" t="e">
        <f>+F1040</f>
        <v>#REF!</v>
      </c>
      <c r="G1041" s="17">
        <v>8</v>
      </c>
      <c r="H1041" s="17" t="s">
        <v>9</v>
      </c>
      <c r="I1041" s="30" t="s">
        <v>59</v>
      </c>
      <c r="J1041" s="22">
        <v>8.4499999999999993</v>
      </c>
      <c r="K1041" s="22">
        <v>8.3000000000000007</v>
      </c>
      <c r="L1041" s="8">
        <f t="shared" si="1181"/>
        <v>0.14999999999999858</v>
      </c>
      <c r="M1041" s="24">
        <f t="shared" si="1187"/>
        <v>1.4705882352941043E-2</v>
      </c>
      <c r="N1041" s="14"/>
    </row>
    <row r="1042" spans="1:14" x14ac:dyDescent="0.25">
      <c r="A1042" s="20">
        <v>44544</v>
      </c>
      <c r="B1042" s="1">
        <f t="shared" ref="B1042" si="1193">B1034</f>
        <v>87</v>
      </c>
      <c r="C1042" s="1" t="s">
        <v>379</v>
      </c>
      <c r="D1042" s="1" t="s">
        <v>183</v>
      </c>
      <c r="E1042" s="26" t="e">
        <f t="shared" ref="E1042:F1042" si="1194">+E1041</f>
        <v>#REF!</v>
      </c>
      <c r="F1042" s="26" t="e">
        <f t="shared" si="1194"/>
        <v>#REF!</v>
      </c>
      <c r="G1042" s="17">
        <v>9</v>
      </c>
      <c r="H1042" s="17" t="s">
        <v>9</v>
      </c>
      <c r="I1042" s="30" t="s">
        <v>38</v>
      </c>
      <c r="J1042" s="22"/>
      <c r="K1042" s="22"/>
      <c r="L1042" s="8">
        <f t="shared" si="1181"/>
        <v>0</v>
      </c>
      <c r="M1042" s="24">
        <f t="shared" si="1187"/>
        <v>0</v>
      </c>
      <c r="N1042" s="14"/>
    </row>
    <row r="1043" spans="1:14" x14ac:dyDescent="0.25">
      <c r="A1043" s="20">
        <v>44544</v>
      </c>
      <c r="B1043" s="1">
        <f t="shared" ref="B1043" si="1195">B1034</f>
        <v>87</v>
      </c>
      <c r="C1043" s="1" t="s">
        <v>379</v>
      </c>
      <c r="D1043" s="1" t="s">
        <v>183</v>
      </c>
      <c r="E1043" s="26" t="e">
        <f t="shared" ref="E1043:F1043" si="1196">+E1042</f>
        <v>#REF!</v>
      </c>
      <c r="F1043" s="26" t="e">
        <f t="shared" si="1196"/>
        <v>#REF!</v>
      </c>
      <c r="G1043" s="17">
        <v>10</v>
      </c>
      <c r="H1043" s="17" t="s">
        <v>9</v>
      </c>
      <c r="I1043" s="30" t="s">
        <v>23</v>
      </c>
      <c r="J1043" s="22">
        <v>0.6</v>
      </c>
      <c r="K1043" s="22">
        <v>0.5</v>
      </c>
      <c r="L1043" s="8">
        <f t="shared" si="1181"/>
        <v>9.9999999999999978E-2</v>
      </c>
      <c r="M1043" s="24">
        <f t="shared" si="1187"/>
        <v>9.8039215686274526E-3</v>
      </c>
      <c r="N1043" s="14"/>
    </row>
    <row r="1044" spans="1:14" x14ac:dyDescent="0.25">
      <c r="A1044" s="20">
        <v>44544</v>
      </c>
      <c r="B1044" s="1">
        <f t="shared" ref="B1044" si="1197">B1034</f>
        <v>87</v>
      </c>
      <c r="C1044" s="1" t="s">
        <v>379</v>
      </c>
      <c r="D1044" s="1" t="s">
        <v>183</v>
      </c>
      <c r="E1044" s="26" t="e">
        <f t="shared" ref="E1044:F1044" si="1198">+E1043</f>
        <v>#REF!</v>
      </c>
      <c r="F1044" s="26" t="e">
        <f t="shared" si="1198"/>
        <v>#REF!</v>
      </c>
      <c r="G1044" s="17">
        <v>11</v>
      </c>
      <c r="H1044" s="17" t="s">
        <v>9</v>
      </c>
      <c r="I1044" s="30" t="s">
        <v>60</v>
      </c>
      <c r="J1044" s="22">
        <f>9.6+9.55+10.2+11.55</f>
        <v>40.9</v>
      </c>
      <c r="K1044" s="22">
        <f>8.55+8.6+8.3+8.55</f>
        <v>34</v>
      </c>
      <c r="L1044" s="8">
        <f t="shared" si="1181"/>
        <v>6.8999999999999986</v>
      </c>
      <c r="M1044" s="24">
        <f t="shared" si="1187"/>
        <v>0.67647058823529427</v>
      </c>
      <c r="N1044" s="14"/>
    </row>
    <row r="1045" spans="1:14" ht="15.75" thickBot="1" x14ac:dyDescent="0.3">
      <c r="A1045" s="20">
        <v>44544</v>
      </c>
      <c r="B1045" s="57">
        <f t="shared" ref="B1045" si="1199">B1034</f>
        <v>87</v>
      </c>
      <c r="C1045" s="1" t="s">
        <v>379</v>
      </c>
      <c r="D1045" s="1" t="s">
        <v>183</v>
      </c>
      <c r="E1045" s="26" t="e">
        <f t="shared" ref="E1045:F1045" si="1200">+E1044</f>
        <v>#REF!</v>
      </c>
      <c r="F1045" s="26" t="e">
        <f t="shared" si="1200"/>
        <v>#REF!</v>
      </c>
      <c r="G1045" s="18">
        <f>+G1044+1</f>
        <v>12</v>
      </c>
      <c r="H1045" s="18" t="s">
        <v>10</v>
      </c>
      <c r="I1045" s="46" t="s">
        <v>10</v>
      </c>
      <c r="J1045" s="22">
        <f>9.45+9.65</f>
        <v>19.100000000000001</v>
      </c>
      <c r="K1045" s="63">
        <f>8.5+8.55</f>
        <v>17.05</v>
      </c>
      <c r="L1045" s="8">
        <f t="shared" si="1181"/>
        <v>2.0500000000000007</v>
      </c>
      <c r="M1045" s="24">
        <f t="shared" si="1187"/>
        <v>0.20098039215686289</v>
      </c>
      <c r="N1045" s="14"/>
    </row>
    <row r="1046" spans="1:14" x14ac:dyDescent="0.25">
      <c r="A1046" s="19">
        <v>44544</v>
      </c>
      <c r="B1046" s="15">
        <f t="shared" ref="B1046" si="1201">B1034+1</f>
        <v>88</v>
      </c>
      <c r="C1046" s="15" t="s">
        <v>380</v>
      </c>
      <c r="D1046" s="15" t="s">
        <v>183</v>
      </c>
      <c r="E1046" s="25">
        <f>9.6+9.6-1.2-1.2</f>
        <v>16.8</v>
      </c>
      <c r="F1046" s="25">
        <f>+SUM(L1046:L1057)</f>
        <v>16.54999999999999</v>
      </c>
      <c r="G1046" s="16">
        <v>1</v>
      </c>
      <c r="H1046" s="16" t="s">
        <v>9</v>
      </c>
      <c r="I1046" s="59" t="s">
        <v>56</v>
      </c>
      <c r="J1046" s="21">
        <v>0.65</v>
      </c>
      <c r="K1046" s="21">
        <v>0.55000000000000004</v>
      </c>
      <c r="L1046" s="12">
        <f>+J1046-K1046</f>
        <v>9.9999999999999978E-2</v>
      </c>
      <c r="M1046" s="23">
        <f t="shared" si="1187"/>
        <v>6.0422960725075555E-3</v>
      </c>
      <c r="N1046" s="13"/>
    </row>
    <row r="1047" spans="1:14" x14ac:dyDescent="0.25">
      <c r="A1047" s="20">
        <v>44544</v>
      </c>
      <c r="B1047" s="1">
        <f t="shared" ref="B1047" si="1202">B1046</f>
        <v>88</v>
      </c>
      <c r="C1047" s="1" t="s">
        <v>380</v>
      </c>
      <c r="D1047" s="1" t="s">
        <v>183</v>
      </c>
      <c r="E1047" s="26">
        <f>+E1046</f>
        <v>16.8</v>
      </c>
      <c r="F1047" s="28">
        <f>+(F1046-E1046)/E1046</f>
        <v>-1.4880952380953015E-2</v>
      </c>
      <c r="G1047" s="17">
        <v>2</v>
      </c>
      <c r="H1047" s="17" t="s">
        <v>9</v>
      </c>
      <c r="I1047" s="30" t="s">
        <v>57</v>
      </c>
      <c r="J1047" s="22">
        <v>9.4499999999999993</v>
      </c>
      <c r="K1047" s="22">
        <v>8.6</v>
      </c>
      <c r="L1047" s="8">
        <f t="shared" ref="L1047:L1057" si="1203">+J1047-K1047</f>
        <v>0.84999999999999964</v>
      </c>
      <c r="M1047" s="24">
        <f t="shared" si="1187"/>
        <v>5.1359516616314209E-2</v>
      </c>
      <c r="N1047" s="14"/>
    </row>
    <row r="1048" spans="1:14" x14ac:dyDescent="0.25">
      <c r="A1048" s="20">
        <v>44544</v>
      </c>
      <c r="B1048" s="1">
        <f t="shared" ref="B1048" si="1204">B1046</f>
        <v>88</v>
      </c>
      <c r="C1048" s="1" t="s">
        <v>380</v>
      </c>
      <c r="D1048" s="1" t="s">
        <v>183</v>
      </c>
      <c r="E1048" s="26" t="e">
        <f>+#REF!</f>
        <v>#REF!</v>
      </c>
      <c r="F1048" s="26" t="e">
        <f>+#REF!</f>
        <v>#REF!</v>
      </c>
      <c r="G1048" s="17">
        <v>3</v>
      </c>
      <c r="H1048" s="17" t="s">
        <v>9</v>
      </c>
      <c r="I1048" s="30" t="s">
        <v>58</v>
      </c>
      <c r="J1048" s="22">
        <f>0.65+0.75</f>
        <v>1.4</v>
      </c>
      <c r="K1048" s="22">
        <f>0.55+0.55</f>
        <v>1.1000000000000001</v>
      </c>
      <c r="L1048" s="8">
        <f t="shared" si="1203"/>
        <v>0.29999999999999982</v>
      </c>
      <c r="M1048" s="24">
        <f t="shared" si="1187"/>
        <v>1.812688821752266E-2</v>
      </c>
      <c r="N1048" s="14"/>
    </row>
    <row r="1049" spans="1:14" x14ac:dyDescent="0.25">
      <c r="A1049" s="20">
        <v>44544</v>
      </c>
      <c r="B1049" s="1">
        <f t="shared" ref="B1049" si="1205">B1046</f>
        <v>88</v>
      </c>
      <c r="C1049" s="1" t="s">
        <v>380</v>
      </c>
      <c r="D1049" s="1" t="s">
        <v>183</v>
      </c>
      <c r="E1049" s="26" t="e">
        <f t="shared" ref="E1049:F1049" si="1206">+E1048</f>
        <v>#REF!</v>
      </c>
      <c r="F1049" s="26" t="e">
        <f t="shared" si="1206"/>
        <v>#REF!</v>
      </c>
      <c r="G1049" s="17">
        <v>4</v>
      </c>
      <c r="H1049" s="17" t="s">
        <v>9</v>
      </c>
      <c r="I1049" s="30" t="s">
        <v>22</v>
      </c>
      <c r="J1049" s="22"/>
      <c r="K1049" s="22"/>
      <c r="L1049" s="8">
        <f t="shared" si="1203"/>
        <v>0</v>
      </c>
      <c r="M1049" s="24">
        <f t="shared" si="1187"/>
        <v>0</v>
      </c>
      <c r="N1049" s="14"/>
    </row>
    <row r="1050" spans="1:14" x14ac:dyDescent="0.25">
      <c r="A1050" s="20">
        <v>44544</v>
      </c>
      <c r="B1050" s="1">
        <f t="shared" ref="B1050" si="1207">B1046</f>
        <v>88</v>
      </c>
      <c r="C1050" s="1" t="s">
        <v>380</v>
      </c>
      <c r="D1050" s="1" t="s">
        <v>183</v>
      </c>
      <c r="E1050" s="26" t="e">
        <f t="shared" ref="E1050:F1050" si="1208">+E1049</f>
        <v>#REF!</v>
      </c>
      <c r="F1050" s="26" t="e">
        <f t="shared" si="1208"/>
        <v>#REF!</v>
      </c>
      <c r="G1050" s="17">
        <v>5</v>
      </c>
      <c r="H1050" s="17" t="s">
        <v>9</v>
      </c>
      <c r="I1050" s="30" t="s">
        <v>34</v>
      </c>
      <c r="J1050" s="22">
        <v>0.05</v>
      </c>
      <c r="K1050" s="22">
        <v>0</v>
      </c>
      <c r="L1050" s="8">
        <f t="shared" si="1203"/>
        <v>0.05</v>
      </c>
      <c r="M1050" s="24">
        <f t="shared" ref="M1050:M1113" si="1209">+L1050/SUMIF(C:C,C1050,L:L)</f>
        <v>3.0211480362537786E-3</v>
      </c>
      <c r="N1050" s="14"/>
    </row>
    <row r="1051" spans="1:14" x14ac:dyDescent="0.25">
      <c r="A1051" s="20">
        <v>44544</v>
      </c>
      <c r="B1051" s="1">
        <f t="shared" ref="B1051" si="1210">B1046</f>
        <v>88</v>
      </c>
      <c r="C1051" s="1" t="s">
        <v>380</v>
      </c>
      <c r="D1051" s="1" t="s">
        <v>183</v>
      </c>
      <c r="E1051" s="26" t="e">
        <f t="shared" ref="E1051:F1051" si="1211">+E1050</f>
        <v>#REF!</v>
      </c>
      <c r="F1051" s="26" t="e">
        <f t="shared" si="1211"/>
        <v>#REF!</v>
      </c>
      <c r="G1051" s="17">
        <v>6</v>
      </c>
      <c r="H1051" s="17" t="s">
        <v>9</v>
      </c>
      <c r="I1051" s="30" t="s">
        <v>35</v>
      </c>
      <c r="J1051" s="22"/>
      <c r="K1051" s="22"/>
      <c r="L1051" s="8">
        <f t="shared" si="1203"/>
        <v>0</v>
      </c>
      <c r="M1051" s="24">
        <f t="shared" si="1209"/>
        <v>0</v>
      </c>
      <c r="N1051" s="14"/>
    </row>
    <row r="1052" spans="1:14" x14ac:dyDescent="0.25">
      <c r="A1052" s="20">
        <v>44544</v>
      </c>
      <c r="B1052" s="1">
        <f t="shared" ref="B1052" si="1212">B1046</f>
        <v>88</v>
      </c>
      <c r="C1052" s="1" t="s">
        <v>380</v>
      </c>
      <c r="D1052" s="1" t="s">
        <v>183</v>
      </c>
      <c r="E1052" s="26" t="e">
        <f t="shared" ref="E1052:F1052" si="1213">+E1051</f>
        <v>#REF!</v>
      </c>
      <c r="F1052" s="26" t="e">
        <f t="shared" si="1213"/>
        <v>#REF!</v>
      </c>
      <c r="G1052" s="17">
        <v>7</v>
      </c>
      <c r="H1052" s="17" t="s">
        <v>9</v>
      </c>
      <c r="I1052" s="30" t="s">
        <v>36</v>
      </c>
      <c r="J1052" s="22"/>
      <c r="K1052" s="22"/>
      <c r="L1052" s="8">
        <f t="shared" si="1203"/>
        <v>0</v>
      </c>
      <c r="M1052" s="24">
        <f t="shared" si="1209"/>
        <v>0</v>
      </c>
      <c r="N1052" s="14"/>
    </row>
    <row r="1053" spans="1:14" x14ac:dyDescent="0.25">
      <c r="A1053" s="20">
        <v>44544</v>
      </c>
      <c r="B1053" s="1">
        <f t="shared" ref="B1053" si="1214">B1046</f>
        <v>88</v>
      </c>
      <c r="C1053" s="1" t="s">
        <v>380</v>
      </c>
      <c r="D1053" s="1" t="s">
        <v>183</v>
      </c>
      <c r="E1053" s="26" t="e">
        <f>+E1052</f>
        <v>#REF!</v>
      </c>
      <c r="F1053" s="26" t="e">
        <f>+F1052</f>
        <v>#REF!</v>
      </c>
      <c r="G1053" s="17">
        <v>8</v>
      </c>
      <c r="H1053" s="17" t="s">
        <v>9</v>
      </c>
      <c r="I1053" s="30" t="s">
        <v>59</v>
      </c>
      <c r="J1053" s="22">
        <v>8.4499999999999993</v>
      </c>
      <c r="K1053" s="22">
        <v>8.3000000000000007</v>
      </c>
      <c r="L1053" s="8">
        <f t="shared" si="1203"/>
        <v>0.14999999999999858</v>
      </c>
      <c r="M1053" s="24">
        <f t="shared" si="1209"/>
        <v>9.0634441087612486E-3</v>
      </c>
      <c r="N1053" s="14"/>
    </row>
    <row r="1054" spans="1:14" x14ac:dyDescent="0.25">
      <c r="A1054" s="20">
        <v>44544</v>
      </c>
      <c r="B1054" s="1">
        <f t="shared" ref="B1054" si="1215">B1046</f>
        <v>88</v>
      </c>
      <c r="C1054" s="1" t="s">
        <v>380</v>
      </c>
      <c r="D1054" s="1" t="s">
        <v>183</v>
      </c>
      <c r="E1054" s="26" t="e">
        <f t="shared" ref="E1054:F1054" si="1216">+E1053</f>
        <v>#REF!</v>
      </c>
      <c r="F1054" s="26" t="e">
        <f t="shared" si="1216"/>
        <v>#REF!</v>
      </c>
      <c r="G1054" s="17">
        <v>9</v>
      </c>
      <c r="H1054" s="17" t="s">
        <v>9</v>
      </c>
      <c r="I1054" s="30" t="s">
        <v>38</v>
      </c>
      <c r="J1054" s="22"/>
      <c r="K1054" s="22"/>
      <c r="L1054" s="8">
        <f t="shared" si="1203"/>
        <v>0</v>
      </c>
      <c r="M1054" s="24">
        <f t="shared" si="1209"/>
        <v>0</v>
      </c>
      <c r="N1054" s="14"/>
    </row>
    <row r="1055" spans="1:14" x14ac:dyDescent="0.25">
      <c r="A1055" s="20">
        <v>44544</v>
      </c>
      <c r="B1055" s="1">
        <f t="shared" ref="B1055" si="1217">B1046</f>
        <v>88</v>
      </c>
      <c r="C1055" s="1" t="s">
        <v>380</v>
      </c>
      <c r="D1055" s="1" t="s">
        <v>183</v>
      </c>
      <c r="E1055" s="26" t="e">
        <f t="shared" ref="E1055:F1055" si="1218">+E1054</f>
        <v>#REF!</v>
      </c>
      <c r="F1055" s="26" t="e">
        <f t="shared" si="1218"/>
        <v>#REF!</v>
      </c>
      <c r="G1055" s="17">
        <v>10</v>
      </c>
      <c r="H1055" s="17" t="s">
        <v>9</v>
      </c>
      <c r="I1055" s="30" t="s">
        <v>23</v>
      </c>
      <c r="J1055" s="22">
        <v>0.75</v>
      </c>
      <c r="K1055" s="22">
        <v>0.55000000000000004</v>
      </c>
      <c r="L1055" s="8">
        <f t="shared" si="1203"/>
        <v>0.19999999999999996</v>
      </c>
      <c r="M1055" s="24">
        <f t="shared" si="1209"/>
        <v>1.2084592145015111E-2</v>
      </c>
      <c r="N1055" s="14"/>
    </row>
    <row r="1056" spans="1:14" x14ac:dyDescent="0.25">
      <c r="A1056" s="20">
        <v>44544</v>
      </c>
      <c r="B1056" s="1">
        <f t="shared" ref="B1056" si="1219">B1046</f>
        <v>88</v>
      </c>
      <c r="C1056" s="1" t="s">
        <v>380</v>
      </c>
      <c r="D1056" s="1" t="s">
        <v>183</v>
      </c>
      <c r="E1056" s="26" t="e">
        <f t="shared" ref="E1056:F1056" si="1220">+E1055</f>
        <v>#REF!</v>
      </c>
      <c r="F1056" s="26" t="e">
        <f t="shared" si="1220"/>
        <v>#REF!</v>
      </c>
      <c r="G1056" s="17">
        <v>11</v>
      </c>
      <c r="H1056" s="17" t="s">
        <v>9</v>
      </c>
      <c r="I1056" s="30" t="s">
        <v>60</v>
      </c>
      <c r="J1056" s="22">
        <f>12+10.2+10.25+12.3</f>
        <v>44.75</v>
      </c>
      <c r="K1056" s="22">
        <f>8.3+8.55+8.3+8.5</f>
        <v>33.650000000000006</v>
      </c>
      <c r="L1056" s="8">
        <f t="shared" si="1203"/>
        <v>11.099999999999994</v>
      </c>
      <c r="M1056" s="24">
        <f t="shared" si="1209"/>
        <v>0.67069486404833845</v>
      </c>
      <c r="N1056" s="14"/>
    </row>
    <row r="1057" spans="1:14" ht="15.75" thickBot="1" x14ac:dyDescent="0.3">
      <c r="A1057" s="20">
        <v>44544</v>
      </c>
      <c r="B1057" s="57">
        <f t="shared" ref="B1057" si="1221">B1046</f>
        <v>88</v>
      </c>
      <c r="C1057" s="1" t="s">
        <v>380</v>
      </c>
      <c r="D1057" s="1" t="s">
        <v>183</v>
      </c>
      <c r="E1057" s="26" t="e">
        <f t="shared" ref="E1057:F1057" si="1222">+E1056</f>
        <v>#REF!</v>
      </c>
      <c r="F1057" s="26" t="e">
        <f t="shared" si="1222"/>
        <v>#REF!</v>
      </c>
      <c r="G1057" s="18">
        <f>+G1056+1</f>
        <v>12</v>
      </c>
      <c r="H1057" s="18" t="s">
        <v>10</v>
      </c>
      <c r="I1057" s="46" t="s">
        <v>10</v>
      </c>
      <c r="J1057" s="22">
        <f>9.9+10.75</f>
        <v>20.65</v>
      </c>
      <c r="K1057" s="63">
        <f>8.3+8.55</f>
        <v>16.850000000000001</v>
      </c>
      <c r="L1057" s="8">
        <f t="shared" si="1203"/>
        <v>3.7999999999999972</v>
      </c>
      <c r="M1057" s="24">
        <f t="shared" si="1209"/>
        <v>0.22960725075528698</v>
      </c>
      <c r="N1057" s="14"/>
    </row>
    <row r="1058" spans="1:14" x14ac:dyDescent="0.25">
      <c r="A1058" s="19">
        <v>44544</v>
      </c>
      <c r="B1058" s="15">
        <f t="shared" ref="B1058" si="1223">B1046+1</f>
        <v>89</v>
      </c>
      <c r="C1058" s="15" t="s">
        <v>381</v>
      </c>
      <c r="D1058" s="15" t="s">
        <v>38</v>
      </c>
      <c r="E1058" s="25"/>
      <c r="F1058" s="25">
        <f>+SUM(L1058:L1069)</f>
        <v>46.1</v>
      </c>
      <c r="G1058" s="16">
        <v>1</v>
      </c>
      <c r="H1058" s="16" t="s">
        <v>9</v>
      </c>
      <c r="I1058" s="59" t="s">
        <v>56</v>
      </c>
      <c r="J1058" s="21">
        <v>0.6</v>
      </c>
      <c r="K1058" s="21">
        <v>0.55000000000000004</v>
      </c>
      <c r="L1058" s="12">
        <f>+J1058-K1058</f>
        <v>4.9999999999999933E-2</v>
      </c>
      <c r="M1058" s="23">
        <f t="shared" si="1209"/>
        <v>1.0845986984815603E-3</v>
      </c>
      <c r="N1058" s="13"/>
    </row>
    <row r="1059" spans="1:14" x14ac:dyDescent="0.25">
      <c r="A1059" s="20">
        <v>44544</v>
      </c>
      <c r="B1059" s="1">
        <f t="shared" ref="B1059" si="1224">B1058</f>
        <v>89</v>
      </c>
      <c r="C1059" s="1" t="s">
        <v>381</v>
      </c>
      <c r="D1059" s="1" t="s">
        <v>38</v>
      </c>
      <c r="E1059" s="26">
        <f>+E1058</f>
        <v>0</v>
      </c>
      <c r="F1059" s="28" t="e">
        <f>+(F1058-E1058)/E1058</f>
        <v>#DIV/0!</v>
      </c>
      <c r="G1059" s="17">
        <v>2</v>
      </c>
      <c r="H1059" s="17" t="s">
        <v>9</v>
      </c>
      <c r="I1059" s="30" t="s">
        <v>57</v>
      </c>
      <c r="J1059" s="22">
        <v>0.65</v>
      </c>
      <c r="K1059" s="22">
        <v>0.5</v>
      </c>
      <c r="L1059" s="8">
        <f t="shared" ref="L1059:L1069" si="1225">+J1059-K1059</f>
        <v>0.15000000000000002</v>
      </c>
      <c r="M1059" s="24">
        <f t="shared" si="1209"/>
        <v>3.2537960954446858E-3</v>
      </c>
      <c r="N1059" s="14"/>
    </row>
    <row r="1060" spans="1:14" x14ac:dyDescent="0.25">
      <c r="A1060" s="20">
        <v>44544</v>
      </c>
      <c r="B1060" s="1">
        <f t="shared" ref="B1060" si="1226">B1058</f>
        <v>89</v>
      </c>
      <c r="C1060" s="1" t="s">
        <v>381</v>
      </c>
      <c r="D1060" s="1" t="s">
        <v>38</v>
      </c>
      <c r="E1060" s="26" t="e">
        <f>+#REF!</f>
        <v>#REF!</v>
      </c>
      <c r="F1060" s="26" t="e">
        <f>+#REF!</f>
        <v>#REF!</v>
      </c>
      <c r="G1060" s="17">
        <v>3</v>
      </c>
      <c r="H1060" s="17" t="s">
        <v>9</v>
      </c>
      <c r="I1060" s="30" t="s">
        <v>58</v>
      </c>
      <c r="J1060" s="22"/>
      <c r="K1060" s="22"/>
      <c r="L1060" s="8">
        <f t="shared" si="1225"/>
        <v>0</v>
      </c>
      <c r="M1060" s="24">
        <f t="shared" si="1209"/>
        <v>0</v>
      </c>
      <c r="N1060" s="14"/>
    </row>
    <row r="1061" spans="1:14" x14ac:dyDescent="0.25">
      <c r="A1061" s="20">
        <v>44544</v>
      </c>
      <c r="B1061" s="1">
        <f t="shared" ref="B1061" si="1227">B1058</f>
        <v>89</v>
      </c>
      <c r="C1061" s="1" t="s">
        <v>381</v>
      </c>
      <c r="D1061" s="1" t="s">
        <v>38</v>
      </c>
      <c r="E1061" s="26" t="e">
        <f t="shared" ref="E1061:F1061" si="1228">+E1060</f>
        <v>#REF!</v>
      </c>
      <c r="F1061" s="26" t="e">
        <f t="shared" si="1228"/>
        <v>#REF!</v>
      </c>
      <c r="G1061" s="17">
        <v>4</v>
      </c>
      <c r="H1061" s="17" t="s">
        <v>9</v>
      </c>
      <c r="I1061" s="30" t="s">
        <v>22</v>
      </c>
      <c r="J1061" s="22"/>
      <c r="K1061" s="22"/>
      <c r="L1061" s="8">
        <f t="shared" si="1225"/>
        <v>0</v>
      </c>
      <c r="M1061" s="24">
        <f t="shared" si="1209"/>
        <v>0</v>
      </c>
      <c r="N1061" s="14"/>
    </row>
    <row r="1062" spans="1:14" x14ac:dyDescent="0.25">
      <c r="A1062" s="20">
        <v>44544</v>
      </c>
      <c r="B1062" s="1">
        <f t="shared" ref="B1062" si="1229">B1058</f>
        <v>89</v>
      </c>
      <c r="C1062" s="1" t="s">
        <v>381</v>
      </c>
      <c r="D1062" s="1" t="s">
        <v>38</v>
      </c>
      <c r="E1062" s="26" t="e">
        <f t="shared" ref="E1062:F1062" si="1230">+E1061</f>
        <v>#REF!</v>
      </c>
      <c r="F1062" s="26" t="e">
        <f t="shared" si="1230"/>
        <v>#REF!</v>
      </c>
      <c r="G1062" s="17">
        <v>5</v>
      </c>
      <c r="H1062" s="17" t="s">
        <v>9</v>
      </c>
      <c r="I1062" s="30" t="s">
        <v>34</v>
      </c>
      <c r="J1062" s="22">
        <v>0.65</v>
      </c>
      <c r="K1062" s="22">
        <v>0.55000000000000004</v>
      </c>
      <c r="L1062" s="8">
        <f t="shared" si="1225"/>
        <v>9.9999999999999978E-2</v>
      </c>
      <c r="M1062" s="24">
        <f t="shared" si="1209"/>
        <v>2.1691973969631233E-3</v>
      </c>
      <c r="N1062" s="14"/>
    </row>
    <row r="1063" spans="1:14" x14ac:dyDescent="0.25">
      <c r="A1063" s="20">
        <v>44544</v>
      </c>
      <c r="B1063" s="1">
        <f t="shared" ref="B1063" si="1231">B1058</f>
        <v>89</v>
      </c>
      <c r="C1063" s="1" t="s">
        <v>381</v>
      </c>
      <c r="D1063" s="1" t="s">
        <v>38</v>
      </c>
      <c r="E1063" s="26" t="e">
        <f t="shared" ref="E1063:F1063" si="1232">+E1062</f>
        <v>#REF!</v>
      </c>
      <c r="F1063" s="26" t="e">
        <f t="shared" si="1232"/>
        <v>#REF!</v>
      </c>
      <c r="G1063" s="17">
        <v>6</v>
      </c>
      <c r="H1063" s="17" t="s">
        <v>9</v>
      </c>
      <c r="I1063" s="30" t="s">
        <v>35</v>
      </c>
      <c r="J1063" s="22"/>
      <c r="K1063" s="22"/>
      <c r="L1063" s="8">
        <f t="shared" si="1225"/>
        <v>0</v>
      </c>
      <c r="M1063" s="24">
        <f t="shared" si="1209"/>
        <v>0</v>
      </c>
      <c r="N1063" s="14"/>
    </row>
    <row r="1064" spans="1:14" x14ac:dyDescent="0.25">
      <c r="A1064" s="20">
        <v>44544</v>
      </c>
      <c r="B1064" s="1">
        <f t="shared" ref="B1064" si="1233">B1058</f>
        <v>89</v>
      </c>
      <c r="C1064" s="1" t="s">
        <v>381</v>
      </c>
      <c r="D1064" s="1" t="s">
        <v>38</v>
      </c>
      <c r="E1064" s="26" t="e">
        <f t="shared" ref="E1064:F1064" si="1234">+E1063</f>
        <v>#REF!</v>
      </c>
      <c r="F1064" s="26" t="e">
        <f t="shared" si="1234"/>
        <v>#REF!</v>
      </c>
      <c r="G1064" s="17">
        <v>7</v>
      </c>
      <c r="H1064" s="17" t="s">
        <v>9</v>
      </c>
      <c r="I1064" s="30" t="s">
        <v>36</v>
      </c>
      <c r="J1064" s="22"/>
      <c r="K1064" s="22"/>
      <c r="L1064" s="8">
        <f t="shared" si="1225"/>
        <v>0</v>
      </c>
      <c r="M1064" s="24">
        <f t="shared" si="1209"/>
        <v>0</v>
      </c>
      <c r="N1064" s="14"/>
    </row>
    <row r="1065" spans="1:14" x14ac:dyDescent="0.25">
      <c r="A1065" s="20">
        <v>44544</v>
      </c>
      <c r="B1065" s="1">
        <f t="shared" ref="B1065" si="1235">B1058</f>
        <v>89</v>
      </c>
      <c r="C1065" s="1" t="s">
        <v>381</v>
      </c>
      <c r="D1065" s="1" t="s">
        <v>38</v>
      </c>
      <c r="E1065" s="26" t="e">
        <f>+E1064</f>
        <v>#REF!</v>
      </c>
      <c r="F1065" s="26" t="e">
        <f>+F1064</f>
        <v>#REF!</v>
      </c>
      <c r="G1065" s="17">
        <v>8</v>
      </c>
      <c r="H1065" s="17" t="s">
        <v>9</v>
      </c>
      <c r="I1065" s="30" t="s">
        <v>59</v>
      </c>
      <c r="J1065" s="22"/>
      <c r="K1065" s="22"/>
      <c r="L1065" s="8">
        <f t="shared" si="1225"/>
        <v>0</v>
      </c>
      <c r="M1065" s="24">
        <f t="shared" si="1209"/>
        <v>0</v>
      </c>
      <c r="N1065" s="14"/>
    </row>
    <row r="1066" spans="1:14" x14ac:dyDescent="0.25">
      <c r="A1066" s="20">
        <v>44544</v>
      </c>
      <c r="B1066" s="1">
        <f t="shared" ref="B1066" si="1236">B1058</f>
        <v>89</v>
      </c>
      <c r="C1066" s="1" t="s">
        <v>381</v>
      </c>
      <c r="D1066" s="1" t="s">
        <v>38</v>
      </c>
      <c r="E1066" s="26" t="e">
        <f t="shared" ref="E1066:F1066" si="1237">+E1065</f>
        <v>#REF!</v>
      </c>
      <c r="F1066" s="26" t="e">
        <f t="shared" si="1237"/>
        <v>#REF!</v>
      </c>
      <c r="G1066" s="17">
        <v>9</v>
      </c>
      <c r="H1066" s="17" t="s">
        <v>9</v>
      </c>
      <c r="I1066" s="30" t="s">
        <v>38</v>
      </c>
      <c r="J1066" s="22">
        <f>17.45+21.95+20+17.3</f>
        <v>76.7</v>
      </c>
      <c r="K1066" s="22">
        <f>8.55+8.3+8.6+8.3</f>
        <v>33.75</v>
      </c>
      <c r="L1066" s="8">
        <f t="shared" si="1225"/>
        <v>42.95</v>
      </c>
      <c r="M1066" s="24">
        <f t="shared" si="1209"/>
        <v>0.9316702819956616</v>
      </c>
      <c r="N1066" s="14"/>
    </row>
    <row r="1067" spans="1:14" x14ac:dyDescent="0.25">
      <c r="A1067" s="20">
        <v>44544</v>
      </c>
      <c r="B1067" s="1">
        <f t="shared" ref="B1067" si="1238">B1058</f>
        <v>89</v>
      </c>
      <c r="C1067" s="1" t="s">
        <v>381</v>
      </c>
      <c r="D1067" s="1" t="s">
        <v>38</v>
      </c>
      <c r="E1067" s="26" t="e">
        <f t="shared" ref="E1067:F1067" si="1239">+E1066</f>
        <v>#REF!</v>
      </c>
      <c r="F1067" s="26" t="e">
        <f t="shared" si="1239"/>
        <v>#REF!</v>
      </c>
      <c r="G1067" s="17">
        <v>10</v>
      </c>
      <c r="H1067" s="17" t="s">
        <v>9</v>
      </c>
      <c r="I1067" s="30" t="s">
        <v>23</v>
      </c>
      <c r="J1067" s="22">
        <v>0.8</v>
      </c>
      <c r="K1067" s="22">
        <v>0.55000000000000004</v>
      </c>
      <c r="L1067" s="8">
        <f t="shared" si="1225"/>
        <v>0.25</v>
      </c>
      <c r="M1067" s="24">
        <f t="shared" si="1209"/>
        <v>5.4229934924078091E-3</v>
      </c>
      <c r="N1067" s="14"/>
    </row>
    <row r="1068" spans="1:14" x14ac:dyDescent="0.25">
      <c r="A1068" s="20">
        <v>44544</v>
      </c>
      <c r="B1068" s="1">
        <f t="shared" ref="B1068" si="1240">B1058</f>
        <v>89</v>
      </c>
      <c r="C1068" s="1" t="s">
        <v>381</v>
      </c>
      <c r="D1068" s="1" t="s">
        <v>38</v>
      </c>
      <c r="E1068" s="26" t="e">
        <f t="shared" ref="E1068:F1068" si="1241">+E1067</f>
        <v>#REF!</v>
      </c>
      <c r="F1068" s="26" t="e">
        <f t="shared" si="1241"/>
        <v>#REF!</v>
      </c>
      <c r="G1068" s="17">
        <v>11</v>
      </c>
      <c r="H1068" s="17" t="s">
        <v>9</v>
      </c>
      <c r="I1068" s="30" t="s">
        <v>60</v>
      </c>
      <c r="J1068" s="22">
        <v>8.5</v>
      </c>
      <c r="K1068" s="22">
        <v>8.3000000000000007</v>
      </c>
      <c r="L1068" s="8">
        <f t="shared" si="1225"/>
        <v>0.19999999999999929</v>
      </c>
      <c r="M1068" s="24">
        <f t="shared" si="1209"/>
        <v>4.3383947939262318E-3</v>
      </c>
      <c r="N1068" s="14"/>
    </row>
    <row r="1069" spans="1:14" ht="15.75" thickBot="1" x14ac:dyDescent="0.3">
      <c r="A1069" s="20">
        <v>44544</v>
      </c>
      <c r="B1069" s="57">
        <f t="shared" ref="B1069" si="1242">B1058</f>
        <v>89</v>
      </c>
      <c r="C1069" s="1" t="s">
        <v>381</v>
      </c>
      <c r="D1069" s="1" t="s">
        <v>38</v>
      </c>
      <c r="E1069" s="26" t="e">
        <f t="shared" ref="E1069:F1069" si="1243">+E1068</f>
        <v>#REF!</v>
      </c>
      <c r="F1069" s="26" t="e">
        <f t="shared" si="1243"/>
        <v>#REF!</v>
      </c>
      <c r="G1069" s="18">
        <f>+G1068+1</f>
        <v>12</v>
      </c>
      <c r="H1069" s="18" t="s">
        <v>10</v>
      </c>
      <c r="I1069" s="46" t="s">
        <v>10</v>
      </c>
      <c r="J1069" s="22">
        <f>9.85+0.5+9.1</f>
        <v>19.45</v>
      </c>
      <c r="K1069" s="63">
        <f>8.5+8.55</f>
        <v>17.05</v>
      </c>
      <c r="L1069" s="8">
        <f t="shared" si="1225"/>
        <v>2.3999999999999986</v>
      </c>
      <c r="M1069" s="24">
        <f t="shared" si="1209"/>
        <v>5.2060737527114938E-2</v>
      </c>
      <c r="N1069" s="14" t="s">
        <v>384</v>
      </c>
    </row>
    <row r="1070" spans="1:14" x14ac:dyDescent="0.25">
      <c r="A1070" s="19">
        <v>44544</v>
      </c>
      <c r="B1070" s="15">
        <f t="shared" ref="B1070" si="1244">B1058+1</f>
        <v>90</v>
      </c>
      <c r="C1070" s="15" t="s">
        <v>382</v>
      </c>
      <c r="D1070" s="15" t="s">
        <v>38</v>
      </c>
      <c r="E1070" s="25"/>
      <c r="F1070" s="25">
        <f>+SUM(L1070:L1081)</f>
        <v>42.749999999999986</v>
      </c>
      <c r="G1070" s="16">
        <v>1</v>
      </c>
      <c r="H1070" s="16" t="s">
        <v>9</v>
      </c>
      <c r="I1070" s="59" t="s">
        <v>56</v>
      </c>
      <c r="J1070" s="21">
        <v>0.65</v>
      </c>
      <c r="K1070" s="21">
        <v>0.55000000000000004</v>
      </c>
      <c r="L1070" s="12">
        <f>+J1070-K1070</f>
        <v>9.9999999999999978E-2</v>
      </c>
      <c r="M1070" s="23">
        <f t="shared" si="1209"/>
        <v>2.3391812865497076E-3</v>
      </c>
      <c r="N1070" s="13"/>
    </row>
    <row r="1071" spans="1:14" x14ac:dyDescent="0.25">
      <c r="A1071" s="20">
        <v>44544</v>
      </c>
      <c r="B1071" s="1">
        <f t="shared" ref="B1071" si="1245">B1070</f>
        <v>90</v>
      </c>
      <c r="C1071" s="1" t="s">
        <v>382</v>
      </c>
      <c r="D1071" s="1" t="s">
        <v>38</v>
      </c>
      <c r="E1071" s="26">
        <f>+E1070</f>
        <v>0</v>
      </c>
      <c r="F1071" s="28" t="e">
        <f>+(F1070-E1070)/E1070</f>
        <v>#DIV/0!</v>
      </c>
      <c r="G1071" s="17">
        <v>2</v>
      </c>
      <c r="H1071" s="17" t="s">
        <v>9</v>
      </c>
      <c r="I1071" s="30" t="s">
        <v>57</v>
      </c>
      <c r="J1071" s="22">
        <v>0.7</v>
      </c>
      <c r="K1071" s="22">
        <v>0.5</v>
      </c>
      <c r="L1071" s="8">
        <f t="shared" ref="L1071:L1081" si="1246">+J1071-K1071</f>
        <v>0.19999999999999996</v>
      </c>
      <c r="M1071" s="24">
        <f t="shared" si="1209"/>
        <v>4.6783625730994153E-3</v>
      </c>
      <c r="N1071" s="14"/>
    </row>
    <row r="1072" spans="1:14" x14ac:dyDescent="0.25">
      <c r="A1072" s="20">
        <v>44544</v>
      </c>
      <c r="B1072" s="1">
        <f t="shared" ref="B1072" si="1247">B1070</f>
        <v>90</v>
      </c>
      <c r="C1072" s="1" t="s">
        <v>382</v>
      </c>
      <c r="D1072" s="1" t="s">
        <v>38</v>
      </c>
      <c r="E1072" s="26" t="e">
        <f>+#REF!</f>
        <v>#REF!</v>
      </c>
      <c r="F1072" s="26" t="e">
        <f>+#REF!</f>
        <v>#REF!</v>
      </c>
      <c r="G1072" s="17">
        <v>3</v>
      </c>
      <c r="H1072" s="17" t="s">
        <v>9</v>
      </c>
      <c r="I1072" s="30" t="s">
        <v>58</v>
      </c>
      <c r="J1072" s="22">
        <v>0.9</v>
      </c>
      <c r="K1072" s="22">
        <v>0.55000000000000004</v>
      </c>
      <c r="L1072" s="8">
        <f t="shared" si="1246"/>
        <v>0.35</v>
      </c>
      <c r="M1072" s="24">
        <f t="shared" si="1209"/>
        <v>8.1871345029239789E-3</v>
      </c>
      <c r="N1072" s="14"/>
    </row>
    <row r="1073" spans="1:14" x14ac:dyDescent="0.25">
      <c r="A1073" s="20">
        <v>44544</v>
      </c>
      <c r="B1073" s="1">
        <f t="shared" ref="B1073" si="1248">B1070</f>
        <v>90</v>
      </c>
      <c r="C1073" s="1" t="s">
        <v>382</v>
      </c>
      <c r="D1073" s="1" t="s">
        <v>38</v>
      </c>
      <c r="E1073" s="26" t="e">
        <f t="shared" ref="E1073:F1073" si="1249">+E1072</f>
        <v>#REF!</v>
      </c>
      <c r="F1073" s="26" t="e">
        <f t="shared" si="1249"/>
        <v>#REF!</v>
      </c>
      <c r="G1073" s="17">
        <v>4</v>
      </c>
      <c r="H1073" s="17" t="s">
        <v>9</v>
      </c>
      <c r="I1073" s="30" t="s">
        <v>22</v>
      </c>
      <c r="J1073" s="22">
        <v>0.05</v>
      </c>
      <c r="K1073" s="22">
        <v>0</v>
      </c>
      <c r="L1073" s="8">
        <f t="shared" si="1246"/>
        <v>0.05</v>
      </c>
      <c r="M1073" s="24">
        <f t="shared" si="1209"/>
        <v>1.1695906432748543E-3</v>
      </c>
      <c r="N1073" s="14"/>
    </row>
    <row r="1074" spans="1:14" x14ac:dyDescent="0.25">
      <c r="A1074" s="20">
        <v>44544</v>
      </c>
      <c r="B1074" s="1">
        <f t="shared" ref="B1074" si="1250">B1070</f>
        <v>90</v>
      </c>
      <c r="C1074" s="1" t="s">
        <v>382</v>
      </c>
      <c r="D1074" s="1" t="s">
        <v>38</v>
      </c>
      <c r="E1074" s="26" t="e">
        <f t="shared" ref="E1074:F1074" si="1251">+E1073</f>
        <v>#REF!</v>
      </c>
      <c r="F1074" s="26" t="e">
        <f t="shared" si="1251"/>
        <v>#REF!</v>
      </c>
      <c r="G1074" s="17">
        <v>5</v>
      </c>
      <c r="H1074" s="17" t="s">
        <v>9</v>
      </c>
      <c r="I1074" s="30" t="s">
        <v>34</v>
      </c>
      <c r="J1074" s="22">
        <v>0.6</v>
      </c>
      <c r="K1074" s="22">
        <v>0.55000000000000004</v>
      </c>
      <c r="L1074" s="8">
        <f t="shared" si="1246"/>
        <v>4.9999999999999933E-2</v>
      </c>
      <c r="M1074" s="24">
        <f t="shared" si="1209"/>
        <v>1.1695906432748527E-3</v>
      </c>
      <c r="N1074" s="14"/>
    </row>
    <row r="1075" spans="1:14" x14ac:dyDescent="0.25">
      <c r="A1075" s="20">
        <v>44544</v>
      </c>
      <c r="B1075" s="1">
        <f t="shared" ref="B1075" si="1252">B1070</f>
        <v>90</v>
      </c>
      <c r="C1075" s="1" t="s">
        <v>382</v>
      </c>
      <c r="D1075" s="1" t="s">
        <v>38</v>
      </c>
      <c r="E1075" s="26" t="e">
        <f t="shared" ref="E1075:F1075" si="1253">+E1074</f>
        <v>#REF!</v>
      </c>
      <c r="F1075" s="26" t="e">
        <f t="shared" si="1253"/>
        <v>#REF!</v>
      </c>
      <c r="G1075" s="17">
        <v>6</v>
      </c>
      <c r="H1075" s="17" t="s">
        <v>9</v>
      </c>
      <c r="I1075" s="30" t="s">
        <v>35</v>
      </c>
      <c r="J1075" s="22"/>
      <c r="K1075" s="22"/>
      <c r="L1075" s="8">
        <f t="shared" si="1246"/>
        <v>0</v>
      </c>
      <c r="M1075" s="24">
        <f t="shared" si="1209"/>
        <v>0</v>
      </c>
      <c r="N1075" s="14"/>
    </row>
    <row r="1076" spans="1:14" x14ac:dyDescent="0.25">
      <c r="A1076" s="20">
        <v>44544</v>
      </c>
      <c r="B1076" s="1">
        <f t="shared" ref="B1076" si="1254">B1070</f>
        <v>90</v>
      </c>
      <c r="C1076" s="1" t="s">
        <v>382</v>
      </c>
      <c r="D1076" s="1" t="s">
        <v>38</v>
      </c>
      <c r="E1076" s="26" t="e">
        <f t="shared" ref="E1076:F1076" si="1255">+E1075</f>
        <v>#REF!</v>
      </c>
      <c r="F1076" s="26" t="e">
        <f t="shared" si="1255"/>
        <v>#REF!</v>
      </c>
      <c r="G1076" s="17">
        <v>7</v>
      </c>
      <c r="H1076" s="17" t="s">
        <v>9</v>
      </c>
      <c r="I1076" s="30" t="s">
        <v>36</v>
      </c>
      <c r="J1076" s="22"/>
      <c r="K1076" s="22"/>
      <c r="L1076" s="8">
        <f t="shared" si="1246"/>
        <v>0</v>
      </c>
      <c r="M1076" s="24">
        <f t="shared" si="1209"/>
        <v>0</v>
      </c>
      <c r="N1076" s="14"/>
    </row>
    <row r="1077" spans="1:14" x14ac:dyDescent="0.25">
      <c r="A1077" s="20">
        <v>44544</v>
      </c>
      <c r="B1077" s="1">
        <f t="shared" ref="B1077" si="1256">B1070</f>
        <v>90</v>
      </c>
      <c r="C1077" s="1" t="s">
        <v>382</v>
      </c>
      <c r="D1077" s="1" t="s">
        <v>38</v>
      </c>
      <c r="E1077" s="26" t="e">
        <f>+E1076</f>
        <v>#REF!</v>
      </c>
      <c r="F1077" s="26" t="e">
        <f>+F1076</f>
        <v>#REF!</v>
      </c>
      <c r="G1077" s="17">
        <v>8</v>
      </c>
      <c r="H1077" s="17" t="s">
        <v>9</v>
      </c>
      <c r="I1077" s="30" t="s">
        <v>59</v>
      </c>
      <c r="J1077" s="22">
        <v>0.6</v>
      </c>
      <c r="K1077" s="22">
        <v>0.55000000000000004</v>
      </c>
      <c r="L1077" s="8">
        <f t="shared" si="1246"/>
        <v>4.9999999999999933E-2</v>
      </c>
      <c r="M1077" s="24">
        <f t="shared" si="1209"/>
        <v>1.1695906432748527E-3</v>
      </c>
      <c r="N1077" s="14"/>
    </row>
    <row r="1078" spans="1:14" x14ac:dyDescent="0.25">
      <c r="A1078" s="20">
        <v>44544</v>
      </c>
      <c r="B1078" s="1">
        <f t="shared" ref="B1078" si="1257">B1070</f>
        <v>90</v>
      </c>
      <c r="C1078" s="1" t="s">
        <v>382</v>
      </c>
      <c r="D1078" s="1" t="s">
        <v>38</v>
      </c>
      <c r="E1078" s="26" t="e">
        <f t="shared" ref="E1078:F1078" si="1258">+E1077</f>
        <v>#REF!</v>
      </c>
      <c r="F1078" s="26" t="e">
        <f t="shared" si="1258"/>
        <v>#REF!</v>
      </c>
      <c r="G1078" s="17">
        <v>9</v>
      </c>
      <c r="H1078" s="17" t="s">
        <v>9</v>
      </c>
      <c r="I1078" s="30" t="s">
        <v>38</v>
      </c>
      <c r="J1078" s="22">
        <f>18.4+19.6+18.55+16.4</f>
        <v>72.949999999999989</v>
      </c>
      <c r="K1078" s="22">
        <f>8.5+8.3+8.5+8.3</f>
        <v>33.6</v>
      </c>
      <c r="L1078" s="8">
        <f t="shared" si="1246"/>
        <v>39.349999999999987</v>
      </c>
      <c r="M1078" s="24">
        <f t="shared" si="1209"/>
        <v>0.92046783625730999</v>
      </c>
      <c r="N1078" s="14"/>
    </row>
    <row r="1079" spans="1:14" x14ac:dyDescent="0.25">
      <c r="A1079" s="20">
        <v>44544</v>
      </c>
      <c r="B1079" s="1">
        <f t="shared" ref="B1079" si="1259">B1070</f>
        <v>90</v>
      </c>
      <c r="C1079" s="1" t="s">
        <v>382</v>
      </c>
      <c r="D1079" s="1" t="s">
        <v>38</v>
      </c>
      <c r="E1079" s="26" t="e">
        <f t="shared" ref="E1079:F1079" si="1260">+E1078</f>
        <v>#REF!</v>
      </c>
      <c r="F1079" s="26" t="e">
        <f t="shared" si="1260"/>
        <v>#REF!</v>
      </c>
      <c r="G1079" s="17">
        <v>10</v>
      </c>
      <c r="H1079" s="17" t="s">
        <v>9</v>
      </c>
      <c r="I1079" s="30" t="s">
        <v>23</v>
      </c>
      <c r="J1079" s="22">
        <v>1.25</v>
      </c>
      <c r="K1079" s="22">
        <v>0.55000000000000004</v>
      </c>
      <c r="L1079" s="8">
        <f t="shared" si="1246"/>
        <v>0.7</v>
      </c>
      <c r="M1079" s="24">
        <f t="shared" si="1209"/>
        <v>1.6374269005847958E-2</v>
      </c>
      <c r="N1079" s="14"/>
    </row>
    <row r="1080" spans="1:14" x14ac:dyDescent="0.25">
      <c r="A1080" s="20">
        <v>44544</v>
      </c>
      <c r="B1080" s="1">
        <f t="shared" ref="B1080" si="1261">B1070</f>
        <v>90</v>
      </c>
      <c r="C1080" s="1" t="s">
        <v>382</v>
      </c>
      <c r="D1080" s="1" t="s">
        <v>38</v>
      </c>
      <c r="E1080" s="26" t="e">
        <f t="shared" ref="E1080:F1080" si="1262">+E1079</f>
        <v>#REF!</v>
      </c>
      <c r="F1080" s="26" t="e">
        <f t="shared" si="1262"/>
        <v>#REF!</v>
      </c>
      <c r="G1080" s="17">
        <v>11</v>
      </c>
      <c r="H1080" s="17" t="s">
        <v>9</v>
      </c>
      <c r="I1080" s="30" t="s">
        <v>60</v>
      </c>
      <c r="J1080" s="22">
        <v>8.9499999999999993</v>
      </c>
      <c r="K1080" s="22">
        <v>8.6</v>
      </c>
      <c r="L1080" s="8">
        <f t="shared" si="1246"/>
        <v>0.34999999999999964</v>
      </c>
      <c r="M1080" s="24">
        <f t="shared" si="1209"/>
        <v>8.1871345029239703E-3</v>
      </c>
      <c r="N1080" s="14"/>
    </row>
    <row r="1081" spans="1:14" ht="15.75" thickBot="1" x14ac:dyDescent="0.3">
      <c r="A1081" s="20">
        <v>44544</v>
      </c>
      <c r="B1081" s="57">
        <f t="shared" ref="B1081" si="1263">B1070</f>
        <v>90</v>
      </c>
      <c r="C1081" s="1" t="s">
        <v>382</v>
      </c>
      <c r="D1081" s="1" t="s">
        <v>38</v>
      </c>
      <c r="E1081" s="26" t="e">
        <f t="shared" ref="E1081:F1081" si="1264">+E1080</f>
        <v>#REF!</v>
      </c>
      <c r="F1081" s="26" t="e">
        <f t="shared" si="1264"/>
        <v>#REF!</v>
      </c>
      <c r="G1081" s="18">
        <f>+G1080+1</f>
        <v>12</v>
      </c>
      <c r="H1081" s="18" t="s">
        <v>10</v>
      </c>
      <c r="I1081" s="46" t="s">
        <v>10</v>
      </c>
      <c r="J1081" s="22">
        <v>10.1</v>
      </c>
      <c r="K1081" s="63">
        <v>8.5500000000000007</v>
      </c>
      <c r="L1081" s="8">
        <f t="shared" si="1246"/>
        <v>1.5499999999999989</v>
      </c>
      <c r="M1081" s="24">
        <f t="shared" si="1209"/>
        <v>3.6257309941520453E-2</v>
      </c>
      <c r="N1081" s="14"/>
    </row>
    <row r="1082" spans="1:14" x14ac:dyDescent="0.25">
      <c r="A1082" s="19">
        <v>44544</v>
      </c>
      <c r="B1082" s="15">
        <f t="shared" ref="B1082" si="1265">B1070+1</f>
        <v>91</v>
      </c>
      <c r="C1082" s="15" t="s">
        <v>383</v>
      </c>
      <c r="D1082" s="15" t="s">
        <v>38</v>
      </c>
      <c r="E1082" s="25"/>
      <c r="F1082" s="25">
        <f>+SUM(L1082:L1093)</f>
        <v>44.999999999999986</v>
      </c>
      <c r="G1082" s="16">
        <v>1</v>
      </c>
      <c r="H1082" s="16" t="s">
        <v>9</v>
      </c>
      <c r="I1082" s="59" t="s">
        <v>56</v>
      </c>
      <c r="J1082" s="21">
        <v>0.6</v>
      </c>
      <c r="K1082" s="21">
        <v>0.5</v>
      </c>
      <c r="L1082" s="12">
        <f>+J1082-K1082</f>
        <v>9.9999999999999978E-2</v>
      </c>
      <c r="M1082" s="23">
        <f t="shared" si="1209"/>
        <v>2.2222222222222222E-3</v>
      </c>
      <c r="N1082" s="13"/>
    </row>
    <row r="1083" spans="1:14" x14ac:dyDescent="0.25">
      <c r="A1083" s="20">
        <v>44544</v>
      </c>
      <c r="B1083" s="1">
        <f t="shared" ref="B1083" si="1266">B1082</f>
        <v>91</v>
      </c>
      <c r="C1083" s="1" t="s">
        <v>383</v>
      </c>
      <c r="D1083" s="1" t="s">
        <v>38</v>
      </c>
      <c r="E1083" s="26">
        <f>+E1082</f>
        <v>0</v>
      </c>
      <c r="F1083" s="28" t="e">
        <f>+(F1082-E1082)/E1082</f>
        <v>#DIV/0!</v>
      </c>
      <c r="G1083" s="17">
        <v>2</v>
      </c>
      <c r="H1083" s="17" t="s">
        <v>9</v>
      </c>
      <c r="I1083" s="30" t="s">
        <v>57</v>
      </c>
      <c r="J1083" s="22">
        <v>0.65</v>
      </c>
      <c r="K1083" s="22">
        <v>0.55000000000000004</v>
      </c>
      <c r="L1083" s="8">
        <f t="shared" ref="L1083:L1093" si="1267">+J1083-K1083</f>
        <v>9.9999999999999978E-2</v>
      </c>
      <c r="M1083" s="24">
        <f t="shared" si="1209"/>
        <v>2.2222222222222222E-3</v>
      </c>
      <c r="N1083" s="14"/>
    </row>
    <row r="1084" spans="1:14" x14ac:dyDescent="0.25">
      <c r="A1084" s="20">
        <v>44544</v>
      </c>
      <c r="B1084" s="1">
        <f t="shared" ref="B1084" si="1268">B1082</f>
        <v>91</v>
      </c>
      <c r="C1084" s="1" t="s">
        <v>383</v>
      </c>
      <c r="D1084" s="1" t="s">
        <v>38</v>
      </c>
      <c r="E1084" s="26" t="e">
        <f>+#REF!</f>
        <v>#REF!</v>
      </c>
      <c r="F1084" s="26" t="e">
        <f>+#REF!</f>
        <v>#REF!</v>
      </c>
      <c r="G1084" s="17">
        <v>3</v>
      </c>
      <c r="H1084" s="17" t="s">
        <v>9</v>
      </c>
      <c r="I1084" s="30" t="s">
        <v>58</v>
      </c>
      <c r="J1084" s="22">
        <v>0.75</v>
      </c>
      <c r="K1084" s="22">
        <v>0.55000000000000004</v>
      </c>
      <c r="L1084" s="8">
        <f t="shared" si="1267"/>
        <v>0.19999999999999996</v>
      </c>
      <c r="M1084" s="24">
        <f t="shared" si="1209"/>
        <v>4.4444444444444444E-3</v>
      </c>
      <c r="N1084" s="14"/>
    </row>
    <row r="1085" spans="1:14" x14ac:dyDescent="0.25">
      <c r="A1085" s="20">
        <v>44544</v>
      </c>
      <c r="B1085" s="1">
        <f t="shared" ref="B1085" si="1269">B1082</f>
        <v>91</v>
      </c>
      <c r="C1085" s="1" t="s">
        <v>383</v>
      </c>
      <c r="D1085" s="1" t="s">
        <v>38</v>
      </c>
      <c r="E1085" s="26" t="e">
        <f t="shared" ref="E1085:F1085" si="1270">+E1084</f>
        <v>#REF!</v>
      </c>
      <c r="F1085" s="26" t="e">
        <f t="shared" si="1270"/>
        <v>#REF!</v>
      </c>
      <c r="G1085" s="17">
        <v>4</v>
      </c>
      <c r="H1085" s="17" t="s">
        <v>9</v>
      </c>
      <c r="I1085" s="30" t="s">
        <v>22</v>
      </c>
      <c r="J1085" s="22">
        <v>0.55000000000000004</v>
      </c>
      <c r="K1085" s="22">
        <v>0.5</v>
      </c>
      <c r="L1085" s="8">
        <f t="shared" si="1267"/>
        <v>5.0000000000000044E-2</v>
      </c>
      <c r="M1085" s="24">
        <f t="shared" si="1209"/>
        <v>1.1111111111111124E-3</v>
      </c>
      <c r="N1085" s="14"/>
    </row>
    <row r="1086" spans="1:14" x14ac:dyDescent="0.25">
      <c r="A1086" s="20">
        <v>44544</v>
      </c>
      <c r="B1086" s="1">
        <f t="shared" ref="B1086" si="1271">B1082</f>
        <v>91</v>
      </c>
      <c r="C1086" s="1" t="s">
        <v>383</v>
      </c>
      <c r="D1086" s="1" t="s">
        <v>38</v>
      </c>
      <c r="E1086" s="26" t="e">
        <f t="shared" ref="E1086:F1086" si="1272">+E1085</f>
        <v>#REF!</v>
      </c>
      <c r="F1086" s="26" t="e">
        <f t="shared" si="1272"/>
        <v>#REF!</v>
      </c>
      <c r="G1086" s="17">
        <v>5</v>
      </c>
      <c r="H1086" s="17" t="s">
        <v>9</v>
      </c>
      <c r="I1086" s="30" t="s">
        <v>34</v>
      </c>
      <c r="J1086" s="22">
        <v>0.55000000000000004</v>
      </c>
      <c r="K1086" s="22">
        <v>0.5</v>
      </c>
      <c r="L1086" s="8">
        <f t="shared" si="1267"/>
        <v>5.0000000000000044E-2</v>
      </c>
      <c r="M1086" s="24">
        <f t="shared" si="1209"/>
        <v>1.1111111111111124E-3</v>
      </c>
      <c r="N1086" s="14"/>
    </row>
    <row r="1087" spans="1:14" x14ac:dyDescent="0.25">
      <c r="A1087" s="20">
        <v>44544</v>
      </c>
      <c r="B1087" s="1">
        <f t="shared" ref="B1087" si="1273">B1082</f>
        <v>91</v>
      </c>
      <c r="C1087" s="1" t="s">
        <v>383</v>
      </c>
      <c r="D1087" s="1" t="s">
        <v>38</v>
      </c>
      <c r="E1087" s="26" t="e">
        <f t="shared" ref="E1087:F1087" si="1274">+E1086</f>
        <v>#REF!</v>
      </c>
      <c r="F1087" s="26" t="e">
        <f t="shared" si="1274"/>
        <v>#REF!</v>
      </c>
      <c r="G1087" s="17">
        <v>6</v>
      </c>
      <c r="H1087" s="17" t="s">
        <v>9</v>
      </c>
      <c r="I1087" s="30" t="s">
        <v>35</v>
      </c>
      <c r="J1087" s="22"/>
      <c r="K1087" s="22"/>
      <c r="L1087" s="8">
        <f t="shared" si="1267"/>
        <v>0</v>
      </c>
      <c r="M1087" s="24">
        <f t="shared" si="1209"/>
        <v>0</v>
      </c>
      <c r="N1087" s="14"/>
    </row>
    <row r="1088" spans="1:14" x14ac:dyDescent="0.25">
      <c r="A1088" s="20">
        <v>44544</v>
      </c>
      <c r="B1088" s="1">
        <f t="shared" ref="B1088" si="1275">B1082</f>
        <v>91</v>
      </c>
      <c r="C1088" s="1" t="s">
        <v>383</v>
      </c>
      <c r="D1088" s="1" t="s">
        <v>38</v>
      </c>
      <c r="E1088" s="26" t="e">
        <f t="shared" ref="E1088:F1088" si="1276">+E1087</f>
        <v>#REF!</v>
      </c>
      <c r="F1088" s="26" t="e">
        <f t="shared" si="1276"/>
        <v>#REF!</v>
      </c>
      <c r="G1088" s="17">
        <v>7</v>
      </c>
      <c r="H1088" s="17" t="s">
        <v>9</v>
      </c>
      <c r="I1088" s="30" t="s">
        <v>36</v>
      </c>
      <c r="J1088" s="22"/>
      <c r="K1088" s="22"/>
      <c r="L1088" s="8">
        <f t="shared" si="1267"/>
        <v>0</v>
      </c>
      <c r="M1088" s="24">
        <f t="shared" si="1209"/>
        <v>0</v>
      </c>
      <c r="N1088" s="14"/>
    </row>
    <row r="1089" spans="1:14" x14ac:dyDescent="0.25">
      <c r="A1089" s="20">
        <v>44544</v>
      </c>
      <c r="B1089" s="1">
        <f t="shared" ref="B1089" si="1277">B1082</f>
        <v>91</v>
      </c>
      <c r="C1089" s="1" t="s">
        <v>383</v>
      </c>
      <c r="D1089" s="1" t="s">
        <v>38</v>
      </c>
      <c r="E1089" s="26" t="e">
        <f>+E1088</f>
        <v>#REF!</v>
      </c>
      <c r="F1089" s="26" t="e">
        <f>+F1088</f>
        <v>#REF!</v>
      </c>
      <c r="G1089" s="17">
        <v>8</v>
      </c>
      <c r="H1089" s="17" t="s">
        <v>9</v>
      </c>
      <c r="I1089" s="30" t="s">
        <v>59</v>
      </c>
      <c r="J1089" s="22"/>
      <c r="K1089" s="22"/>
      <c r="L1089" s="8">
        <f t="shared" si="1267"/>
        <v>0</v>
      </c>
      <c r="M1089" s="24">
        <f t="shared" si="1209"/>
        <v>0</v>
      </c>
      <c r="N1089" s="14"/>
    </row>
    <row r="1090" spans="1:14" x14ac:dyDescent="0.25">
      <c r="A1090" s="20">
        <v>44544</v>
      </c>
      <c r="B1090" s="1">
        <f t="shared" ref="B1090" si="1278">B1082</f>
        <v>91</v>
      </c>
      <c r="C1090" s="1" t="s">
        <v>383</v>
      </c>
      <c r="D1090" s="1" t="s">
        <v>38</v>
      </c>
      <c r="E1090" s="26" t="e">
        <f t="shared" ref="E1090:F1090" si="1279">+E1089</f>
        <v>#REF!</v>
      </c>
      <c r="F1090" s="26" t="e">
        <f t="shared" si="1279"/>
        <v>#REF!</v>
      </c>
      <c r="G1090" s="17">
        <v>9</v>
      </c>
      <c r="H1090" s="17" t="s">
        <v>9</v>
      </c>
      <c r="I1090" s="30" t="s">
        <v>38</v>
      </c>
      <c r="J1090" s="22">
        <f>19.8+19.1+19.8+19.15</f>
        <v>77.849999999999994</v>
      </c>
      <c r="K1090" s="22">
        <f>8.55+8.55+8.3+8.5</f>
        <v>33.900000000000006</v>
      </c>
      <c r="L1090" s="8">
        <f t="shared" si="1267"/>
        <v>43.949999999999989</v>
      </c>
      <c r="M1090" s="24">
        <f t="shared" si="1209"/>
        <v>0.97666666666666668</v>
      </c>
      <c r="N1090" s="14"/>
    </row>
    <row r="1091" spans="1:14" x14ac:dyDescent="0.25">
      <c r="A1091" s="20">
        <v>44544</v>
      </c>
      <c r="B1091" s="1">
        <f t="shared" ref="B1091" si="1280">B1082</f>
        <v>91</v>
      </c>
      <c r="C1091" s="1" t="s">
        <v>383</v>
      </c>
      <c r="D1091" s="1" t="s">
        <v>38</v>
      </c>
      <c r="E1091" s="26" t="e">
        <f t="shared" ref="E1091:F1091" si="1281">+E1090</f>
        <v>#REF!</v>
      </c>
      <c r="F1091" s="26" t="e">
        <f t="shared" si="1281"/>
        <v>#REF!</v>
      </c>
      <c r="G1091" s="17">
        <v>10</v>
      </c>
      <c r="H1091" s="17" t="s">
        <v>9</v>
      </c>
      <c r="I1091" s="30" t="s">
        <v>23</v>
      </c>
      <c r="J1091" s="22">
        <v>0.55000000000000004</v>
      </c>
      <c r="K1091" s="22">
        <v>0.5</v>
      </c>
      <c r="L1091" s="8">
        <f t="shared" si="1267"/>
        <v>5.0000000000000044E-2</v>
      </c>
      <c r="M1091" s="24">
        <f t="shared" si="1209"/>
        <v>1.1111111111111124E-3</v>
      </c>
      <c r="N1091" s="14"/>
    </row>
    <row r="1092" spans="1:14" x14ac:dyDescent="0.25">
      <c r="A1092" s="20">
        <v>44544</v>
      </c>
      <c r="B1092" s="1">
        <f t="shared" ref="B1092" si="1282">B1082</f>
        <v>91</v>
      </c>
      <c r="C1092" s="1" t="s">
        <v>383</v>
      </c>
      <c r="D1092" s="1" t="s">
        <v>38</v>
      </c>
      <c r="E1092" s="26" t="e">
        <f t="shared" ref="E1092:F1092" si="1283">+E1091</f>
        <v>#REF!</v>
      </c>
      <c r="F1092" s="26" t="e">
        <f t="shared" si="1283"/>
        <v>#REF!</v>
      </c>
      <c r="G1092" s="17">
        <v>11</v>
      </c>
      <c r="H1092" s="17" t="s">
        <v>9</v>
      </c>
      <c r="I1092" s="30" t="s">
        <v>60</v>
      </c>
      <c r="J1092" s="22">
        <v>8.35</v>
      </c>
      <c r="K1092" s="22">
        <v>8.3000000000000007</v>
      </c>
      <c r="L1092" s="8">
        <f t="shared" si="1267"/>
        <v>4.9999999999998934E-2</v>
      </c>
      <c r="M1092" s="24">
        <f t="shared" si="1209"/>
        <v>1.1111111111110877E-3</v>
      </c>
      <c r="N1092" s="14"/>
    </row>
    <row r="1093" spans="1:14" ht="15.75" thickBot="1" x14ac:dyDescent="0.3">
      <c r="A1093" s="20">
        <v>44544</v>
      </c>
      <c r="B1093" s="57">
        <f t="shared" ref="B1093" si="1284">B1082</f>
        <v>91</v>
      </c>
      <c r="C1093" s="1" t="s">
        <v>383</v>
      </c>
      <c r="D1093" s="1" t="s">
        <v>38</v>
      </c>
      <c r="E1093" s="26" t="e">
        <f t="shared" ref="E1093:F1093" si="1285">+E1092</f>
        <v>#REF!</v>
      </c>
      <c r="F1093" s="26" t="e">
        <f t="shared" si="1285"/>
        <v>#REF!</v>
      </c>
      <c r="G1093" s="18">
        <f>+G1092+1</f>
        <v>12</v>
      </c>
      <c r="H1093" s="18" t="s">
        <v>10</v>
      </c>
      <c r="I1093" s="46" t="s">
        <v>10</v>
      </c>
      <c r="J1093" s="22">
        <f>8.5+8.85</f>
        <v>17.350000000000001</v>
      </c>
      <c r="K1093" s="63">
        <f>8.3+8.6</f>
        <v>16.899999999999999</v>
      </c>
      <c r="L1093" s="8">
        <f t="shared" si="1267"/>
        <v>0.45000000000000284</v>
      </c>
      <c r="M1093" s="24">
        <f t="shared" si="1209"/>
        <v>1.0000000000000066E-2</v>
      </c>
      <c r="N1093" s="14"/>
    </row>
    <row r="1094" spans="1:14" x14ac:dyDescent="0.25">
      <c r="A1094" s="19">
        <v>44544</v>
      </c>
      <c r="B1094" s="15">
        <f t="shared" ref="B1094" si="1286">B1082+1</f>
        <v>92</v>
      </c>
      <c r="C1094" s="15" t="s">
        <v>385</v>
      </c>
      <c r="D1094" s="15" t="s">
        <v>179</v>
      </c>
      <c r="E1094" s="25"/>
      <c r="F1094" s="25">
        <f>+SUM(L1094:L1105)</f>
        <v>34.549999999999997</v>
      </c>
      <c r="G1094" s="16">
        <v>1</v>
      </c>
      <c r="H1094" s="16" t="s">
        <v>9</v>
      </c>
      <c r="I1094" s="59" t="s">
        <v>56</v>
      </c>
      <c r="J1094" s="21"/>
      <c r="K1094" s="21"/>
      <c r="L1094" s="12">
        <f>+J1094-K1094</f>
        <v>0</v>
      </c>
      <c r="M1094" s="23">
        <f t="shared" si="1209"/>
        <v>0</v>
      </c>
      <c r="N1094" s="13"/>
    </row>
    <row r="1095" spans="1:14" x14ac:dyDescent="0.25">
      <c r="A1095" s="20">
        <v>44544</v>
      </c>
      <c r="B1095" s="1">
        <f t="shared" ref="B1095" si="1287">B1094</f>
        <v>92</v>
      </c>
      <c r="C1095" s="1" t="s">
        <v>385</v>
      </c>
      <c r="D1095" s="1" t="s">
        <v>179</v>
      </c>
      <c r="E1095" s="26">
        <f>+E1094</f>
        <v>0</v>
      </c>
      <c r="F1095" s="28" t="e">
        <f>+(F1094-E1094)/E1094</f>
        <v>#DIV/0!</v>
      </c>
      <c r="G1095" s="17">
        <v>2</v>
      </c>
      <c r="H1095" s="17" t="s">
        <v>9</v>
      </c>
      <c r="I1095" s="30" t="s">
        <v>57</v>
      </c>
      <c r="J1095" s="22">
        <v>0.95</v>
      </c>
      <c r="K1095" s="22">
        <v>0.5</v>
      </c>
      <c r="L1095" s="8">
        <f t="shared" ref="L1095:L1105" si="1288">+J1095-K1095</f>
        <v>0.44999999999999996</v>
      </c>
      <c r="M1095" s="24">
        <f t="shared" si="1209"/>
        <v>1.3024602026049204E-2</v>
      </c>
      <c r="N1095" s="14"/>
    </row>
    <row r="1096" spans="1:14" x14ac:dyDescent="0.25">
      <c r="A1096" s="20">
        <v>44544</v>
      </c>
      <c r="B1096" s="1">
        <f t="shared" ref="B1096" si="1289">B1094</f>
        <v>92</v>
      </c>
      <c r="C1096" s="1" t="s">
        <v>385</v>
      </c>
      <c r="D1096" s="1" t="s">
        <v>179</v>
      </c>
      <c r="E1096" s="26" t="e">
        <f>+#REF!</f>
        <v>#REF!</v>
      </c>
      <c r="F1096" s="26" t="e">
        <f>+#REF!</f>
        <v>#REF!</v>
      </c>
      <c r="G1096" s="17">
        <v>3</v>
      </c>
      <c r="H1096" s="17" t="s">
        <v>9</v>
      </c>
      <c r="I1096" s="30" t="s">
        <v>58</v>
      </c>
      <c r="J1096" s="22">
        <v>0.6</v>
      </c>
      <c r="K1096" s="22">
        <v>0.55000000000000004</v>
      </c>
      <c r="L1096" s="8">
        <f t="shared" si="1288"/>
        <v>4.9999999999999933E-2</v>
      </c>
      <c r="M1096" s="24">
        <f t="shared" si="1209"/>
        <v>1.4471780028943542E-3</v>
      </c>
      <c r="N1096" s="14"/>
    </row>
    <row r="1097" spans="1:14" x14ac:dyDescent="0.25">
      <c r="A1097" s="20">
        <v>44544</v>
      </c>
      <c r="B1097" s="1">
        <f t="shared" ref="B1097" si="1290">B1094</f>
        <v>92</v>
      </c>
      <c r="C1097" s="1" t="s">
        <v>385</v>
      </c>
      <c r="D1097" s="1" t="s">
        <v>179</v>
      </c>
      <c r="E1097" s="26" t="e">
        <f t="shared" ref="E1097:F1097" si="1291">+E1096</f>
        <v>#REF!</v>
      </c>
      <c r="F1097" s="26" t="e">
        <f t="shared" si="1291"/>
        <v>#REF!</v>
      </c>
      <c r="G1097" s="17">
        <v>4</v>
      </c>
      <c r="H1097" s="17" t="s">
        <v>9</v>
      </c>
      <c r="I1097" s="30" t="s">
        <v>22</v>
      </c>
      <c r="J1097" s="22">
        <v>0.05</v>
      </c>
      <c r="K1097" s="22">
        <v>0</v>
      </c>
      <c r="L1097" s="8">
        <f t="shared" si="1288"/>
        <v>0.05</v>
      </c>
      <c r="M1097" s="24">
        <f t="shared" si="1209"/>
        <v>1.4471780028943561E-3</v>
      </c>
      <c r="N1097" s="14"/>
    </row>
    <row r="1098" spans="1:14" x14ac:dyDescent="0.25">
      <c r="A1098" s="20">
        <v>44544</v>
      </c>
      <c r="B1098" s="1">
        <f t="shared" ref="B1098" si="1292">B1094</f>
        <v>92</v>
      </c>
      <c r="C1098" s="1" t="s">
        <v>385</v>
      </c>
      <c r="D1098" s="1" t="s">
        <v>179</v>
      </c>
      <c r="E1098" s="26" t="e">
        <f t="shared" ref="E1098:F1098" si="1293">+E1097</f>
        <v>#REF!</v>
      </c>
      <c r="F1098" s="26" t="e">
        <f t="shared" si="1293"/>
        <v>#REF!</v>
      </c>
      <c r="G1098" s="17">
        <v>5</v>
      </c>
      <c r="H1098" s="17" t="s">
        <v>9</v>
      </c>
      <c r="I1098" s="30" t="s">
        <v>34</v>
      </c>
      <c r="J1098" s="22"/>
      <c r="K1098" s="22"/>
      <c r="L1098" s="8">
        <f t="shared" si="1288"/>
        <v>0</v>
      </c>
      <c r="M1098" s="24">
        <f>+L1098/SUMIF(C:C,C1098,L:L)</f>
        <v>0</v>
      </c>
      <c r="N1098" s="14"/>
    </row>
    <row r="1099" spans="1:14" x14ac:dyDescent="0.25">
      <c r="A1099" s="20">
        <v>44544</v>
      </c>
      <c r="B1099" s="1">
        <f t="shared" ref="B1099" si="1294">B1094</f>
        <v>92</v>
      </c>
      <c r="C1099" s="1" t="s">
        <v>385</v>
      </c>
      <c r="D1099" s="1" t="s">
        <v>179</v>
      </c>
      <c r="E1099" s="26" t="e">
        <f t="shared" ref="E1099:F1099" si="1295">+E1098</f>
        <v>#REF!</v>
      </c>
      <c r="F1099" s="26" t="e">
        <f t="shared" si="1295"/>
        <v>#REF!</v>
      </c>
      <c r="G1099" s="17">
        <v>6</v>
      </c>
      <c r="H1099" s="17" t="s">
        <v>9</v>
      </c>
      <c r="I1099" s="30" t="s">
        <v>35</v>
      </c>
      <c r="J1099" s="22">
        <v>0.6</v>
      </c>
      <c r="K1099" s="22">
        <v>0.55000000000000004</v>
      </c>
      <c r="L1099" s="8">
        <f t="shared" si="1288"/>
        <v>4.9999999999999933E-2</v>
      </c>
      <c r="M1099" s="24">
        <f t="shared" si="1209"/>
        <v>1.4471780028943542E-3</v>
      </c>
      <c r="N1099" s="14"/>
    </row>
    <row r="1100" spans="1:14" x14ac:dyDescent="0.25">
      <c r="A1100" s="20">
        <v>44544</v>
      </c>
      <c r="B1100" s="1">
        <f t="shared" ref="B1100" si="1296">B1094</f>
        <v>92</v>
      </c>
      <c r="C1100" s="1" t="s">
        <v>385</v>
      </c>
      <c r="D1100" s="1" t="s">
        <v>179</v>
      </c>
      <c r="E1100" s="26" t="e">
        <f t="shared" ref="E1100:F1100" si="1297">+E1099</f>
        <v>#REF!</v>
      </c>
      <c r="F1100" s="26" t="e">
        <f t="shared" si="1297"/>
        <v>#REF!</v>
      </c>
      <c r="G1100" s="17">
        <v>7</v>
      </c>
      <c r="H1100" s="17" t="s">
        <v>9</v>
      </c>
      <c r="I1100" s="30" t="s">
        <v>36</v>
      </c>
      <c r="J1100" s="22">
        <f>18.05+19.2</f>
        <v>37.25</v>
      </c>
      <c r="K1100" s="22">
        <f>6.05+6.05</f>
        <v>12.1</v>
      </c>
      <c r="L1100" s="8">
        <f t="shared" si="1288"/>
        <v>25.15</v>
      </c>
      <c r="M1100" s="24">
        <f t="shared" si="1209"/>
        <v>0.72793053545586106</v>
      </c>
      <c r="N1100" s="14"/>
    </row>
    <row r="1101" spans="1:14" x14ac:dyDescent="0.25">
      <c r="A1101" s="20">
        <v>44544</v>
      </c>
      <c r="B1101" s="1">
        <f t="shared" ref="B1101" si="1298">B1094</f>
        <v>92</v>
      </c>
      <c r="C1101" s="1" t="s">
        <v>385</v>
      </c>
      <c r="D1101" s="1" t="s">
        <v>179</v>
      </c>
      <c r="E1101" s="26" t="e">
        <f>+E1100</f>
        <v>#REF!</v>
      </c>
      <c r="F1101" s="26" t="e">
        <f>+F1100</f>
        <v>#REF!</v>
      </c>
      <c r="G1101" s="17">
        <v>8</v>
      </c>
      <c r="H1101" s="17" t="s">
        <v>9</v>
      </c>
      <c r="I1101" s="30" t="s">
        <v>59</v>
      </c>
      <c r="J1101" s="22">
        <f>9.25+0.9</f>
        <v>10.15</v>
      </c>
      <c r="K1101" s="22">
        <f>8.3+0.55</f>
        <v>8.8500000000000014</v>
      </c>
      <c r="L1101" s="8">
        <f t="shared" si="1288"/>
        <v>1.2999999999999989</v>
      </c>
      <c r="M1101" s="24">
        <f t="shared" si="1209"/>
        <v>3.7626628075253229E-2</v>
      </c>
      <c r="N1101" s="14"/>
    </row>
    <row r="1102" spans="1:14" x14ac:dyDescent="0.25">
      <c r="A1102" s="20">
        <v>44544</v>
      </c>
      <c r="B1102" s="1">
        <f t="shared" ref="B1102" si="1299">B1094</f>
        <v>92</v>
      </c>
      <c r="C1102" s="1" t="s">
        <v>385</v>
      </c>
      <c r="D1102" s="1" t="s">
        <v>179</v>
      </c>
      <c r="E1102" s="26" t="e">
        <f t="shared" ref="E1102:F1102" si="1300">+E1101</f>
        <v>#REF!</v>
      </c>
      <c r="F1102" s="26" t="e">
        <f t="shared" si="1300"/>
        <v>#REF!</v>
      </c>
      <c r="G1102" s="17">
        <v>9</v>
      </c>
      <c r="H1102" s="17" t="s">
        <v>9</v>
      </c>
      <c r="I1102" s="30" t="s">
        <v>38</v>
      </c>
      <c r="J1102" s="22">
        <v>0.3</v>
      </c>
      <c r="K1102" s="22">
        <v>0</v>
      </c>
      <c r="L1102" s="8">
        <f t="shared" si="1288"/>
        <v>0.3</v>
      </c>
      <c r="M1102" s="24">
        <f t="shared" si="1209"/>
        <v>8.6830680173661367E-3</v>
      </c>
      <c r="N1102" s="14"/>
    </row>
    <row r="1103" spans="1:14" x14ac:dyDescent="0.25">
      <c r="A1103" s="20">
        <v>44544</v>
      </c>
      <c r="B1103" s="1">
        <f t="shared" ref="B1103" si="1301">B1094</f>
        <v>92</v>
      </c>
      <c r="C1103" s="1" t="s">
        <v>385</v>
      </c>
      <c r="D1103" s="1" t="s">
        <v>179</v>
      </c>
      <c r="E1103" s="26" t="e">
        <f t="shared" ref="E1103:F1103" si="1302">+E1102</f>
        <v>#REF!</v>
      </c>
      <c r="F1103" s="26" t="e">
        <f t="shared" si="1302"/>
        <v>#REF!</v>
      </c>
      <c r="G1103" s="17">
        <v>10</v>
      </c>
      <c r="H1103" s="17" t="s">
        <v>9</v>
      </c>
      <c r="I1103" s="30" t="s">
        <v>23</v>
      </c>
      <c r="J1103" s="22">
        <f>11.6</f>
        <v>11.6</v>
      </c>
      <c r="K1103" s="22">
        <v>8.5500000000000007</v>
      </c>
      <c r="L1103" s="8">
        <f t="shared" si="1288"/>
        <v>3.0499999999999989</v>
      </c>
      <c r="M1103" s="24">
        <f t="shared" si="1209"/>
        <v>8.8277858176555687E-2</v>
      </c>
      <c r="N1103" s="14"/>
    </row>
    <row r="1104" spans="1:14" x14ac:dyDescent="0.25">
      <c r="A1104" s="20">
        <v>44544</v>
      </c>
      <c r="B1104" s="1">
        <f t="shared" ref="B1104" si="1303">B1094</f>
        <v>92</v>
      </c>
      <c r="C1104" s="1" t="s">
        <v>385</v>
      </c>
      <c r="D1104" s="1" t="s">
        <v>179</v>
      </c>
      <c r="E1104" s="26" t="e">
        <f t="shared" ref="E1104:F1104" si="1304">+E1103</f>
        <v>#REF!</v>
      </c>
      <c r="F1104" s="26" t="e">
        <f t="shared" si="1304"/>
        <v>#REF!</v>
      </c>
      <c r="G1104" s="17">
        <v>11</v>
      </c>
      <c r="H1104" s="17" t="s">
        <v>9</v>
      </c>
      <c r="I1104" s="30" t="s">
        <v>60</v>
      </c>
      <c r="J1104" s="22"/>
      <c r="K1104" s="22"/>
      <c r="L1104" s="8">
        <f t="shared" si="1288"/>
        <v>0</v>
      </c>
      <c r="M1104" s="24">
        <f t="shared" si="1209"/>
        <v>0</v>
      </c>
      <c r="N1104" s="14"/>
    </row>
    <row r="1105" spans="1:14" ht="15.75" thickBot="1" x14ac:dyDescent="0.3">
      <c r="A1105" s="20">
        <v>44544</v>
      </c>
      <c r="B1105" s="57">
        <f t="shared" ref="B1105" si="1305">B1094</f>
        <v>92</v>
      </c>
      <c r="C1105" s="1" t="s">
        <v>385</v>
      </c>
      <c r="D1105" s="1" t="s">
        <v>179</v>
      </c>
      <c r="E1105" s="26" t="e">
        <f t="shared" ref="E1105:F1105" si="1306">+E1104</f>
        <v>#REF!</v>
      </c>
      <c r="F1105" s="26" t="e">
        <f t="shared" si="1306"/>
        <v>#REF!</v>
      </c>
      <c r="G1105" s="18">
        <f>+G1104+1</f>
        <v>12</v>
      </c>
      <c r="H1105" s="18" t="s">
        <v>10</v>
      </c>
      <c r="I1105" s="46" t="s">
        <v>10</v>
      </c>
      <c r="J1105" s="22">
        <f>11.8+9.25</f>
        <v>21.05</v>
      </c>
      <c r="K1105" s="63">
        <f>8.6+8.3</f>
        <v>16.899999999999999</v>
      </c>
      <c r="L1105" s="8">
        <f t="shared" si="1288"/>
        <v>4.1500000000000021</v>
      </c>
      <c r="M1105" s="24">
        <f t="shared" si="1209"/>
        <v>0.12011577424023162</v>
      </c>
      <c r="N1105" s="14" t="s">
        <v>386</v>
      </c>
    </row>
    <row r="1106" spans="1:14" x14ac:dyDescent="0.25">
      <c r="A1106" s="19">
        <v>44544</v>
      </c>
      <c r="B1106" s="15">
        <f t="shared" ref="B1106" si="1307">B1094+1</f>
        <v>93</v>
      </c>
      <c r="C1106" s="15" t="s">
        <v>387</v>
      </c>
      <c r="D1106" s="15" t="s">
        <v>182</v>
      </c>
      <c r="E1106" s="25"/>
      <c r="F1106" s="25">
        <f>+SUM(L1106:L1117)</f>
        <v>19.149999999999988</v>
      </c>
      <c r="G1106" s="16">
        <v>1</v>
      </c>
      <c r="H1106" s="16" t="s">
        <v>9</v>
      </c>
      <c r="I1106" s="59" t="s">
        <v>56</v>
      </c>
      <c r="J1106" s="21">
        <v>1.2</v>
      </c>
      <c r="K1106" s="21">
        <v>0.5</v>
      </c>
      <c r="L1106" s="12">
        <f>+J1106-K1106</f>
        <v>0.7</v>
      </c>
      <c r="M1106" s="23">
        <f t="shared" si="1209"/>
        <v>3.6553524804177569E-2</v>
      </c>
      <c r="N1106" s="13"/>
    </row>
    <row r="1107" spans="1:14" x14ac:dyDescent="0.25">
      <c r="A1107" s="20">
        <v>44544</v>
      </c>
      <c r="B1107" s="1">
        <f t="shared" ref="B1107" si="1308">B1106</f>
        <v>93</v>
      </c>
      <c r="C1107" s="1" t="s">
        <v>387</v>
      </c>
      <c r="D1107" s="1" t="s">
        <v>182</v>
      </c>
      <c r="E1107" s="26">
        <f>+E1106</f>
        <v>0</v>
      </c>
      <c r="F1107" s="28" t="e">
        <f>+(F1106-E1106)/E1106</f>
        <v>#DIV/0!</v>
      </c>
      <c r="G1107" s="17">
        <v>2</v>
      </c>
      <c r="H1107" s="17" t="s">
        <v>9</v>
      </c>
      <c r="I1107" s="30" t="s">
        <v>57</v>
      </c>
      <c r="J1107" s="22">
        <f>10.45+12.05+13+12.3+10.05</f>
        <v>57.849999999999994</v>
      </c>
      <c r="K1107" s="22">
        <f>8.5+8.55+8.3+8.3+8.55</f>
        <v>42.2</v>
      </c>
      <c r="L1107" s="8">
        <f t="shared" ref="L1107:L1117" si="1309">+J1107-K1107</f>
        <v>15.649999999999991</v>
      </c>
      <c r="M1107" s="24">
        <f t="shared" si="1209"/>
        <v>0.81723237597911236</v>
      </c>
      <c r="N1107" s="14"/>
    </row>
    <row r="1108" spans="1:14" x14ac:dyDescent="0.25">
      <c r="A1108" s="20">
        <v>44544</v>
      </c>
      <c r="B1108" s="1">
        <f t="shared" ref="B1108" si="1310">B1106</f>
        <v>93</v>
      </c>
      <c r="C1108" s="1" t="s">
        <v>387</v>
      </c>
      <c r="D1108" s="1" t="s">
        <v>182</v>
      </c>
      <c r="E1108" s="26" t="e">
        <f>+#REF!</f>
        <v>#REF!</v>
      </c>
      <c r="F1108" s="26" t="e">
        <f>+#REF!</f>
        <v>#REF!</v>
      </c>
      <c r="G1108" s="17">
        <v>3</v>
      </c>
      <c r="H1108" s="17" t="s">
        <v>9</v>
      </c>
      <c r="I1108" s="30" t="s">
        <v>58</v>
      </c>
      <c r="J1108" s="22">
        <v>1.3</v>
      </c>
      <c r="K1108" s="22">
        <v>0.5</v>
      </c>
      <c r="L1108" s="8">
        <f t="shared" si="1309"/>
        <v>0.8</v>
      </c>
      <c r="M1108" s="24">
        <f t="shared" si="1209"/>
        <v>4.1775456919060081E-2</v>
      </c>
      <c r="N1108" s="14"/>
    </row>
    <row r="1109" spans="1:14" x14ac:dyDescent="0.25">
      <c r="A1109" s="20">
        <v>44544</v>
      </c>
      <c r="B1109" s="1">
        <f t="shared" ref="B1109" si="1311">B1106</f>
        <v>93</v>
      </c>
      <c r="C1109" s="1" t="s">
        <v>387</v>
      </c>
      <c r="D1109" s="1" t="s">
        <v>182</v>
      </c>
      <c r="E1109" s="26" t="e">
        <f t="shared" ref="E1109:F1109" si="1312">+E1108</f>
        <v>#REF!</v>
      </c>
      <c r="F1109" s="26" t="e">
        <f t="shared" si="1312"/>
        <v>#REF!</v>
      </c>
      <c r="G1109" s="17">
        <v>4</v>
      </c>
      <c r="H1109" s="17" t="s">
        <v>9</v>
      </c>
      <c r="I1109" s="30" t="s">
        <v>22</v>
      </c>
      <c r="J1109" s="22">
        <v>0.7</v>
      </c>
      <c r="K1109" s="22">
        <v>0.5</v>
      </c>
      <c r="L1109" s="8">
        <f t="shared" si="1309"/>
        <v>0.19999999999999996</v>
      </c>
      <c r="M1109" s="24">
        <f t="shared" si="1209"/>
        <v>1.0443864229765017E-2</v>
      </c>
      <c r="N1109" s="14"/>
    </row>
    <row r="1110" spans="1:14" x14ac:dyDescent="0.25">
      <c r="A1110" s="20">
        <v>44544</v>
      </c>
      <c r="B1110" s="1">
        <f t="shared" ref="B1110" si="1313">B1106</f>
        <v>93</v>
      </c>
      <c r="C1110" s="1" t="s">
        <v>387</v>
      </c>
      <c r="D1110" s="1" t="s">
        <v>182</v>
      </c>
      <c r="E1110" s="26" t="e">
        <f t="shared" ref="E1110:F1110" si="1314">+E1109</f>
        <v>#REF!</v>
      </c>
      <c r="F1110" s="26" t="e">
        <f t="shared" si="1314"/>
        <v>#REF!</v>
      </c>
      <c r="G1110" s="17">
        <v>5</v>
      </c>
      <c r="H1110" s="17" t="s">
        <v>9</v>
      </c>
      <c r="I1110" s="30" t="s">
        <v>34</v>
      </c>
      <c r="J1110" s="22">
        <f>0.65</f>
        <v>0.65</v>
      </c>
      <c r="K1110" s="22">
        <v>0.5</v>
      </c>
      <c r="L1110" s="8">
        <f t="shared" si="1309"/>
        <v>0.15000000000000002</v>
      </c>
      <c r="M1110" s="24">
        <f t="shared" si="1209"/>
        <v>7.832898172323766E-3</v>
      </c>
      <c r="N1110" s="14"/>
    </row>
    <row r="1111" spans="1:14" x14ac:dyDescent="0.25">
      <c r="A1111" s="20">
        <v>44544</v>
      </c>
      <c r="B1111" s="1">
        <f t="shared" ref="B1111" si="1315">B1106</f>
        <v>93</v>
      </c>
      <c r="C1111" s="1" t="s">
        <v>387</v>
      </c>
      <c r="D1111" s="1" t="s">
        <v>182</v>
      </c>
      <c r="E1111" s="26" t="e">
        <f t="shared" ref="E1111:F1111" si="1316">+E1110</f>
        <v>#REF!</v>
      </c>
      <c r="F1111" s="26" t="e">
        <f t="shared" si="1316"/>
        <v>#REF!</v>
      </c>
      <c r="G1111" s="17">
        <v>6</v>
      </c>
      <c r="H1111" s="17" t="s">
        <v>9</v>
      </c>
      <c r="I1111" s="30" t="s">
        <v>35</v>
      </c>
      <c r="J1111" s="22"/>
      <c r="K1111" s="22"/>
      <c r="L1111" s="8">
        <f t="shared" si="1309"/>
        <v>0</v>
      </c>
      <c r="M1111" s="24">
        <f t="shared" si="1209"/>
        <v>0</v>
      </c>
      <c r="N1111" s="14"/>
    </row>
    <row r="1112" spans="1:14" x14ac:dyDescent="0.25">
      <c r="A1112" s="20">
        <v>44544</v>
      </c>
      <c r="B1112" s="1">
        <f t="shared" ref="B1112" si="1317">B1106</f>
        <v>93</v>
      </c>
      <c r="C1112" s="1" t="s">
        <v>387</v>
      </c>
      <c r="D1112" s="1" t="s">
        <v>182</v>
      </c>
      <c r="E1112" s="26" t="e">
        <f t="shared" ref="E1112:F1112" si="1318">+E1111</f>
        <v>#REF!</v>
      </c>
      <c r="F1112" s="26" t="e">
        <f t="shared" si="1318"/>
        <v>#REF!</v>
      </c>
      <c r="G1112" s="17">
        <v>7</v>
      </c>
      <c r="H1112" s="17" t="s">
        <v>9</v>
      </c>
      <c r="I1112" s="30" t="s">
        <v>36</v>
      </c>
      <c r="J1112" s="22"/>
      <c r="K1112" s="22"/>
      <c r="L1112" s="8">
        <f t="shared" si="1309"/>
        <v>0</v>
      </c>
      <c r="M1112" s="24">
        <f t="shared" si="1209"/>
        <v>0</v>
      </c>
      <c r="N1112" s="14"/>
    </row>
    <row r="1113" spans="1:14" x14ac:dyDescent="0.25">
      <c r="A1113" s="20">
        <v>44544</v>
      </c>
      <c r="B1113" s="1">
        <f t="shared" ref="B1113" si="1319">B1106</f>
        <v>93</v>
      </c>
      <c r="C1113" s="1" t="s">
        <v>387</v>
      </c>
      <c r="D1113" s="1" t="s">
        <v>182</v>
      </c>
      <c r="E1113" s="26" t="e">
        <f>+E1112</f>
        <v>#REF!</v>
      </c>
      <c r="F1113" s="26" t="e">
        <f>+F1112</f>
        <v>#REF!</v>
      </c>
      <c r="G1113" s="17">
        <v>8</v>
      </c>
      <c r="H1113" s="17" t="s">
        <v>9</v>
      </c>
      <c r="I1113" s="30" t="s">
        <v>59</v>
      </c>
      <c r="J1113" s="22"/>
      <c r="K1113" s="22"/>
      <c r="L1113" s="8">
        <f t="shared" si="1309"/>
        <v>0</v>
      </c>
      <c r="M1113" s="24">
        <f t="shared" si="1209"/>
        <v>0</v>
      </c>
      <c r="N1113" s="14"/>
    </row>
    <row r="1114" spans="1:14" x14ac:dyDescent="0.25">
      <c r="A1114" s="20">
        <v>44544</v>
      </c>
      <c r="B1114" s="1">
        <f t="shared" ref="B1114" si="1320">B1106</f>
        <v>93</v>
      </c>
      <c r="C1114" s="1" t="s">
        <v>387</v>
      </c>
      <c r="D1114" s="1" t="s">
        <v>182</v>
      </c>
      <c r="E1114" s="26" t="e">
        <f t="shared" ref="E1114:F1114" si="1321">+E1113</f>
        <v>#REF!</v>
      </c>
      <c r="F1114" s="26" t="e">
        <f t="shared" si="1321"/>
        <v>#REF!</v>
      </c>
      <c r="G1114" s="17">
        <v>9</v>
      </c>
      <c r="H1114" s="17" t="s">
        <v>9</v>
      </c>
      <c r="I1114" s="30" t="s">
        <v>38</v>
      </c>
      <c r="J1114" s="22"/>
      <c r="K1114" s="22"/>
      <c r="L1114" s="8">
        <f t="shared" si="1309"/>
        <v>0</v>
      </c>
      <c r="M1114" s="24">
        <f t="shared" ref="M1114:M1177" si="1322">+L1114/SUMIF(C:C,C1114,L:L)</f>
        <v>0</v>
      </c>
      <c r="N1114" s="14"/>
    </row>
    <row r="1115" spans="1:14" x14ac:dyDescent="0.25">
      <c r="A1115" s="20">
        <v>44544</v>
      </c>
      <c r="B1115" s="1">
        <f t="shared" ref="B1115" si="1323">B1106</f>
        <v>93</v>
      </c>
      <c r="C1115" s="1" t="s">
        <v>387</v>
      </c>
      <c r="D1115" s="1" t="s">
        <v>182</v>
      </c>
      <c r="E1115" s="26" t="e">
        <f t="shared" ref="E1115:F1115" si="1324">+E1114</f>
        <v>#REF!</v>
      </c>
      <c r="F1115" s="26" t="e">
        <f t="shared" si="1324"/>
        <v>#REF!</v>
      </c>
      <c r="G1115" s="17">
        <v>10</v>
      </c>
      <c r="H1115" s="17" t="s">
        <v>9</v>
      </c>
      <c r="I1115" s="30" t="s">
        <v>23</v>
      </c>
      <c r="J1115" s="22">
        <v>0.8</v>
      </c>
      <c r="K1115" s="22">
        <v>0.5</v>
      </c>
      <c r="L1115" s="8">
        <f t="shared" si="1309"/>
        <v>0.30000000000000004</v>
      </c>
      <c r="M1115" s="24">
        <f t="shared" si="1322"/>
        <v>1.5665796344647532E-2</v>
      </c>
      <c r="N1115" s="14"/>
    </row>
    <row r="1116" spans="1:14" x14ac:dyDescent="0.25">
      <c r="A1116" s="20">
        <v>44544</v>
      </c>
      <c r="B1116" s="1">
        <f t="shared" ref="B1116" si="1325">B1106</f>
        <v>93</v>
      </c>
      <c r="C1116" s="1" t="s">
        <v>387</v>
      </c>
      <c r="D1116" s="1" t="s">
        <v>182</v>
      </c>
      <c r="E1116" s="26" t="e">
        <f t="shared" ref="E1116:F1116" si="1326">+E1115</f>
        <v>#REF!</v>
      </c>
      <c r="F1116" s="26" t="e">
        <f t="shared" si="1326"/>
        <v>#REF!</v>
      </c>
      <c r="G1116" s="17">
        <v>11</v>
      </c>
      <c r="H1116" s="17" t="s">
        <v>9</v>
      </c>
      <c r="I1116" s="30" t="s">
        <v>60</v>
      </c>
      <c r="J1116" s="22">
        <v>0.05</v>
      </c>
      <c r="K1116" s="22">
        <v>0</v>
      </c>
      <c r="L1116" s="8">
        <f t="shared" si="1309"/>
        <v>0.05</v>
      </c>
      <c r="M1116" s="24">
        <f t="shared" si="1322"/>
        <v>2.610966057441255E-3</v>
      </c>
      <c r="N1116" s="14"/>
    </row>
    <row r="1117" spans="1:14" ht="15.75" thickBot="1" x14ac:dyDescent="0.3">
      <c r="A1117" s="20">
        <v>44544</v>
      </c>
      <c r="B1117" s="57">
        <f t="shared" ref="B1117" si="1327">B1106</f>
        <v>93</v>
      </c>
      <c r="C1117" s="1" t="s">
        <v>387</v>
      </c>
      <c r="D1117" s="1" t="s">
        <v>182</v>
      </c>
      <c r="E1117" s="26" t="e">
        <f t="shared" ref="E1117:F1117" si="1328">+E1116</f>
        <v>#REF!</v>
      </c>
      <c r="F1117" s="26" t="e">
        <f t="shared" si="1328"/>
        <v>#REF!</v>
      </c>
      <c r="G1117" s="18">
        <f>+G1116+1</f>
        <v>12</v>
      </c>
      <c r="H1117" s="18" t="s">
        <v>10</v>
      </c>
      <c r="I1117" s="46" t="s">
        <v>10</v>
      </c>
      <c r="J1117" s="22">
        <f>8.9+9.25</f>
        <v>18.149999999999999</v>
      </c>
      <c r="K1117" s="63">
        <f>8.55+8.3</f>
        <v>16.850000000000001</v>
      </c>
      <c r="L1117" s="8">
        <f t="shared" si="1309"/>
        <v>1.2999999999999972</v>
      </c>
      <c r="M1117" s="24">
        <f t="shared" si="1322"/>
        <v>6.788511749347248E-2</v>
      </c>
      <c r="N1117" s="14"/>
    </row>
    <row r="1118" spans="1:14" x14ac:dyDescent="0.25">
      <c r="A1118" s="19">
        <v>44544</v>
      </c>
      <c r="B1118" s="15">
        <f t="shared" ref="B1118" si="1329">B1106+1</f>
        <v>94</v>
      </c>
      <c r="C1118" s="15" t="s">
        <v>388</v>
      </c>
      <c r="D1118" s="15" t="s">
        <v>182</v>
      </c>
      <c r="E1118" s="25"/>
      <c r="F1118" s="25">
        <f>+SUM(L1118:L1129)</f>
        <v>11.849999999999996</v>
      </c>
      <c r="G1118" s="16">
        <v>1</v>
      </c>
      <c r="H1118" s="16" t="s">
        <v>9</v>
      </c>
      <c r="I1118" s="59" t="s">
        <v>56</v>
      </c>
      <c r="J1118" s="21">
        <v>9.9</v>
      </c>
      <c r="K1118" s="21">
        <v>8.5500000000000007</v>
      </c>
      <c r="L1118" s="12">
        <f>+J1118-K1118</f>
        <v>1.3499999999999996</v>
      </c>
      <c r="M1118" s="23">
        <f t="shared" si="1322"/>
        <v>0.1139240506329114</v>
      </c>
      <c r="N1118" s="13"/>
    </row>
    <row r="1119" spans="1:14" x14ac:dyDescent="0.25">
      <c r="A1119" s="20">
        <v>44544</v>
      </c>
      <c r="B1119" s="1">
        <f t="shared" ref="B1119" si="1330">B1118</f>
        <v>94</v>
      </c>
      <c r="C1119" s="1" t="s">
        <v>388</v>
      </c>
      <c r="D1119" s="1" t="s">
        <v>182</v>
      </c>
      <c r="E1119" s="26">
        <f>+E1118</f>
        <v>0</v>
      </c>
      <c r="F1119" s="28" t="e">
        <f>+(F1118-E1118)/E1118</f>
        <v>#DIV/0!</v>
      </c>
      <c r="G1119" s="17">
        <v>2</v>
      </c>
      <c r="H1119" s="17" t="s">
        <v>9</v>
      </c>
      <c r="I1119" s="30" t="s">
        <v>57</v>
      </c>
      <c r="J1119" s="22">
        <f>11.1+10.65+10.8+10.25</f>
        <v>42.8</v>
      </c>
      <c r="K1119" s="22">
        <f>8.6+8.3+8.55+8.3</f>
        <v>33.75</v>
      </c>
      <c r="L1119" s="8">
        <f t="shared" ref="L1119:L1129" si="1331">+J1119-K1119</f>
        <v>9.0499999999999972</v>
      </c>
      <c r="M1119" s="24">
        <f t="shared" si="1322"/>
        <v>0.76371308016877637</v>
      </c>
      <c r="N1119" s="14"/>
    </row>
    <row r="1120" spans="1:14" x14ac:dyDescent="0.25">
      <c r="A1120" s="20">
        <v>44544</v>
      </c>
      <c r="B1120" s="1">
        <f t="shared" ref="B1120" si="1332">B1118</f>
        <v>94</v>
      </c>
      <c r="C1120" s="1" t="s">
        <v>388</v>
      </c>
      <c r="D1120" s="1" t="s">
        <v>182</v>
      </c>
      <c r="E1120" s="26" t="e">
        <f>+#REF!</f>
        <v>#REF!</v>
      </c>
      <c r="F1120" s="26" t="e">
        <f>+#REF!</f>
        <v>#REF!</v>
      </c>
      <c r="G1120" s="17">
        <v>3</v>
      </c>
      <c r="H1120" s="17" t="s">
        <v>9</v>
      </c>
      <c r="I1120" s="30" t="s">
        <v>58</v>
      </c>
      <c r="J1120" s="22">
        <v>0.9</v>
      </c>
      <c r="K1120" s="22">
        <v>0.5</v>
      </c>
      <c r="L1120" s="8">
        <f t="shared" si="1331"/>
        <v>0.4</v>
      </c>
      <c r="M1120" s="24">
        <f t="shared" si="1322"/>
        <v>3.3755274261603387E-2</v>
      </c>
      <c r="N1120" s="14"/>
    </row>
    <row r="1121" spans="1:14" x14ac:dyDescent="0.25">
      <c r="A1121" s="20">
        <v>44544</v>
      </c>
      <c r="B1121" s="1">
        <f t="shared" ref="B1121" si="1333">B1118</f>
        <v>94</v>
      </c>
      <c r="C1121" s="1" t="s">
        <v>388</v>
      </c>
      <c r="D1121" s="1" t="s">
        <v>182</v>
      </c>
      <c r="E1121" s="26" t="e">
        <f t="shared" ref="E1121:F1121" si="1334">+E1120</f>
        <v>#REF!</v>
      </c>
      <c r="F1121" s="26" t="e">
        <f t="shared" si="1334"/>
        <v>#REF!</v>
      </c>
      <c r="G1121" s="17">
        <v>4</v>
      </c>
      <c r="H1121" s="17" t="s">
        <v>9</v>
      </c>
      <c r="I1121" s="30" t="s">
        <v>22</v>
      </c>
      <c r="J1121" s="22">
        <v>0.1</v>
      </c>
      <c r="K1121" s="22">
        <v>0</v>
      </c>
      <c r="L1121" s="8">
        <f t="shared" si="1331"/>
        <v>0.1</v>
      </c>
      <c r="M1121" s="24">
        <f t="shared" si="1322"/>
        <v>8.4388185654008466E-3</v>
      </c>
      <c r="N1121" s="14"/>
    </row>
    <row r="1122" spans="1:14" x14ac:dyDescent="0.25">
      <c r="A1122" s="20">
        <v>44544</v>
      </c>
      <c r="B1122" s="1">
        <f t="shared" ref="B1122" si="1335">B1118</f>
        <v>94</v>
      </c>
      <c r="C1122" s="1" t="s">
        <v>388</v>
      </c>
      <c r="D1122" s="1" t="s">
        <v>182</v>
      </c>
      <c r="E1122" s="26" t="e">
        <f t="shared" ref="E1122:F1122" si="1336">+E1121</f>
        <v>#REF!</v>
      </c>
      <c r="F1122" s="26" t="e">
        <f t="shared" si="1336"/>
        <v>#REF!</v>
      </c>
      <c r="G1122" s="17">
        <v>5</v>
      </c>
      <c r="H1122" s="17" t="s">
        <v>9</v>
      </c>
      <c r="I1122" s="30" t="s">
        <v>34</v>
      </c>
      <c r="J1122" s="22">
        <v>0.05</v>
      </c>
      <c r="K1122" s="22">
        <v>0</v>
      </c>
      <c r="L1122" s="8">
        <f t="shared" si="1331"/>
        <v>0.05</v>
      </c>
      <c r="M1122" s="24">
        <f t="shared" si="1322"/>
        <v>4.2194092827004233E-3</v>
      </c>
      <c r="N1122" s="14"/>
    </row>
    <row r="1123" spans="1:14" x14ac:dyDescent="0.25">
      <c r="A1123" s="20">
        <v>44544</v>
      </c>
      <c r="B1123" s="1">
        <f t="shared" ref="B1123" si="1337">B1118</f>
        <v>94</v>
      </c>
      <c r="C1123" s="1" t="s">
        <v>388</v>
      </c>
      <c r="D1123" s="1" t="s">
        <v>182</v>
      </c>
      <c r="E1123" s="26" t="e">
        <f t="shared" ref="E1123:F1123" si="1338">+E1122</f>
        <v>#REF!</v>
      </c>
      <c r="F1123" s="26" t="e">
        <f t="shared" si="1338"/>
        <v>#REF!</v>
      </c>
      <c r="G1123" s="17">
        <v>6</v>
      </c>
      <c r="H1123" s="17" t="s">
        <v>9</v>
      </c>
      <c r="I1123" s="30" t="s">
        <v>35</v>
      </c>
      <c r="J1123" s="22"/>
      <c r="K1123" s="22"/>
      <c r="L1123" s="8">
        <f t="shared" si="1331"/>
        <v>0</v>
      </c>
      <c r="M1123" s="24">
        <f t="shared" si="1322"/>
        <v>0</v>
      </c>
      <c r="N1123" s="14"/>
    </row>
    <row r="1124" spans="1:14" x14ac:dyDescent="0.25">
      <c r="A1124" s="20">
        <v>44544</v>
      </c>
      <c r="B1124" s="1">
        <f t="shared" ref="B1124" si="1339">B1118</f>
        <v>94</v>
      </c>
      <c r="C1124" s="1" t="s">
        <v>388</v>
      </c>
      <c r="D1124" s="1" t="s">
        <v>182</v>
      </c>
      <c r="E1124" s="26" t="e">
        <f t="shared" ref="E1124:F1124" si="1340">+E1123</f>
        <v>#REF!</v>
      </c>
      <c r="F1124" s="26" t="e">
        <f t="shared" si="1340"/>
        <v>#REF!</v>
      </c>
      <c r="G1124" s="17">
        <v>7</v>
      </c>
      <c r="H1124" s="17" t="s">
        <v>9</v>
      </c>
      <c r="I1124" s="30" t="s">
        <v>36</v>
      </c>
      <c r="J1124" s="22"/>
      <c r="K1124" s="22"/>
      <c r="L1124" s="8">
        <f t="shared" si="1331"/>
        <v>0</v>
      </c>
      <c r="M1124" s="24">
        <f t="shared" si="1322"/>
        <v>0</v>
      </c>
      <c r="N1124" s="14"/>
    </row>
    <row r="1125" spans="1:14" x14ac:dyDescent="0.25">
      <c r="A1125" s="20">
        <v>44544</v>
      </c>
      <c r="B1125" s="1">
        <f t="shared" ref="B1125" si="1341">B1118</f>
        <v>94</v>
      </c>
      <c r="C1125" s="1" t="s">
        <v>388</v>
      </c>
      <c r="D1125" s="1" t="s">
        <v>182</v>
      </c>
      <c r="E1125" s="26" t="e">
        <f>+E1124</f>
        <v>#REF!</v>
      </c>
      <c r="F1125" s="26" t="e">
        <f>+F1124</f>
        <v>#REF!</v>
      </c>
      <c r="G1125" s="17">
        <v>8</v>
      </c>
      <c r="H1125" s="17" t="s">
        <v>9</v>
      </c>
      <c r="I1125" s="30" t="s">
        <v>59</v>
      </c>
      <c r="J1125" s="22">
        <v>0.7</v>
      </c>
      <c r="K1125" s="22">
        <v>0.5</v>
      </c>
      <c r="L1125" s="8">
        <f t="shared" si="1331"/>
        <v>0.19999999999999996</v>
      </c>
      <c r="M1125" s="24">
        <f t="shared" si="1322"/>
        <v>1.687763713080169E-2</v>
      </c>
      <c r="N1125" s="14"/>
    </row>
    <row r="1126" spans="1:14" x14ac:dyDescent="0.25">
      <c r="A1126" s="20">
        <v>44544</v>
      </c>
      <c r="B1126" s="1">
        <f t="shared" ref="B1126" si="1342">B1118</f>
        <v>94</v>
      </c>
      <c r="C1126" s="1" t="s">
        <v>388</v>
      </c>
      <c r="D1126" s="1" t="s">
        <v>182</v>
      </c>
      <c r="E1126" s="26" t="e">
        <f t="shared" ref="E1126:F1126" si="1343">+E1125</f>
        <v>#REF!</v>
      </c>
      <c r="F1126" s="26" t="e">
        <f t="shared" si="1343"/>
        <v>#REF!</v>
      </c>
      <c r="G1126" s="17">
        <v>9</v>
      </c>
      <c r="H1126" s="17" t="s">
        <v>9</v>
      </c>
      <c r="I1126" s="30" t="s">
        <v>38</v>
      </c>
      <c r="J1126" s="22"/>
      <c r="K1126" s="22"/>
      <c r="L1126" s="8">
        <f t="shared" si="1331"/>
        <v>0</v>
      </c>
      <c r="M1126" s="24">
        <f t="shared" si="1322"/>
        <v>0</v>
      </c>
      <c r="N1126" s="14"/>
    </row>
    <row r="1127" spans="1:14" x14ac:dyDescent="0.25">
      <c r="A1127" s="20">
        <v>44544</v>
      </c>
      <c r="B1127" s="1">
        <f t="shared" ref="B1127" si="1344">B1118</f>
        <v>94</v>
      </c>
      <c r="C1127" s="1" t="s">
        <v>388</v>
      </c>
      <c r="D1127" s="1" t="s">
        <v>182</v>
      </c>
      <c r="E1127" s="26" t="e">
        <f t="shared" ref="E1127:F1127" si="1345">+E1126</f>
        <v>#REF!</v>
      </c>
      <c r="F1127" s="26" t="e">
        <f t="shared" si="1345"/>
        <v>#REF!</v>
      </c>
      <c r="G1127" s="17">
        <v>10</v>
      </c>
      <c r="H1127" s="17" t="s">
        <v>9</v>
      </c>
      <c r="I1127" s="30" t="s">
        <v>23</v>
      </c>
      <c r="J1127" s="22">
        <v>0.65</v>
      </c>
      <c r="K1127" s="22">
        <v>0.5</v>
      </c>
      <c r="L1127" s="8">
        <f t="shared" si="1331"/>
        <v>0.15000000000000002</v>
      </c>
      <c r="M1127" s="24">
        <f t="shared" si="1322"/>
        <v>1.2658227848101273E-2</v>
      </c>
      <c r="N1127" s="14"/>
    </row>
    <row r="1128" spans="1:14" x14ac:dyDescent="0.25">
      <c r="A1128" s="20">
        <v>44544</v>
      </c>
      <c r="B1128" s="1">
        <f t="shared" ref="B1128" si="1346">B1118</f>
        <v>94</v>
      </c>
      <c r="C1128" s="1" t="s">
        <v>388</v>
      </c>
      <c r="D1128" s="1" t="s">
        <v>182</v>
      </c>
      <c r="E1128" s="26" t="e">
        <f t="shared" ref="E1128:F1128" si="1347">+E1127</f>
        <v>#REF!</v>
      </c>
      <c r="F1128" s="26" t="e">
        <f t="shared" si="1347"/>
        <v>#REF!</v>
      </c>
      <c r="G1128" s="17">
        <v>11</v>
      </c>
      <c r="H1128" s="17" t="s">
        <v>9</v>
      </c>
      <c r="I1128" s="30" t="s">
        <v>60</v>
      </c>
      <c r="J1128" s="22">
        <v>0.7</v>
      </c>
      <c r="K1128" s="22">
        <v>0.55000000000000004</v>
      </c>
      <c r="L1128" s="8">
        <f t="shared" si="1331"/>
        <v>0.14999999999999991</v>
      </c>
      <c r="M1128" s="24">
        <f t="shared" si="1322"/>
        <v>1.2658227848101262E-2</v>
      </c>
      <c r="N1128" s="14"/>
    </row>
    <row r="1129" spans="1:14" ht="15.75" thickBot="1" x14ac:dyDescent="0.3">
      <c r="A1129" s="20">
        <v>44544</v>
      </c>
      <c r="B1129" s="57">
        <f t="shared" ref="B1129" si="1348">B1118</f>
        <v>94</v>
      </c>
      <c r="C1129" s="1" t="s">
        <v>388</v>
      </c>
      <c r="D1129" s="1" t="s">
        <v>182</v>
      </c>
      <c r="E1129" s="26" t="e">
        <f t="shared" ref="E1129:F1129" si="1349">+E1128</f>
        <v>#REF!</v>
      </c>
      <c r="F1129" s="26" t="e">
        <f t="shared" si="1349"/>
        <v>#REF!</v>
      </c>
      <c r="G1129" s="18">
        <f>+G1128+1</f>
        <v>12</v>
      </c>
      <c r="H1129" s="18" t="s">
        <v>10</v>
      </c>
      <c r="I1129" s="46" t="s">
        <v>10</v>
      </c>
      <c r="J1129" s="22">
        <f>8.7+8.75</f>
        <v>17.45</v>
      </c>
      <c r="K1129" s="63">
        <f>8.55+8.5</f>
        <v>17.05</v>
      </c>
      <c r="L1129" s="8">
        <f t="shared" si="1331"/>
        <v>0.39999999999999858</v>
      </c>
      <c r="M1129" s="24">
        <f t="shared" si="1322"/>
        <v>3.3755274261603269E-2</v>
      </c>
      <c r="N1129" s="14"/>
    </row>
    <row r="1130" spans="1:14" x14ac:dyDescent="0.25">
      <c r="A1130" s="19">
        <v>44544</v>
      </c>
      <c r="B1130" s="15">
        <f t="shared" ref="B1130" si="1350">B1118+1</f>
        <v>95</v>
      </c>
      <c r="C1130" s="15" t="s">
        <v>389</v>
      </c>
      <c r="D1130" s="15" t="s">
        <v>182</v>
      </c>
      <c r="E1130" s="25"/>
      <c r="F1130" s="25">
        <f>+SUM(L1130:L1141)</f>
        <v>16.649999999999991</v>
      </c>
      <c r="G1130" s="16">
        <v>1</v>
      </c>
      <c r="H1130" s="16" t="s">
        <v>9</v>
      </c>
      <c r="I1130" s="59" t="s">
        <v>56</v>
      </c>
      <c r="J1130" s="21">
        <v>10.1</v>
      </c>
      <c r="K1130" s="21">
        <v>8.3000000000000007</v>
      </c>
      <c r="L1130" s="12">
        <f>+J1130-K1130</f>
        <v>1.7999999999999989</v>
      </c>
      <c r="M1130" s="23">
        <f t="shared" si="1322"/>
        <v>0.1081081081081081</v>
      </c>
      <c r="N1130" s="13"/>
    </row>
    <row r="1131" spans="1:14" x14ac:dyDescent="0.25">
      <c r="A1131" s="20">
        <v>44544</v>
      </c>
      <c r="B1131" s="1">
        <f t="shared" ref="B1131" si="1351">B1130</f>
        <v>95</v>
      </c>
      <c r="C1131" s="1" t="s">
        <v>389</v>
      </c>
      <c r="D1131" s="1" t="s">
        <v>182</v>
      </c>
      <c r="E1131" s="26">
        <f>+E1130</f>
        <v>0</v>
      </c>
      <c r="F1131" s="28" t="e">
        <f>+(F1130-E1130)/E1130</f>
        <v>#DIV/0!</v>
      </c>
      <c r="G1131" s="17">
        <v>2</v>
      </c>
      <c r="H1131" s="17" t="s">
        <v>9</v>
      </c>
      <c r="I1131" s="30" t="s">
        <v>57</v>
      </c>
      <c r="J1131" s="22">
        <f>11+12.2+11.6+12.35</f>
        <v>47.15</v>
      </c>
      <c r="K1131" s="22">
        <f>8.3+8.5+8.55+8.6</f>
        <v>33.950000000000003</v>
      </c>
      <c r="L1131" s="8">
        <f t="shared" ref="L1131:L1141" si="1352">+J1131-K1131</f>
        <v>13.199999999999996</v>
      </c>
      <c r="M1131" s="24">
        <f t="shared" si="1322"/>
        <v>0.79279279279279291</v>
      </c>
      <c r="N1131" s="14"/>
    </row>
    <row r="1132" spans="1:14" x14ac:dyDescent="0.25">
      <c r="A1132" s="20">
        <v>44544</v>
      </c>
      <c r="B1132" s="1">
        <f t="shared" ref="B1132" si="1353">B1130</f>
        <v>95</v>
      </c>
      <c r="C1132" s="1" t="s">
        <v>389</v>
      </c>
      <c r="D1132" s="1" t="s">
        <v>182</v>
      </c>
      <c r="E1132" s="26" t="e">
        <f>+#REF!</f>
        <v>#REF!</v>
      </c>
      <c r="F1132" s="26" t="e">
        <f>+#REF!</f>
        <v>#REF!</v>
      </c>
      <c r="G1132" s="17">
        <v>3</v>
      </c>
      <c r="H1132" s="17" t="s">
        <v>9</v>
      </c>
      <c r="I1132" s="30" t="s">
        <v>58</v>
      </c>
      <c r="J1132" s="22">
        <v>1</v>
      </c>
      <c r="K1132" s="22">
        <v>0.55000000000000004</v>
      </c>
      <c r="L1132" s="8">
        <f t="shared" si="1352"/>
        <v>0.44999999999999996</v>
      </c>
      <c r="M1132" s="24">
        <f t="shared" si="1322"/>
        <v>2.7027027027027039E-2</v>
      </c>
      <c r="N1132" s="14"/>
    </row>
    <row r="1133" spans="1:14" x14ac:dyDescent="0.25">
      <c r="A1133" s="20">
        <v>44544</v>
      </c>
      <c r="B1133" s="1">
        <f t="shared" ref="B1133" si="1354">B1130</f>
        <v>95</v>
      </c>
      <c r="C1133" s="1" t="s">
        <v>389</v>
      </c>
      <c r="D1133" s="1" t="s">
        <v>182</v>
      </c>
      <c r="E1133" s="26" t="e">
        <f t="shared" ref="E1133:F1133" si="1355">+E1132</f>
        <v>#REF!</v>
      </c>
      <c r="F1133" s="26" t="e">
        <f t="shared" si="1355"/>
        <v>#REF!</v>
      </c>
      <c r="G1133" s="17">
        <v>4</v>
      </c>
      <c r="H1133" s="17" t="s">
        <v>9</v>
      </c>
      <c r="I1133" s="30" t="s">
        <v>22</v>
      </c>
      <c r="J1133" s="22">
        <v>0.65</v>
      </c>
      <c r="K1133" s="22">
        <v>0.55000000000000004</v>
      </c>
      <c r="L1133" s="8">
        <f t="shared" si="1352"/>
        <v>9.9999999999999978E-2</v>
      </c>
      <c r="M1133" s="24">
        <f t="shared" si="1322"/>
        <v>6.0060060060060077E-3</v>
      </c>
      <c r="N1133" s="14"/>
    </row>
    <row r="1134" spans="1:14" x14ac:dyDescent="0.25">
      <c r="A1134" s="20">
        <v>44544</v>
      </c>
      <c r="B1134" s="1">
        <f t="shared" ref="B1134" si="1356">B1130</f>
        <v>95</v>
      </c>
      <c r="C1134" s="1" t="s">
        <v>389</v>
      </c>
      <c r="D1134" s="1" t="s">
        <v>182</v>
      </c>
      <c r="E1134" s="26" t="e">
        <f t="shared" ref="E1134:F1134" si="1357">+E1133</f>
        <v>#REF!</v>
      </c>
      <c r="F1134" s="26" t="e">
        <f t="shared" si="1357"/>
        <v>#REF!</v>
      </c>
      <c r="G1134" s="17">
        <v>5</v>
      </c>
      <c r="H1134" s="17" t="s">
        <v>9</v>
      </c>
      <c r="I1134" s="30" t="s">
        <v>34</v>
      </c>
      <c r="J1134" s="22"/>
      <c r="K1134" s="22"/>
      <c r="L1134" s="8">
        <f t="shared" si="1352"/>
        <v>0</v>
      </c>
      <c r="M1134" s="24">
        <f t="shared" si="1322"/>
        <v>0</v>
      </c>
      <c r="N1134" s="14"/>
    </row>
    <row r="1135" spans="1:14" x14ac:dyDescent="0.25">
      <c r="A1135" s="20">
        <v>44544</v>
      </c>
      <c r="B1135" s="1">
        <f t="shared" ref="B1135" si="1358">B1130</f>
        <v>95</v>
      </c>
      <c r="C1135" s="1" t="s">
        <v>389</v>
      </c>
      <c r="D1135" s="1" t="s">
        <v>182</v>
      </c>
      <c r="E1135" s="26" t="e">
        <f t="shared" ref="E1135:F1135" si="1359">+E1134</f>
        <v>#REF!</v>
      </c>
      <c r="F1135" s="26" t="e">
        <f t="shared" si="1359"/>
        <v>#REF!</v>
      </c>
      <c r="G1135" s="17">
        <v>6</v>
      </c>
      <c r="H1135" s="17" t="s">
        <v>9</v>
      </c>
      <c r="I1135" s="30" t="s">
        <v>35</v>
      </c>
      <c r="J1135" s="22"/>
      <c r="K1135" s="22"/>
      <c r="L1135" s="8">
        <f t="shared" si="1352"/>
        <v>0</v>
      </c>
      <c r="M1135" s="24">
        <f t="shared" si="1322"/>
        <v>0</v>
      </c>
      <c r="N1135" s="14"/>
    </row>
    <row r="1136" spans="1:14" x14ac:dyDescent="0.25">
      <c r="A1136" s="20">
        <v>44544</v>
      </c>
      <c r="B1136" s="1">
        <f t="shared" ref="B1136" si="1360">B1130</f>
        <v>95</v>
      </c>
      <c r="C1136" s="1" t="s">
        <v>389</v>
      </c>
      <c r="D1136" s="1" t="s">
        <v>182</v>
      </c>
      <c r="E1136" s="26" t="e">
        <f t="shared" ref="E1136:F1136" si="1361">+E1135</f>
        <v>#REF!</v>
      </c>
      <c r="F1136" s="26" t="e">
        <f t="shared" si="1361"/>
        <v>#REF!</v>
      </c>
      <c r="G1136" s="17">
        <v>7</v>
      </c>
      <c r="H1136" s="17" t="s">
        <v>9</v>
      </c>
      <c r="I1136" s="30" t="s">
        <v>36</v>
      </c>
      <c r="J1136" s="22"/>
      <c r="K1136" s="22"/>
      <c r="L1136" s="8">
        <f t="shared" si="1352"/>
        <v>0</v>
      </c>
      <c r="M1136" s="24">
        <f t="shared" si="1322"/>
        <v>0</v>
      </c>
      <c r="N1136" s="14"/>
    </row>
    <row r="1137" spans="1:14" x14ac:dyDescent="0.25">
      <c r="A1137" s="20">
        <v>44544</v>
      </c>
      <c r="B1137" s="1">
        <f t="shared" ref="B1137" si="1362">B1130</f>
        <v>95</v>
      </c>
      <c r="C1137" s="1" t="s">
        <v>389</v>
      </c>
      <c r="D1137" s="1" t="s">
        <v>182</v>
      </c>
      <c r="E1137" s="26" t="e">
        <f>+E1136</f>
        <v>#REF!</v>
      </c>
      <c r="F1137" s="26" t="e">
        <f>+F1136</f>
        <v>#REF!</v>
      </c>
      <c r="G1137" s="17">
        <v>8</v>
      </c>
      <c r="H1137" s="17" t="s">
        <v>9</v>
      </c>
      <c r="I1137" s="30" t="s">
        <v>59</v>
      </c>
      <c r="J1137" s="22"/>
      <c r="K1137" s="22"/>
      <c r="L1137" s="8">
        <f t="shared" si="1352"/>
        <v>0</v>
      </c>
      <c r="M1137" s="24">
        <f t="shared" si="1322"/>
        <v>0</v>
      </c>
      <c r="N1137" s="14"/>
    </row>
    <row r="1138" spans="1:14" x14ac:dyDescent="0.25">
      <c r="A1138" s="20">
        <v>44544</v>
      </c>
      <c r="B1138" s="1">
        <f t="shared" ref="B1138" si="1363">B1130</f>
        <v>95</v>
      </c>
      <c r="C1138" s="1" t="s">
        <v>389</v>
      </c>
      <c r="D1138" s="1" t="s">
        <v>182</v>
      </c>
      <c r="E1138" s="26" t="e">
        <f t="shared" ref="E1138:F1138" si="1364">+E1137</f>
        <v>#REF!</v>
      </c>
      <c r="F1138" s="26" t="e">
        <f t="shared" si="1364"/>
        <v>#REF!</v>
      </c>
      <c r="G1138" s="17">
        <v>9</v>
      </c>
      <c r="H1138" s="17" t="s">
        <v>9</v>
      </c>
      <c r="I1138" s="30" t="s">
        <v>38</v>
      </c>
      <c r="J1138" s="22">
        <v>0.6</v>
      </c>
      <c r="K1138" s="22">
        <v>0.5</v>
      </c>
      <c r="L1138" s="8">
        <f t="shared" si="1352"/>
        <v>9.9999999999999978E-2</v>
      </c>
      <c r="M1138" s="24">
        <f t="shared" si="1322"/>
        <v>6.0060060060060077E-3</v>
      </c>
      <c r="N1138" s="14"/>
    </row>
    <row r="1139" spans="1:14" x14ac:dyDescent="0.25">
      <c r="A1139" s="20">
        <v>44544</v>
      </c>
      <c r="B1139" s="1">
        <f t="shared" ref="B1139" si="1365">B1130</f>
        <v>95</v>
      </c>
      <c r="C1139" s="1" t="s">
        <v>389</v>
      </c>
      <c r="D1139" s="1" t="s">
        <v>182</v>
      </c>
      <c r="E1139" s="26" t="e">
        <f t="shared" ref="E1139:F1139" si="1366">+E1138</f>
        <v>#REF!</v>
      </c>
      <c r="F1139" s="26" t="e">
        <f t="shared" si="1366"/>
        <v>#REF!</v>
      </c>
      <c r="G1139" s="17">
        <v>10</v>
      </c>
      <c r="H1139" s="17" t="s">
        <v>9</v>
      </c>
      <c r="I1139" s="30" t="s">
        <v>23</v>
      </c>
      <c r="J1139" s="22">
        <v>0.75</v>
      </c>
      <c r="K1139" s="22">
        <v>0.5</v>
      </c>
      <c r="L1139" s="8">
        <f t="shared" si="1352"/>
        <v>0.25</v>
      </c>
      <c r="M1139" s="24">
        <f t="shared" si="1322"/>
        <v>1.5015015015015024E-2</v>
      </c>
      <c r="N1139" s="14"/>
    </row>
    <row r="1140" spans="1:14" x14ac:dyDescent="0.25">
      <c r="A1140" s="20">
        <v>44544</v>
      </c>
      <c r="B1140" s="1">
        <f t="shared" ref="B1140" si="1367">B1130</f>
        <v>95</v>
      </c>
      <c r="C1140" s="1" t="s">
        <v>389</v>
      </c>
      <c r="D1140" s="1" t="s">
        <v>182</v>
      </c>
      <c r="E1140" s="26" t="e">
        <f t="shared" ref="E1140:F1140" si="1368">+E1139</f>
        <v>#REF!</v>
      </c>
      <c r="F1140" s="26" t="e">
        <f t="shared" si="1368"/>
        <v>#REF!</v>
      </c>
      <c r="G1140" s="17">
        <v>11</v>
      </c>
      <c r="H1140" s="17" t="s">
        <v>9</v>
      </c>
      <c r="I1140" s="30" t="s">
        <v>60</v>
      </c>
      <c r="J1140" s="22">
        <v>0.6</v>
      </c>
      <c r="K1140" s="22">
        <v>0.55000000000000004</v>
      </c>
      <c r="L1140" s="8">
        <f t="shared" si="1352"/>
        <v>4.9999999999999933E-2</v>
      </c>
      <c r="M1140" s="24">
        <f t="shared" si="1322"/>
        <v>3.0030030030030004E-3</v>
      </c>
      <c r="N1140" s="14"/>
    </row>
    <row r="1141" spans="1:14" ht="15.75" thickBot="1" x14ac:dyDescent="0.3">
      <c r="A1141" s="20">
        <v>44544</v>
      </c>
      <c r="B1141" s="57">
        <f t="shared" ref="B1141" si="1369">B1130</f>
        <v>95</v>
      </c>
      <c r="C1141" s="1" t="s">
        <v>389</v>
      </c>
      <c r="D1141" s="1" t="s">
        <v>182</v>
      </c>
      <c r="E1141" s="26" t="e">
        <f t="shared" ref="E1141:F1141" si="1370">+E1140</f>
        <v>#REF!</v>
      </c>
      <c r="F1141" s="26" t="e">
        <f t="shared" si="1370"/>
        <v>#REF!</v>
      </c>
      <c r="G1141" s="18">
        <f>+G1140+1</f>
        <v>12</v>
      </c>
      <c r="H1141" s="18" t="s">
        <v>10</v>
      </c>
      <c r="I1141" s="46" t="s">
        <v>10</v>
      </c>
      <c r="J1141" s="22">
        <f>8.7+9.1</f>
        <v>17.799999999999997</v>
      </c>
      <c r="K1141" s="63">
        <f>8.55+8.55</f>
        <v>17.100000000000001</v>
      </c>
      <c r="L1141" s="8">
        <f t="shared" si="1352"/>
        <v>0.69999999999999574</v>
      </c>
      <c r="M1141" s="24">
        <f t="shared" si="1322"/>
        <v>4.2042042042041809E-2</v>
      </c>
      <c r="N1141" s="14"/>
    </row>
    <row r="1142" spans="1:14" x14ac:dyDescent="0.25">
      <c r="A1142" s="19">
        <v>44544</v>
      </c>
      <c r="B1142" s="15">
        <f t="shared" ref="B1142" si="1371">B1130+1</f>
        <v>96</v>
      </c>
      <c r="C1142" s="15" t="s">
        <v>390</v>
      </c>
      <c r="D1142" s="15" t="s">
        <v>178</v>
      </c>
      <c r="E1142" s="25"/>
      <c r="F1142" s="25">
        <f>+SUM(L1142:L1153)</f>
        <v>24.249999999999993</v>
      </c>
      <c r="G1142" s="16">
        <v>1</v>
      </c>
      <c r="H1142" s="16" t="s">
        <v>9</v>
      </c>
      <c r="I1142" s="59" t="s">
        <v>56</v>
      </c>
      <c r="J1142" s="21">
        <v>0.6</v>
      </c>
      <c r="K1142" s="21">
        <v>0.55000000000000004</v>
      </c>
      <c r="L1142" s="12">
        <f>+J1142-K1142</f>
        <v>4.9999999999999933E-2</v>
      </c>
      <c r="M1142" s="23">
        <f t="shared" si="1322"/>
        <v>2.0618556701030907E-3</v>
      </c>
      <c r="N1142" s="13"/>
    </row>
    <row r="1143" spans="1:14" x14ac:dyDescent="0.25">
      <c r="A1143" s="20">
        <v>44544</v>
      </c>
      <c r="B1143" s="1">
        <f t="shared" ref="B1143" si="1372">B1142</f>
        <v>96</v>
      </c>
      <c r="C1143" s="1" t="s">
        <v>390</v>
      </c>
      <c r="D1143" s="1" t="s">
        <v>178</v>
      </c>
      <c r="E1143" s="26">
        <f>+E1142</f>
        <v>0</v>
      </c>
      <c r="F1143" s="28" t="e">
        <f>+(F1142-E1142)/E1142</f>
        <v>#DIV/0!</v>
      </c>
      <c r="G1143" s="17">
        <v>2</v>
      </c>
      <c r="H1143" s="17" t="s">
        <v>9</v>
      </c>
      <c r="I1143" s="30" t="s">
        <v>57</v>
      </c>
      <c r="J1143" s="22">
        <f>10.15</f>
        <v>10.15</v>
      </c>
      <c r="K1143" s="22">
        <f>8.3</f>
        <v>8.3000000000000007</v>
      </c>
      <c r="L1143" s="8">
        <f t="shared" ref="L1143:L1153" si="1373">+J1143-K1143</f>
        <v>1.8499999999999996</v>
      </c>
      <c r="M1143" s="24">
        <f t="shared" si="1322"/>
        <v>7.628865979381444E-2</v>
      </c>
      <c r="N1143" s="14"/>
    </row>
    <row r="1144" spans="1:14" x14ac:dyDescent="0.25">
      <c r="A1144" s="20">
        <v>44544</v>
      </c>
      <c r="B1144" s="1">
        <f t="shared" ref="B1144" si="1374">B1142</f>
        <v>96</v>
      </c>
      <c r="C1144" s="1" t="s">
        <v>390</v>
      </c>
      <c r="D1144" s="1" t="s">
        <v>178</v>
      </c>
      <c r="E1144" s="26" t="e">
        <f>+#REF!</f>
        <v>#REF!</v>
      </c>
      <c r="F1144" s="26" t="e">
        <f>+#REF!</f>
        <v>#REF!</v>
      </c>
      <c r="G1144" s="17">
        <v>3</v>
      </c>
      <c r="H1144" s="17" t="s">
        <v>9</v>
      </c>
      <c r="I1144" s="30" t="s">
        <v>58</v>
      </c>
      <c r="J1144" s="22">
        <v>3.95</v>
      </c>
      <c r="K1144" s="22">
        <v>1.05</v>
      </c>
      <c r="L1144" s="8">
        <f t="shared" si="1373"/>
        <v>2.9000000000000004</v>
      </c>
      <c r="M1144" s="24">
        <f t="shared" si="1322"/>
        <v>0.11958762886597943</v>
      </c>
      <c r="N1144" s="14"/>
    </row>
    <row r="1145" spans="1:14" x14ac:dyDescent="0.25">
      <c r="A1145" s="20">
        <v>44544</v>
      </c>
      <c r="B1145" s="1">
        <f t="shared" ref="B1145" si="1375">B1142</f>
        <v>96</v>
      </c>
      <c r="C1145" s="1" t="s">
        <v>390</v>
      </c>
      <c r="D1145" s="1" t="s">
        <v>178</v>
      </c>
      <c r="E1145" s="26" t="e">
        <f t="shared" ref="E1145:F1145" si="1376">+E1144</f>
        <v>#REF!</v>
      </c>
      <c r="F1145" s="26" t="e">
        <f t="shared" si="1376"/>
        <v>#REF!</v>
      </c>
      <c r="G1145" s="17">
        <v>4</v>
      </c>
      <c r="H1145" s="17" t="s">
        <v>9</v>
      </c>
      <c r="I1145" s="30" t="s">
        <v>22</v>
      </c>
      <c r="J1145" s="22">
        <f>0.95+1.1</f>
        <v>2.0499999999999998</v>
      </c>
      <c r="K1145" s="22">
        <f>0.5+0.55</f>
        <v>1.05</v>
      </c>
      <c r="L1145" s="8">
        <f t="shared" si="1373"/>
        <v>0.99999999999999978</v>
      </c>
      <c r="M1145" s="24">
        <f t="shared" si="1322"/>
        <v>4.1237113402061862E-2</v>
      </c>
      <c r="N1145" s="14"/>
    </row>
    <row r="1146" spans="1:14" x14ac:dyDescent="0.25">
      <c r="A1146" s="20">
        <v>44544</v>
      </c>
      <c r="B1146" s="1">
        <f t="shared" ref="B1146" si="1377">B1142</f>
        <v>96</v>
      </c>
      <c r="C1146" s="1" t="s">
        <v>390</v>
      </c>
      <c r="D1146" s="1" t="s">
        <v>178</v>
      </c>
      <c r="E1146" s="26" t="e">
        <f t="shared" ref="E1146:F1146" si="1378">+E1145</f>
        <v>#REF!</v>
      </c>
      <c r="F1146" s="26" t="e">
        <f t="shared" si="1378"/>
        <v>#REF!</v>
      </c>
      <c r="G1146" s="17">
        <v>5</v>
      </c>
      <c r="H1146" s="17" t="s">
        <v>9</v>
      </c>
      <c r="I1146" s="30" t="s">
        <v>34</v>
      </c>
      <c r="J1146" s="22">
        <v>0.85</v>
      </c>
      <c r="K1146" s="22">
        <v>0.55000000000000004</v>
      </c>
      <c r="L1146" s="8">
        <f t="shared" si="1373"/>
        <v>0.29999999999999993</v>
      </c>
      <c r="M1146" s="24">
        <f t="shared" si="1322"/>
        <v>1.2371134020618558E-2</v>
      </c>
      <c r="N1146" s="14"/>
    </row>
    <row r="1147" spans="1:14" x14ac:dyDescent="0.25">
      <c r="A1147" s="20">
        <v>44544</v>
      </c>
      <c r="B1147" s="1">
        <f t="shared" ref="B1147" si="1379">B1142</f>
        <v>96</v>
      </c>
      <c r="C1147" s="1" t="s">
        <v>390</v>
      </c>
      <c r="D1147" s="1" t="s">
        <v>178</v>
      </c>
      <c r="E1147" s="26" t="e">
        <f t="shared" ref="E1147:F1147" si="1380">+E1146</f>
        <v>#REF!</v>
      </c>
      <c r="F1147" s="26" t="e">
        <f t="shared" si="1380"/>
        <v>#REF!</v>
      </c>
      <c r="G1147" s="17">
        <v>6</v>
      </c>
      <c r="H1147" s="17" t="s">
        <v>9</v>
      </c>
      <c r="I1147" s="30" t="s">
        <v>35</v>
      </c>
      <c r="J1147" s="22"/>
      <c r="K1147" s="22"/>
      <c r="L1147" s="8">
        <f t="shared" si="1373"/>
        <v>0</v>
      </c>
      <c r="M1147" s="24">
        <f t="shared" si="1322"/>
        <v>0</v>
      </c>
      <c r="N1147" s="14"/>
    </row>
    <row r="1148" spans="1:14" x14ac:dyDescent="0.25">
      <c r="A1148" s="20">
        <v>44544</v>
      </c>
      <c r="B1148" s="1">
        <f t="shared" ref="B1148" si="1381">B1142</f>
        <v>96</v>
      </c>
      <c r="C1148" s="1" t="s">
        <v>390</v>
      </c>
      <c r="D1148" s="1" t="s">
        <v>178</v>
      </c>
      <c r="E1148" s="26" t="e">
        <f t="shared" ref="E1148:F1148" si="1382">+E1147</f>
        <v>#REF!</v>
      </c>
      <c r="F1148" s="26" t="e">
        <f t="shared" si="1382"/>
        <v>#REF!</v>
      </c>
      <c r="G1148" s="17">
        <v>7</v>
      </c>
      <c r="H1148" s="17" t="s">
        <v>9</v>
      </c>
      <c r="I1148" s="30" t="s">
        <v>36</v>
      </c>
      <c r="J1148" s="22"/>
      <c r="K1148" s="22"/>
      <c r="L1148" s="8">
        <f t="shared" si="1373"/>
        <v>0</v>
      </c>
      <c r="M1148" s="24">
        <f t="shared" si="1322"/>
        <v>0</v>
      </c>
      <c r="N1148" s="14"/>
    </row>
    <row r="1149" spans="1:14" x14ac:dyDescent="0.25">
      <c r="A1149" s="20">
        <v>44544</v>
      </c>
      <c r="B1149" s="1">
        <f t="shared" ref="B1149" si="1383">B1142</f>
        <v>96</v>
      </c>
      <c r="C1149" s="1" t="s">
        <v>390</v>
      </c>
      <c r="D1149" s="1" t="s">
        <v>178</v>
      </c>
      <c r="E1149" s="26" t="e">
        <f>+E1148</f>
        <v>#REF!</v>
      </c>
      <c r="F1149" s="26" t="e">
        <f>+F1148</f>
        <v>#REF!</v>
      </c>
      <c r="G1149" s="17">
        <v>8</v>
      </c>
      <c r="H1149" s="17" t="s">
        <v>9</v>
      </c>
      <c r="I1149" s="30" t="s">
        <v>59</v>
      </c>
      <c r="J1149" s="22">
        <f>1.4+2.9</f>
        <v>4.3</v>
      </c>
      <c r="K1149" s="22">
        <f>0.5+0.55</f>
        <v>1.05</v>
      </c>
      <c r="L1149" s="8">
        <f t="shared" si="1373"/>
        <v>3.25</v>
      </c>
      <c r="M1149" s="24">
        <f t="shared" si="1322"/>
        <v>0.13402061855670108</v>
      </c>
      <c r="N1149" s="14"/>
    </row>
    <row r="1150" spans="1:14" x14ac:dyDescent="0.25">
      <c r="A1150" s="20">
        <v>44544</v>
      </c>
      <c r="B1150" s="1">
        <f t="shared" ref="B1150" si="1384">B1142</f>
        <v>96</v>
      </c>
      <c r="C1150" s="1" t="s">
        <v>390</v>
      </c>
      <c r="D1150" s="1" t="s">
        <v>178</v>
      </c>
      <c r="E1150" s="26" t="e">
        <f t="shared" ref="E1150:F1150" si="1385">+E1149</f>
        <v>#REF!</v>
      </c>
      <c r="F1150" s="26" t="e">
        <f t="shared" si="1385"/>
        <v>#REF!</v>
      </c>
      <c r="G1150" s="17">
        <v>9</v>
      </c>
      <c r="H1150" s="17" t="s">
        <v>9</v>
      </c>
      <c r="I1150" s="30" t="s">
        <v>38</v>
      </c>
      <c r="J1150" s="22"/>
      <c r="K1150" s="22"/>
      <c r="L1150" s="8">
        <f t="shared" si="1373"/>
        <v>0</v>
      </c>
      <c r="M1150" s="24">
        <f t="shared" si="1322"/>
        <v>0</v>
      </c>
      <c r="N1150" s="14"/>
    </row>
    <row r="1151" spans="1:14" x14ac:dyDescent="0.25">
      <c r="A1151" s="20">
        <v>44544</v>
      </c>
      <c r="B1151" s="1">
        <f t="shared" ref="B1151" si="1386">B1142</f>
        <v>96</v>
      </c>
      <c r="C1151" s="1" t="s">
        <v>390</v>
      </c>
      <c r="D1151" s="1" t="s">
        <v>178</v>
      </c>
      <c r="E1151" s="26" t="e">
        <f t="shared" ref="E1151:F1151" si="1387">+E1150</f>
        <v>#REF!</v>
      </c>
      <c r="F1151" s="26" t="e">
        <f t="shared" si="1387"/>
        <v>#REF!</v>
      </c>
      <c r="G1151" s="17">
        <v>10</v>
      </c>
      <c r="H1151" s="17" t="s">
        <v>9</v>
      </c>
      <c r="I1151" s="30" t="s">
        <v>23</v>
      </c>
      <c r="J1151" s="22">
        <f>10.4+10.65</f>
        <v>21.05</v>
      </c>
      <c r="K1151" s="22">
        <f>8.55+8.55</f>
        <v>17.100000000000001</v>
      </c>
      <c r="L1151" s="8">
        <f t="shared" si="1373"/>
        <v>3.9499999999999993</v>
      </c>
      <c r="M1151" s="24">
        <f t="shared" si="1322"/>
        <v>0.16288659793814436</v>
      </c>
      <c r="N1151" s="14"/>
    </row>
    <row r="1152" spans="1:14" x14ac:dyDescent="0.25">
      <c r="A1152" s="20">
        <v>44544</v>
      </c>
      <c r="B1152" s="1">
        <f t="shared" ref="B1152" si="1388">B1142</f>
        <v>96</v>
      </c>
      <c r="C1152" s="1" t="s">
        <v>390</v>
      </c>
      <c r="D1152" s="1" t="s">
        <v>178</v>
      </c>
      <c r="E1152" s="26" t="e">
        <f t="shared" ref="E1152:F1152" si="1389">+E1151</f>
        <v>#REF!</v>
      </c>
      <c r="F1152" s="26" t="e">
        <f t="shared" si="1389"/>
        <v>#REF!</v>
      </c>
      <c r="G1152" s="17">
        <v>11</v>
      </c>
      <c r="H1152" s="17" t="s">
        <v>9</v>
      </c>
      <c r="I1152" s="30" t="s">
        <v>60</v>
      </c>
      <c r="J1152" s="22">
        <f>8.75+8.75</f>
        <v>17.5</v>
      </c>
      <c r="K1152" s="22">
        <f>8.55+8.3</f>
        <v>16.850000000000001</v>
      </c>
      <c r="L1152" s="8">
        <f t="shared" si="1373"/>
        <v>0.64999999999999858</v>
      </c>
      <c r="M1152" s="24">
        <f t="shared" si="1322"/>
        <v>2.6804123711340156E-2</v>
      </c>
      <c r="N1152" s="14"/>
    </row>
    <row r="1153" spans="1:14" ht="15.75" thickBot="1" x14ac:dyDescent="0.3">
      <c r="A1153" s="20">
        <v>44544</v>
      </c>
      <c r="B1153" s="57">
        <f t="shared" ref="B1153" si="1390">B1142</f>
        <v>96</v>
      </c>
      <c r="C1153" s="1" t="s">
        <v>390</v>
      </c>
      <c r="D1153" s="1" t="s">
        <v>178</v>
      </c>
      <c r="E1153" s="26" t="e">
        <f t="shared" ref="E1153:F1153" si="1391">+E1152</f>
        <v>#REF!</v>
      </c>
      <c r="F1153" s="26" t="e">
        <f t="shared" si="1391"/>
        <v>#REF!</v>
      </c>
      <c r="G1153" s="18">
        <f>+G1152+1</f>
        <v>12</v>
      </c>
      <c r="H1153" s="18" t="s">
        <v>10</v>
      </c>
      <c r="I1153" s="46" t="s">
        <v>10</v>
      </c>
      <c r="J1153" s="22">
        <f>10.9+11+10.3+12</f>
        <v>44.2</v>
      </c>
      <c r="K1153" s="63">
        <f>8.3+8.55+8.55+8.5</f>
        <v>33.900000000000006</v>
      </c>
      <c r="L1153" s="8">
        <f t="shared" si="1373"/>
        <v>10.299999999999997</v>
      </c>
      <c r="M1153" s="24">
        <f t="shared" si="1322"/>
        <v>0.4247422680412371</v>
      </c>
      <c r="N1153" s="14"/>
    </row>
    <row r="1154" spans="1:14" x14ac:dyDescent="0.25">
      <c r="A1154" s="19">
        <v>44544</v>
      </c>
      <c r="B1154" s="15">
        <f t="shared" ref="B1154" si="1392">B1142+1</f>
        <v>97</v>
      </c>
      <c r="C1154" s="15" t="s">
        <v>391</v>
      </c>
      <c r="D1154" s="15" t="s">
        <v>178</v>
      </c>
      <c r="E1154" s="25"/>
      <c r="F1154" s="25">
        <f>+SUM(L1154:L1165)</f>
        <v>23.450000000000003</v>
      </c>
      <c r="G1154" s="16">
        <v>1</v>
      </c>
      <c r="H1154" s="16" t="s">
        <v>9</v>
      </c>
      <c r="I1154" s="59" t="s">
        <v>56</v>
      </c>
      <c r="J1154" s="21">
        <v>0.8</v>
      </c>
      <c r="K1154" s="21">
        <v>0.55000000000000004</v>
      </c>
      <c r="L1154" s="12">
        <f>+J1154-K1154</f>
        <v>0.25</v>
      </c>
      <c r="M1154" s="23">
        <f t="shared" si="1322"/>
        <v>1.066098081023454E-2</v>
      </c>
      <c r="N1154" s="13"/>
    </row>
    <row r="1155" spans="1:14" x14ac:dyDescent="0.25">
      <c r="A1155" s="20">
        <v>44544</v>
      </c>
      <c r="B1155" s="1">
        <f t="shared" ref="B1155" si="1393">B1154</f>
        <v>97</v>
      </c>
      <c r="C1155" s="1" t="s">
        <v>391</v>
      </c>
      <c r="D1155" s="1" t="s">
        <v>178</v>
      </c>
      <c r="E1155" s="26">
        <f>+E1154</f>
        <v>0</v>
      </c>
      <c r="F1155" s="28" t="e">
        <f>+(F1154-E1154)/E1154</f>
        <v>#DIV/0!</v>
      </c>
      <c r="G1155" s="17">
        <v>2</v>
      </c>
      <c r="H1155" s="17" t="s">
        <v>9</v>
      </c>
      <c r="I1155" s="30" t="s">
        <v>57</v>
      </c>
      <c r="J1155" s="22">
        <f>9.75+9.55</f>
        <v>19.3</v>
      </c>
      <c r="K1155" s="22">
        <f>8.55+8.55</f>
        <v>17.100000000000001</v>
      </c>
      <c r="L1155" s="8">
        <f t="shared" ref="L1155:L1165" si="1394">+J1155-K1155</f>
        <v>2.1999999999999993</v>
      </c>
      <c r="M1155" s="24">
        <f t="shared" si="1322"/>
        <v>9.3816631130063929E-2</v>
      </c>
      <c r="N1155" s="14"/>
    </row>
    <row r="1156" spans="1:14" x14ac:dyDescent="0.25">
      <c r="A1156" s="20">
        <v>44544</v>
      </c>
      <c r="B1156" s="1">
        <f t="shared" ref="B1156" si="1395">B1154</f>
        <v>97</v>
      </c>
      <c r="C1156" s="1" t="s">
        <v>391</v>
      </c>
      <c r="D1156" s="1" t="s">
        <v>178</v>
      </c>
      <c r="E1156" s="26" t="e">
        <f>+#REF!</f>
        <v>#REF!</v>
      </c>
      <c r="F1156" s="26" t="e">
        <f>+#REF!</f>
        <v>#REF!</v>
      </c>
      <c r="G1156" s="17">
        <v>3</v>
      </c>
      <c r="H1156" s="17" t="s">
        <v>9</v>
      </c>
      <c r="I1156" s="30" t="s">
        <v>58</v>
      </c>
      <c r="J1156" s="22">
        <f>3.1+1.3</f>
        <v>4.4000000000000004</v>
      </c>
      <c r="K1156" s="22">
        <f>1.1+0.55</f>
        <v>1.6500000000000001</v>
      </c>
      <c r="L1156" s="8">
        <f t="shared" si="1394"/>
        <v>2.75</v>
      </c>
      <c r="M1156" s="24">
        <f t="shared" si="1322"/>
        <v>0.11727078891257994</v>
      </c>
      <c r="N1156" s="14"/>
    </row>
    <row r="1157" spans="1:14" x14ac:dyDescent="0.25">
      <c r="A1157" s="20">
        <v>44544</v>
      </c>
      <c r="B1157" s="1">
        <f t="shared" ref="B1157" si="1396">B1154</f>
        <v>97</v>
      </c>
      <c r="C1157" s="1" t="s">
        <v>391</v>
      </c>
      <c r="D1157" s="1" t="s">
        <v>178</v>
      </c>
      <c r="E1157" s="26" t="e">
        <f t="shared" ref="E1157:F1157" si="1397">+E1156</f>
        <v>#REF!</v>
      </c>
      <c r="F1157" s="26" t="e">
        <f t="shared" si="1397"/>
        <v>#REF!</v>
      </c>
      <c r="G1157" s="17">
        <v>4</v>
      </c>
      <c r="H1157" s="17" t="s">
        <v>9</v>
      </c>
      <c r="I1157" s="30" t="s">
        <v>22</v>
      </c>
      <c r="J1157" s="22">
        <v>1.2</v>
      </c>
      <c r="K1157" s="22">
        <v>0.5</v>
      </c>
      <c r="L1157" s="8">
        <f t="shared" si="1394"/>
        <v>0.7</v>
      </c>
      <c r="M1157" s="24">
        <f t="shared" si="1322"/>
        <v>2.9850746268656712E-2</v>
      </c>
      <c r="N1157" s="14"/>
    </row>
    <row r="1158" spans="1:14" x14ac:dyDescent="0.25">
      <c r="A1158" s="20">
        <v>44544</v>
      </c>
      <c r="B1158" s="1">
        <f t="shared" ref="B1158" si="1398">B1154</f>
        <v>97</v>
      </c>
      <c r="C1158" s="1" t="s">
        <v>391</v>
      </c>
      <c r="D1158" s="1" t="s">
        <v>178</v>
      </c>
      <c r="E1158" s="26" t="e">
        <f t="shared" ref="E1158:F1158" si="1399">+E1157</f>
        <v>#REF!</v>
      </c>
      <c r="F1158" s="26" t="e">
        <f t="shared" si="1399"/>
        <v>#REF!</v>
      </c>
      <c r="G1158" s="17">
        <v>5</v>
      </c>
      <c r="H1158" s="17" t="s">
        <v>9</v>
      </c>
      <c r="I1158" s="30" t="s">
        <v>34</v>
      </c>
      <c r="J1158" s="22">
        <v>0.95</v>
      </c>
      <c r="K1158" s="22">
        <v>0.55000000000000004</v>
      </c>
      <c r="L1158" s="8">
        <f t="shared" si="1394"/>
        <v>0.39999999999999991</v>
      </c>
      <c r="M1158" s="24">
        <f t="shared" si="1322"/>
        <v>1.7057569296375259E-2</v>
      </c>
      <c r="N1158" s="14"/>
    </row>
    <row r="1159" spans="1:14" x14ac:dyDescent="0.25">
      <c r="A1159" s="20">
        <v>44544</v>
      </c>
      <c r="B1159" s="1">
        <f t="shared" ref="B1159" si="1400">B1154</f>
        <v>97</v>
      </c>
      <c r="C1159" s="1" t="s">
        <v>391</v>
      </c>
      <c r="D1159" s="1" t="s">
        <v>178</v>
      </c>
      <c r="E1159" s="26" t="e">
        <f t="shared" ref="E1159:F1159" si="1401">+E1158</f>
        <v>#REF!</v>
      </c>
      <c r="F1159" s="26" t="e">
        <f t="shared" si="1401"/>
        <v>#REF!</v>
      </c>
      <c r="G1159" s="17">
        <v>6</v>
      </c>
      <c r="H1159" s="17" t="s">
        <v>9</v>
      </c>
      <c r="I1159" s="30" t="s">
        <v>35</v>
      </c>
      <c r="J1159" s="22"/>
      <c r="K1159" s="22"/>
      <c r="L1159" s="8">
        <f t="shared" si="1394"/>
        <v>0</v>
      </c>
      <c r="M1159" s="24">
        <f t="shared" si="1322"/>
        <v>0</v>
      </c>
      <c r="N1159" s="14"/>
    </row>
    <row r="1160" spans="1:14" x14ac:dyDescent="0.25">
      <c r="A1160" s="20">
        <v>44544</v>
      </c>
      <c r="B1160" s="1">
        <f t="shared" ref="B1160" si="1402">B1154</f>
        <v>97</v>
      </c>
      <c r="C1160" s="1" t="s">
        <v>391</v>
      </c>
      <c r="D1160" s="1" t="s">
        <v>178</v>
      </c>
      <c r="E1160" s="26" t="e">
        <f t="shared" ref="E1160:F1160" si="1403">+E1159</f>
        <v>#REF!</v>
      </c>
      <c r="F1160" s="26" t="e">
        <f t="shared" si="1403"/>
        <v>#REF!</v>
      </c>
      <c r="G1160" s="17">
        <v>7</v>
      </c>
      <c r="H1160" s="17" t="s">
        <v>9</v>
      </c>
      <c r="I1160" s="30" t="s">
        <v>36</v>
      </c>
      <c r="J1160" s="22"/>
      <c r="K1160" s="22"/>
      <c r="L1160" s="8">
        <f t="shared" si="1394"/>
        <v>0</v>
      </c>
      <c r="M1160" s="24">
        <f t="shared" si="1322"/>
        <v>0</v>
      </c>
      <c r="N1160" s="14"/>
    </row>
    <row r="1161" spans="1:14" x14ac:dyDescent="0.25">
      <c r="A1161" s="20">
        <v>44544</v>
      </c>
      <c r="B1161" s="1">
        <f t="shared" ref="B1161" si="1404">B1154</f>
        <v>97</v>
      </c>
      <c r="C1161" s="1" t="s">
        <v>391</v>
      </c>
      <c r="D1161" s="1" t="s">
        <v>178</v>
      </c>
      <c r="E1161" s="26" t="e">
        <f>+E1160</f>
        <v>#REF!</v>
      </c>
      <c r="F1161" s="26" t="e">
        <f>+F1160</f>
        <v>#REF!</v>
      </c>
      <c r="G1161" s="17">
        <v>8</v>
      </c>
      <c r="H1161" s="17" t="s">
        <v>9</v>
      </c>
      <c r="I1161" s="30" t="s">
        <v>59</v>
      </c>
      <c r="J1161" s="22">
        <v>1.85</v>
      </c>
      <c r="K1161" s="22">
        <v>0.55000000000000004</v>
      </c>
      <c r="L1161" s="8">
        <f t="shared" si="1394"/>
        <v>1.3</v>
      </c>
      <c r="M1161" s="24">
        <f t="shared" si="1322"/>
        <v>5.5437100213219612E-2</v>
      </c>
      <c r="N1161" s="14"/>
    </row>
    <row r="1162" spans="1:14" x14ac:dyDescent="0.25">
      <c r="A1162" s="20">
        <v>44544</v>
      </c>
      <c r="B1162" s="1">
        <f t="shared" ref="B1162" si="1405">B1154</f>
        <v>97</v>
      </c>
      <c r="C1162" s="1" t="s">
        <v>391</v>
      </c>
      <c r="D1162" s="1" t="s">
        <v>178</v>
      </c>
      <c r="E1162" s="26" t="e">
        <f t="shared" ref="E1162:F1162" si="1406">+E1161</f>
        <v>#REF!</v>
      </c>
      <c r="F1162" s="26" t="e">
        <f t="shared" si="1406"/>
        <v>#REF!</v>
      </c>
      <c r="G1162" s="17">
        <v>9</v>
      </c>
      <c r="H1162" s="17" t="s">
        <v>9</v>
      </c>
      <c r="I1162" s="30" t="s">
        <v>38</v>
      </c>
      <c r="J1162" s="22"/>
      <c r="K1162" s="22"/>
      <c r="L1162" s="8">
        <f t="shared" si="1394"/>
        <v>0</v>
      </c>
      <c r="M1162" s="24">
        <f t="shared" si="1322"/>
        <v>0</v>
      </c>
      <c r="N1162" s="14"/>
    </row>
    <row r="1163" spans="1:14" x14ac:dyDescent="0.25">
      <c r="A1163" s="20">
        <v>44544</v>
      </c>
      <c r="B1163" s="1">
        <f t="shared" ref="B1163" si="1407">B1154</f>
        <v>97</v>
      </c>
      <c r="C1163" s="1" t="s">
        <v>391</v>
      </c>
      <c r="D1163" s="1" t="s">
        <v>178</v>
      </c>
      <c r="E1163" s="26" t="e">
        <f t="shared" ref="E1163:F1163" si="1408">+E1162</f>
        <v>#REF!</v>
      </c>
      <c r="F1163" s="26" t="e">
        <f t="shared" si="1408"/>
        <v>#REF!</v>
      </c>
      <c r="G1163" s="17">
        <v>10</v>
      </c>
      <c r="H1163" s="17" t="s">
        <v>9</v>
      </c>
      <c r="I1163" s="30" t="s">
        <v>23</v>
      </c>
      <c r="J1163" s="22">
        <f>11</f>
        <v>11</v>
      </c>
      <c r="K1163" s="22">
        <f>8.55</f>
        <v>8.5500000000000007</v>
      </c>
      <c r="L1163" s="8">
        <f t="shared" si="1394"/>
        <v>2.4499999999999993</v>
      </c>
      <c r="M1163" s="24">
        <f t="shared" si="1322"/>
        <v>0.10447761194029846</v>
      </c>
      <c r="N1163" s="14"/>
    </row>
    <row r="1164" spans="1:14" x14ac:dyDescent="0.25">
      <c r="A1164" s="20">
        <v>44544</v>
      </c>
      <c r="B1164" s="1">
        <f t="shared" ref="B1164" si="1409">B1154</f>
        <v>97</v>
      </c>
      <c r="C1164" s="1" t="s">
        <v>391</v>
      </c>
      <c r="D1164" s="1" t="s">
        <v>178</v>
      </c>
      <c r="E1164" s="26" t="e">
        <f t="shared" ref="E1164:F1164" si="1410">+E1163</f>
        <v>#REF!</v>
      </c>
      <c r="F1164" s="26" t="e">
        <f t="shared" si="1410"/>
        <v>#REF!</v>
      </c>
      <c r="G1164" s="17">
        <v>11</v>
      </c>
      <c r="H1164" s="17" t="s">
        <v>9</v>
      </c>
      <c r="I1164" s="30" t="s">
        <v>60</v>
      </c>
      <c r="J1164" s="22">
        <f>8.55+8.95</f>
        <v>17.5</v>
      </c>
      <c r="K1164" s="22">
        <f>8.3+8.3</f>
        <v>16.600000000000001</v>
      </c>
      <c r="L1164" s="8">
        <f t="shared" si="1394"/>
        <v>0.89999999999999858</v>
      </c>
      <c r="M1164" s="24">
        <f t="shared" si="1322"/>
        <v>3.8379530916844283E-2</v>
      </c>
      <c r="N1164" s="14"/>
    </row>
    <row r="1165" spans="1:14" ht="15.75" thickBot="1" x14ac:dyDescent="0.3">
      <c r="A1165" s="20">
        <v>44544</v>
      </c>
      <c r="B1165" s="57">
        <f t="shared" ref="B1165" si="1411">B1154</f>
        <v>97</v>
      </c>
      <c r="C1165" s="1" t="s">
        <v>391</v>
      </c>
      <c r="D1165" s="1" t="s">
        <v>178</v>
      </c>
      <c r="E1165" s="26" t="e">
        <f t="shared" ref="E1165:F1165" si="1412">+E1164</f>
        <v>#REF!</v>
      </c>
      <c r="F1165" s="26" t="e">
        <f t="shared" si="1412"/>
        <v>#REF!</v>
      </c>
      <c r="G1165" s="18">
        <f>+G1164+1</f>
        <v>12</v>
      </c>
      <c r="H1165" s="18" t="s">
        <v>10</v>
      </c>
      <c r="I1165" s="46" t="s">
        <v>10</v>
      </c>
      <c r="J1165" s="22">
        <f>11.25+13.45+10.9+11.05</f>
        <v>46.650000000000006</v>
      </c>
      <c r="K1165" s="63">
        <f>8.55+8.5+8.5+8.6</f>
        <v>34.15</v>
      </c>
      <c r="L1165" s="8">
        <f t="shared" si="1394"/>
        <v>12.500000000000007</v>
      </c>
      <c r="M1165" s="24">
        <f t="shared" si="1322"/>
        <v>0.5330490405117273</v>
      </c>
      <c r="N1165" s="14"/>
    </row>
    <row r="1166" spans="1:14" x14ac:dyDescent="0.25">
      <c r="A1166" s="19">
        <v>44544</v>
      </c>
      <c r="B1166" s="15">
        <f t="shared" ref="B1166" si="1413">B1154+1</f>
        <v>98</v>
      </c>
      <c r="C1166" s="15" t="s">
        <v>392</v>
      </c>
      <c r="D1166" s="15" t="s">
        <v>178</v>
      </c>
      <c r="E1166" s="25"/>
      <c r="F1166" s="25">
        <f>+SUM(L1166:L1177)</f>
        <v>24.899999999999995</v>
      </c>
      <c r="G1166" s="16">
        <v>1</v>
      </c>
      <c r="H1166" s="16" t="s">
        <v>9</v>
      </c>
      <c r="I1166" s="59" t="s">
        <v>56</v>
      </c>
      <c r="J1166" s="21">
        <v>0.65</v>
      </c>
      <c r="K1166" s="21">
        <v>0.55000000000000004</v>
      </c>
      <c r="L1166" s="12">
        <f>+J1166-K1166</f>
        <v>9.9999999999999978E-2</v>
      </c>
      <c r="M1166" s="23">
        <f t="shared" si="1322"/>
        <v>4.0160642570281121E-3</v>
      </c>
      <c r="N1166" s="13"/>
    </row>
    <row r="1167" spans="1:14" x14ac:dyDescent="0.25">
      <c r="A1167" s="20">
        <v>44544</v>
      </c>
      <c r="B1167" s="1">
        <f t="shared" ref="B1167" si="1414">B1166</f>
        <v>98</v>
      </c>
      <c r="C1167" s="1" t="s">
        <v>392</v>
      </c>
      <c r="D1167" s="1" t="s">
        <v>178</v>
      </c>
      <c r="E1167" s="26">
        <f>+E1166</f>
        <v>0</v>
      </c>
      <c r="F1167" s="28" t="e">
        <f>+(F1166-E1166)/E1166</f>
        <v>#DIV/0!</v>
      </c>
      <c r="G1167" s="17">
        <v>2</v>
      </c>
      <c r="H1167" s="17" t="s">
        <v>9</v>
      </c>
      <c r="I1167" s="30" t="s">
        <v>57</v>
      </c>
      <c r="J1167" s="22">
        <f>9.8+9.5</f>
        <v>19.3</v>
      </c>
      <c r="K1167" s="22">
        <f>8.5+8.55</f>
        <v>17.05</v>
      </c>
      <c r="L1167" s="8">
        <f t="shared" ref="L1167:L1177" si="1415">+J1167-K1167</f>
        <v>2.25</v>
      </c>
      <c r="M1167" s="24">
        <f t="shared" si="1322"/>
        <v>9.0361445783132543E-2</v>
      </c>
      <c r="N1167" s="14"/>
    </row>
    <row r="1168" spans="1:14" x14ac:dyDescent="0.25">
      <c r="A1168" s="20">
        <v>44544</v>
      </c>
      <c r="B1168" s="1">
        <f t="shared" ref="B1168" si="1416">B1166</f>
        <v>98</v>
      </c>
      <c r="C1168" s="1" t="s">
        <v>392</v>
      </c>
      <c r="D1168" s="1" t="s">
        <v>178</v>
      </c>
      <c r="E1168" s="26" t="e">
        <f>+#REF!</f>
        <v>#REF!</v>
      </c>
      <c r="F1168" s="26" t="e">
        <f>+#REF!</f>
        <v>#REF!</v>
      </c>
      <c r="G1168" s="17">
        <v>3</v>
      </c>
      <c r="H1168" s="17" t="s">
        <v>9</v>
      </c>
      <c r="I1168" s="30" t="s">
        <v>58</v>
      </c>
      <c r="J1168" s="22">
        <v>4.45</v>
      </c>
      <c r="K1168" s="22">
        <f>0.55*3</f>
        <v>1.6500000000000001</v>
      </c>
      <c r="L1168" s="8">
        <f t="shared" si="1415"/>
        <v>2.8</v>
      </c>
      <c r="M1168" s="24">
        <f t="shared" si="1322"/>
        <v>0.11244979919678716</v>
      </c>
      <c r="N1168" s="14"/>
    </row>
    <row r="1169" spans="1:14" x14ac:dyDescent="0.25">
      <c r="A1169" s="20">
        <v>44544</v>
      </c>
      <c r="B1169" s="1">
        <f t="shared" ref="B1169" si="1417">B1166</f>
        <v>98</v>
      </c>
      <c r="C1169" s="1" t="s">
        <v>392</v>
      </c>
      <c r="D1169" s="1" t="s">
        <v>178</v>
      </c>
      <c r="E1169" s="26" t="e">
        <f t="shared" ref="E1169:F1169" si="1418">+E1168</f>
        <v>#REF!</v>
      </c>
      <c r="F1169" s="26" t="e">
        <f t="shared" si="1418"/>
        <v>#REF!</v>
      </c>
      <c r="G1169" s="17">
        <v>4</v>
      </c>
      <c r="H1169" s="17" t="s">
        <v>9</v>
      </c>
      <c r="I1169" s="30" t="s">
        <v>22</v>
      </c>
      <c r="J1169" s="22">
        <v>1.85</v>
      </c>
      <c r="K1169" s="22">
        <v>0.55000000000000004</v>
      </c>
      <c r="L1169" s="8">
        <f t="shared" si="1415"/>
        <v>1.3</v>
      </c>
      <c r="M1169" s="24">
        <f t="shared" si="1322"/>
        <v>5.2208835341365473E-2</v>
      </c>
      <c r="N1169" s="14"/>
    </row>
    <row r="1170" spans="1:14" x14ac:dyDescent="0.25">
      <c r="A1170" s="20">
        <v>44544</v>
      </c>
      <c r="B1170" s="1">
        <f t="shared" ref="B1170" si="1419">B1166</f>
        <v>98</v>
      </c>
      <c r="C1170" s="1" t="s">
        <v>392</v>
      </c>
      <c r="D1170" s="1" t="s">
        <v>178</v>
      </c>
      <c r="E1170" s="26" t="e">
        <f t="shared" ref="E1170:F1170" si="1420">+E1169</f>
        <v>#REF!</v>
      </c>
      <c r="F1170" s="26" t="e">
        <f t="shared" si="1420"/>
        <v>#REF!</v>
      </c>
      <c r="G1170" s="17">
        <v>5</v>
      </c>
      <c r="H1170" s="17" t="s">
        <v>9</v>
      </c>
      <c r="I1170" s="30" t="s">
        <v>34</v>
      </c>
      <c r="J1170" s="22">
        <v>1.1499999999999999</v>
      </c>
      <c r="K1170" s="22">
        <v>1</v>
      </c>
      <c r="L1170" s="8">
        <f t="shared" si="1415"/>
        <v>0.14999999999999991</v>
      </c>
      <c r="M1170" s="24">
        <f t="shared" si="1322"/>
        <v>6.0240963855421664E-3</v>
      </c>
      <c r="N1170" s="14"/>
    </row>
    <row r="1171" spans="1:14" x14ac:dyDescent="0.25">
      <c r="A1171" s="20">
        <v>44544</v>
      </c>
      <c r="B1171" s="1">
        <f t="shared" ref="B1171" si="1421">B1166</f>
        <v>98</v>
      </c>
      <c r="C1171" s="1" t="s">
        <v>392</v>
      </c>
      <c r="D1171" s="1" t="s">
        <v>178</v>
      </c>
      <c r="E1171" s="26" t="e">
        <f t="shared" ref="E1171:F1171" si="1422">+E1170</f>
        <v>#REF!</v>
      </c>
      <c r="F1171" s="26" t="e">
        <f t="shared" si="1422"/>
        <v>#REF!</v>
      </c>
      <c r="G1171" s="17">
        <v>6</v>
      </c>
      <c r="H1171" s="17" t="s">
        <v>9</v>
      </c>
      <c r="I1171" s="30" t="s">
        <v>35</v>
      </c>
      <c r="J1171" s="22">
        <v>0.2</v>
      </c>
      <c r="K1171" s="22">
        <v>0</v>
      </c>
      <c r="L1171" s="8">
        <f t="shared" si="1415"/>
        <v>0.2</v>
      </c>
      <c r="M1171" s="24">
        <f t="shared" si="1322"/>
        <v>8.0321285140562276E-3</v>
      </c>
      <c r="N1171" s="14"/>
    </row>
    <row r="1172" spans="1:14" x14ac:dyDescent="0.25">
      <c r="A1172" s="20">
        <v>44544</v>
      </c>
      <c r="B1172" s="1">
        <f t="shared" ref="B1172" si="1423">B1166</f>
        <v>98</v>
      </c>
      <c r="C1172" s="1" t="s">
        <v>392</v>
      </c>
      <c r="D1172" s="1" t="s">
        <v>178</v>
      </c>
      <c r="E1172" s="26" t="e">
        <f t="shared" ref="E1172:F1172" si="1424">+E1171</f>
        <v>#REF!</v>
      </c>
      <c r="F1172" s="26" t="e">
        <f t="shared" si="1424"/>
        <v>#REF!</v>
      </c>
      <c r="G1172" s="17">
        <v>7</v>
      </c>
      <c r="H1172" s="17" t="s">
        <v>9</v>
      </c>
      <c r="I1172" s="30" t="s">
        <v>36</v>
      </c>
      <c r="J1172" s="22"/>
      <c r="K1172" s="22"/>
      <c r="L1172" s="8">
        <f t="shared" si="1415"/>
        <v>0</v>
      </c>
      <c r="M1172" s="24">
        <f t="shared" si="1322"/>
        <v>0</v>
      </c>
      <c r="N1172" s="14"/>
    </row>
    <row r="1173" spans="1:14" x14ac:dyDescent="0.25">
      <c r="A1173" s="20">
        <v>44544</v>
      </c>
      <c r="B1173" s="1">
        <f t="shared" ref="B1173" si="1425">B1166</f>
        <v>98</v>
      </c>
      <c r="C1173" s="1" t="s">
        <v>392</v>
      </c>
      <c r="D1173" s="1" t="s">
        <v>178</v>
      </c>
      <c r="E1173" s="26" t="e">
        <f>+E1172</f>
        <v>#REF!</v>
      </c>
      <c r="F1173" s="26" t="e">
        <f>+F1172</f>
        <v>#REF!</v>
      </c>
      <c r="G1173" s="17">
        <v>8</v>
      </c>
      <c r="H1173" s="17" t="s">
        <v>9</v>
      </c>
      <c r="I1173" s="30" t="s">
        <v>59</v>
      </c>
      <c r="J1173" s="22">
        <v>1.25</v>
      </c>
      <c r="K1173" s="22">
        <v>0.5</v>
      </c>
      <c r="L1173" s="8">
        <f t="shared" si="1415"/>
        <v>0.75</v>
      </c>
      <c r="M1173" s="24">
        <f t="shared" si="1322"/>
        <v>3.012048192771085E-2</v>
      </c>
      <c r="N1173" s="14"/>
    </row>
    <row r="1174" spans="1:14" x14ac:dyDescent="0.25">
      <c r="A1174" s="20">
        <v>44544</v>
      </c>
      <c r="B1174" s="1">
        <f t="shared" ref="B1174" si="1426">B1166</f>
        <v>98</v>
      </c>
      <c r="C1174" s="1" t="s">
        <v>392</v>
      </c>
      <c r="D1174" s="1" t="s">
        <v>178</v>
      </c>
      <c r="E1174" s="26" t="e">
        <f t="shared" ref="E1174:F1174" si="1427">+E1173</f>
        <v>#REF!</v>
      </c>
      <c r="F1174" s="26" t="e">
        <f t="shared" si="1427"/>
        <v>#REF!</v>
      </c>
      <c r="G1174" s="17">
        <v>9</v>
      </c>
      <c r="H1174" s="17" t="s">
        <v>9</v>
      </c>
      <c r="I1174" s="30" t="s">
        <v>38</v>
      </c>
      <c r="J1174" s="22"/>
      <c r="K1174" s="22"/>
      <c r="L1174" s="8">
        <f t="shared" si="1415"/>
        <v>0</v>
      </c>
      <c r="M1174" s="24">
        <f t="shared" si="1322"/>
        <v>0</v>
      </c>
      <c r="N1174" s="14"/>
    </row>
    <row r="1175" spans="1:14" x14ac:dyDescent="0.25">
      <c r="A1175" s="20">
        <v>44544</v>
      </c>
      <c r="B1175" s="1">
        <f t="shared" ref="B1175" si="1428">B1166</f>
        <v>98</v>
      </c>
      <c r="C1175" s="1" t="s">
        <v>392</v>
      </c>
      <c r="D1175" s="1" t="s">
        <v>178</v>
      </c>
      <c r="E1175" s="26" t="e">
        <f t="shared" ref="E1175:F1175" si="1429">+E1174</f>
        <v>#REF!</v>
      </c>
      <c r="F1175" s="26" t="e">
        <f t="shared" si="1429"/>
        <v>#REF!</v>
      </c>
      <c r="G1175" s="17">
        <v>10</v>
      </c>
      <c r="H1175" s="17" t="s">
        <v>9</v>
      </c>
      <c r="I1175" s="30" t="s">
        <v>23</v>
      </c>
      <c r="J1175" s="22">
        <v>12.3</v>
      </c>
      <c r="K1175" s="22">
        <v>8.5500000000000007</v>
      </c>
      <c r="L1175" s="8">
        <f t="shared" si="1415"/>
        <v>3.75</v>
      </c>
      <c r="M1175" s="24">
        <f t="shared" si="1322"/>
        <v>0.15060240963855426</v>
      </c>
      <c r="N1175" s="14"/>
    </row>
    <row r="1176" spans="1:14" x14ac:dyDescent="0.25">
      <c r="A1176" s="20">
        <v>44544</v>
      </c>
      <c r="B1176" s="1">
        <f t="shared" ref="B1176" si="1430">B1166</f>
        <v>98</v>
      </c>
      <c r="C1176" s="1" t="s">
        <v>392</v>
      </c>
      <c r="D1176" s="1" t="s">
        <v>178</v>
      </c>
      <c r="E1176" s="26" t="e">
        <f t="shared" ref="E1176:F1176" si="1431">+E1175</f>
        <v>#REF!</v>
      </c>
      <c r="F1176" s="26" t="e">
        <f t="shared" si="1431"/>
        <v>#REF!</v>
      </c>
      <c r="G1176" s="17">
        <v>11</v>
      </c>
      <c r="H1176" s="17" t="s">
        <v>9</v>
      </c>
      <c r="I1176" s="30" t="s">
        <v>60</v>
      </c>
      <c r="J1176" s="22">
        <f>8.8+8.8</f>
        <v>17.600000000000001</v>
      </c>
      <c r="K1176" s="22">
        <f>8.6+8.3</f>
        <v>16.899999999999999</v>
      </c>
      <c r="L1176" s="8">
        <f t="shared" si="1415"/>
        <v>0.70000000000000284</v>
      </c>
      <c r="M1176" s="24">
        <f t="shared" si="1322"/>
        <v>2.8112449799196908E-2</v>
      </c>
      <c r="N1176" s="14"/>
    </row>
    <row r="1177" spans="1:14" ht="15.75" thickBot="1" x14ac:dyDescent="0.3">
      <c r="A1177" s="20">
        <v>44544</v>
      </c>
      <c r="B1177" s="57">
        <f t="shared" ref="B1177" si="1432">B1166</f>
        <v>98</v>
      </c>
      <c r="C1177" s="1" t="s">
        <v>392</v>
      </c>
      <c r="D1177" s="1" t="s">
        <v>178</v>
      </c>
      <c r="E1177" s="26" t="e">
        <f t="shared" ref="E1177:F1177" si="1433">+E1176</f>
        <v>#REF!</v>
      </c>
      <c r="F1177" s="26" t="e">
        <f t="shared" si="1433"/>
        <v>#REF!</v>
      </c>
      <c r="G1177" s="18">
        <f>+G1176+1</f>
        <v>12</v>
      </c>
      <c r="H1177" s="18" t="s">
        <v>10</v>
      </c>
      <c r="I1177" s="46" t="s">
        <v>10</v>
      </c>
      <c r="J1177" s="22">
        <f>12.9+11.1+11.75+11.05</f>
        <v>46.8</v>
      </c>
      <c r="K1177" s="63">
        <f>8.3+8.55+8.55+8.5</f>
        <v>33.900000000000006</v>
      </c>
      <c r="L1177" s="8">
        <f t="shared" si="1415"/>
        <v>12.899999999999991</v>
      </c>
      <c r="M1177" s="24">
        <f t="shared" si="1322"/>
        <v>0.51807228915662629</v>
      </c>
      <c r="N1177" s="14"/>
    </row>
    <row r="1178" spans="1:14" x14ac:dyDescent="0.25">
      <c r="A1178" s="19">
        <v>44547</v>
      </c>
      <c r="B1178" s="15">
        <f t="shared" ref="B1178" si="1434">B1166+1</f>
        <v>99</v>
      </c>
      <c r="C1178" s="15" t="s">
        <v>393</v>
      </c>
      <c r="D1178" s="15" t="s">
        <v>185</v>
      </c>
      <c r="E1178" s="25">
        <f>52-1.2</f>
        <v>50.8</v>
      </c>
      <c r="F1178" s="25">
        <f>+SUM(L1178:L1189)</f>
        <v>51.150000000000006</v>
      </c>
      <c r="G1178" s="16">
        <v>1</v>
      </c>
      <c r="H1178" s="16" t="s">
        <v>9</v>
      </c>
      <c r="I1178" s="59" t="s">
        <v>56</v>
      </c>
      <c r="J1178" s="21">
        <v>0.75</v>
      </c>
      <c r="K1178" s="21">
        <v>0.55000000000000004</v>
      </c>
      <c r="L1178" s="12">
        <f>+J1178-K1178</f>
        <v>0.19999999999999996</v>
      </c>
      <c r="M1178" s="23">
        <f t="shared" ref="M1178:M1201" si="1435">+L1178/SUMIF(C:C,C1178,L:L)</f>
        <v>3.9100684261974576E-3</v>
      </c>
      <c r="N1178" s="13"/>
    </row>
    <row r="1179" spans="1:14" x14ac:dyDescent="0.25">
      <c r="A1179" s="20">
        <v>44547</v>
      </c>
      <c r="B1179" s="1">
        <f t="shared" ref="B1179" si="1436">B1178</f>
        <v>99</v>
      </c>
      <c r="C1179" s="1" t="s">
        <v>393</v>
      </c>
      <c r="D1179" s="1" t="s">
        <v>185</v>
      </c>
      <c r="E1179" s="26">
        <f>+E1178</f>
        <v>50.8</v>
      </c>
      <c r="F1179" s="28">
        <f>+(F1178-E1178)/E1178</f>
        <v>6.8897637795277272E-3</v>
      </c>
      <c r="G1179" s="17">
        <v>2</v>
      </c>
      <c r="H1179" s="17" t="s">
        <v>9</v>
      </c>
      <c r="I1179" s="30" t="s">
        <v>57</v>
      </c>
      <c r="J1179" s="22">
        <v>0.85</v>
      </c>
      <c r="K1179" s="22">
        <v>0.55000000000000004</v>
      </c>
      <c r="L1179" s="8">
        <f t="shared" ref="L1179:L1189" si="1437">+J1179-K1179</f>
        <v>0.29999999999999993</v>
      </c>
      <c r="M1179" s="24">
        <f t="shared" si="1435"/>
        <v>5.8651026392961859E-3</v>
      </c>
      <c r="N1179" s="14"/>
    </row>
    <row r="1180" spans="1:14" x14ac:dyDescent="0.25">
      <c r="A1180" s="20">
        <v>44547</v>
      </c>
      <c r="B1180" s="1">
        <f t="shared" ref="B1180" si="1438">B1178</f>
        <v>99</v>
      </c>
      <c r="C1180" s="1" t="s">
        <v>393</v>
      </c>
      <c r="D1180" s="1" t="s">
        <v>185</v>
      </c>
      <c r="E1180" s="26" t="e">
        <f>+#REF!</f>
        <v>#REF!</v>
      </c>
      <c r="F1180" s="26" t="e">
        <f>+#REF!</f>
        <v>#REF!</v>
      </c>
      <c r="G1180" s="17">
        <v>3</v>
      </c>
      <c r="H1180" s="17" t="s">
        <v>9</v>
      </c>
      <c r="I1180" s="30" t="s">
        <v>58</v>
      </c>
      <c r="J1180" s="22">
        <v>1.65</v>
      </c>
      <c r="K1180" s="22">
        <v>0.55000000000000004</v>
      </c>
      <c r="L1180" s="8">
        <f t="shared" si="1437"/>
        <v>1.0999999999999999</v>
      </c>
      <c r="M1180" s="24">
        <f t="shared" si="1435"/>
        <v>2.1505376344086016E-2</v>
      </c>
      <c r="N1180" s="14"/>
    </row>
    <row r="1181" spans="1:14" x14ac:dyDescent="0.25">
      <c r="A1181" s="20">
        <v>44547</v>
      </c>
      <c r="B1181" s="1">
        <f t="shared" ref="B1181" si="1439">B1178</f>
        <v>99</v>
      </c>
      <c r="C1181" s="1" t="s">
        <v>393</v>
      </c>
      <c r="D1181" s="1" t="s">
        <v>185</v>
      </c>
      <c r="E1181" s="26" t="e">
        <f t="shared" ref="E1181:F1181" si="1440">+E1180</f>
        <v>#REF!</v>
      </c>
      <c r="F1181" s="26" t="e">
        <f t="shared" si="1440"/>
        <v>#REF!</v>
      </c>
      <c r="G1181" s="17">
        <v>4</v>
      </c>
      <c r="H1181" s="17" t="s">
        <v>9</v>
      </c>
      <c r="I1181" s="30" t="s">
        <v>22</v>
      </c>
      <c r="J1181" s="22">
        <v>1.7</v>
      </c>
      <c r="K1181" s="22">
        <v>0.55000000000000004</v>
      </c>
      <c r="L1181" s="8">
        <f t="shared" si="1437"/>
        <v>1.1499999999999999</v>
      </c>
      <c r="M1181" s="24">
        <f t="shared" si="1435"/>
        <v>2.2482893450635383E-2</v>
      </c>
      <c r="N1181" s="14"/>
    </row>
    <row r="1182" spans="1:14" x14ac:dyDescent="0.25">
      <c r="A1182" s="20">
        <v>44547</v>
      </c>
      <c r="B1182" s="1">
        <f t="shared" ref="B1182" si="1441">B1178</f>
        <v>99</v>
      </c>
      <c r="C1182" s="1" t="s">
        <v>393</v>
      </c>
      <c r="D1182" s="1" t="s">
        <v>185</v>
      </c>
      <c r="E1182" s="26" t="e">
        <f t="shared" ref="E1182:F1182" si="1442">+E1181</f>
        <v>#REF!</v>
      </c>
      <c r="F1182" s="26" t="e">
        <f t="shared" si="1442"/>
        <v>#REF!</v>
      </c>
      <c r="G1182" s="17">
        <v>5</v>
      </c>
      <c r="H1182" s="17" t="s">
        <v>9</v>
      </c>
      <c r="I1182" s="30" t="s">
        <v>34</v>
      </c>
      <c r="J1182" s="22">
        <f>15.3+10.65+15.9+15.45+16.2+13.65+11.7</f>
        <v>98.850000000000009</v>
      </c>
      <c r="K1182" s="22">
        <f>8.3+8.55+8.6+8.3+8.55+8.3+8.5</f>
        <v>59.099999999999994</v>
      </c>
      <c r="L1182" s="8">
        <f t="shared" si="1437"/>
        <v>39.750000000000014</v>
      </c>
      <c r="M1182" s="24">
        <f t="shared" si="1435"/>
        <v>0.77712609970674507</v>
      </c>
      <c r="N1182" s="14"/>
    </row>
    <row r="1183" spans="1:14" x14ac:dyDescent="0.25">
      <c r="A1183" s="20">
        <v>44547</v>
      </c>
      <c r="B1183" s="1">
        <f t="shared" ref="B1183" si="1443">B1178</f>
        <v>99</v>
      </c>
      <c r="C1183" s="1" t="s">
        <v>393</v>
      </c>
      <c r="D1183" s="1" t="s">
        <v>185</v>
      </c>
      <c r="E1183" s="26" t="e">
        <f t="shared" ref="E1183:F1183" si="1444">+E1182</f>
        <v>#REF!</v>
      </c>
      <c r="F1183" s="26" t="e">
        <f t="shared" si="1444"/>
        <v>#REF!</v>
      </c>
      <c r="G1183" s="17">
        <v>6</v>
      </c>
      <c r="H1183" s="17" t="s">
        <v>9</v>
      </c>
      <c r="I1183" s="30" t="s">
        <v>35</v>
      </c>
      <c r="J1183" s="22">
        <v>0.8</v>
      </c>
      <c r="K1183" s="22">
        <v>0</v>
      </c>
      <c r="L1183" s="8">
        <f t="shared" si="1437"/>
        <v>0.8</v>
      </c>
      <c r="M1183" s="24">
        <f t="shared" si="1435"/>
        <v>1.5640273704789834E-2</v>
      </c>
      <c r="N1183" s="14"/>
    </row>
    <row r="1184" spans="1:14" x14ac:dyDescent="0.25">
      <c r="A1184" s="20">
        <v>44547</v>
      </c>
      <c r="B1184" s="1">
        <f t="shared" ref="B1184" si="1445">B1178</f>
        <v>99</v>
      </c>
      <c r="C1184" s="1" t="s">
        <v>393</v>
      </c>
      <c r="D1184" s="1" t="s">
        <v>185</v>
      </c>
      <c r="E1184" s="26" t="e">
        <f t="shared" ref="E1184:F1184" si="1446">+E1183</f>
        <v>#REF!</v>
      </c>
      <c r="F1184" s="26" t="e">
        <f t="shared" si="1446"/>
        <v>#REF!</v>
      </c>
      <c r="G1184" s="17">
        <v>7</v>
      </c>
      <c r="H1184" s="17" t="s">
        <v>9</v>
      </c>
      <c r="I1184" s="30" t="s">
        <v>36</v>
      </c>
      <c r="J1184" s="22"/>
      <c r="K1184" s="22"/>
      <c r="L1184" s="8">
        <f t="shared" si="1437"/>
        <v>0</v>
      </c>
      <c r="M1184" s="24">
        <f t="shared" si="1435"/>
        <v>0</v>
      </c>
      <c r="N1184" s="14"/>
    </row>
    <row r="1185" spans="1:14" x14ac:dyDescent="0.25">
      <c r="A1185" s="20">
        <v>44547</v>
      </c>
      <c r="B1185" s="1">
        <f t="shared" ref="B1185" si="1447">B1178</f>
        <v>99</v>
      </c>
      <c r="C1185" s="1" t="s">
        <v>393</v>
      </c>
      <c r="D1185" s="1" t="s">
        <v>185</v>
      </c>
      <c r="E1185" s="26" t="e">
        <f>+E1184</f>
        <v>#REF!</v>
      </c>
      <c r="F1185" s="26" t="e">
        <f>+F1184</f>
        <v>#REF!</v>
      </c>
      <c r="G1185" s="17">
        <v>8</v>
      </c>
      <c r="H1185" s="17" t="s">
        <v>9</v>
      </c>
      <c r="I1185" s="30" t="s">
        <v>59</v>
      </c>
      <c r="J1185" s="22">
        <f>8.8</f>
        <v>8.8000000000000007</v>
      </c>
      <c r="K1185" s="22">
        <f>8.3</f>
        <v>8.3000000000000007</v>
      </c>
      <c r="L1185" s="8">
        <f t="shared" si="1437"/>
        <v>0.5</v>
      </c>
      <c r="M1185" s="24">
        <f t="shared" si="1435"/>
        <v>9.7751710654936444E-3</v>
      </c>
      <c r="N1185" s="14"/>
    </row>
    <row r="1186" spans="1:14" x14ac:dyDescent="0.25">
      <c r="A1186" s="20">
        <v>44547</v>
      </c>
      <c r="B1186" s="1">
        <f t="shared" ref="B1186" si="1448">B1178</f>
        <v>99</v>
      </c>
      <c r="C1186" s="1" t="s">
        <v>393</v>
      </c>
      <c r="D1186" s="1" t="s">
        <v>185</v>
      </c>
      <c r="E1186" s="26" t="e">
        <f t="shared" ref="E1186:F1186" si="1449">+E1185</f>
        <v>#REF!</v>
      </c>
      <c r="F1186" s="26" t="e">
        <f t="shared" si="1449"/>
        <v>#REF!</v>
      </c>
      <c r="G1186" s="17">
        <v>9</v>
      </c>
      <c r="H1186" s="17" t="s">
        <v>9</v>
      </c>
      <c r="I1186" s="30" t="s">
        <v>38</v>
      </c>
      <c r="J1186" s="22"/>
      <c r="K1186" s="22"/>
      <c r="L1186" s="8">
        <f t="shared" si="1437"/>
        <v>0</v>
      </c>
      <c r="M1186" s="24">
        <f t="shared" si="1435"/>
        <v>0</v>
      </c>
      <c r="N1186" s="14"/>
    </row>
    <row r="1187" spans="1:14" x14ac:dyDescent="0.25">
      <c r="A1187" s="20">
        <v>44547</v>
      </c>
      <c r="B1187" s="1">
        <f t="shared" ref="B1187" si="1450">B1178</f>
        <v>99</v>
      </c>
      <c r="C1187" s="1" t="s">
        <v>393</v>
      </c>
      <c r="D1187" s="1" t="s">
        <v>185</v>
      </c>
      <c r="E1187" s="26" t="e">
        <f t="shared" ref="E1187:F1187" si="1451">+E1186</f>
        <v>#REF!</v>
      </c>
      <c r="F1187" s="26" t="e">
        <f t="shared" si="1451"/>
        <v>#REF!</v>
      </c>
      <c r="G1187" s="17">
        <v>10</v>
      </c>
      <c r="H1187" s="17" t="s">
        <v>9</v>
      </c>
      <c r="I1187" s="30" t="s">
        <v>23</v>
      </c>
      <c r="J1187" s="22">
        <f>1.2+1.65</f>
        <v>2.8499999999999996</v>
      </c>
      <c r="K1187" s="22">
        <f>0.55+0.5</f>
        <v>1.05</v>
      </c>
      <c r="L1187" s="8">
        <f t="shared" si="1437"/>
        <v>1.7999999999999996</v>
      </c>
      <c r="M1187" s="24">
        <f t="shared" si="1435"/>
        <v>3.5190615835777116E-2</v>
      </c>
      <c r="N1187" s="14"/>
    </row>
    <row r="1188" spans="1:14" x14ac:dyDescent="0.25">
      <c r="A1188" s="20">
        <v>44547</v>
      </c>
      <c r="B1188" s="1">
        <f t="shared" ref="B1188" si="1452">B1178</f>
        <v>99</v>
      </c>
      <c r="C1188" s="1" t="s">
        <v>393</v>
      </c>
      <c r="D1188" s="1" t="s">
        <v>185</v>
      </c>
      <c r="E1188" s="26" t="e">
        <f t="shared" ref="E1188:F1188" si="1453">+E1187</f>
        <v>#REF!</v>
      </c>
      <c r="F1188" s="26" t="e">
        <f t="shared" si="1453"/>
        <v>#REF!</v>
      </c>
      <c r="G1188" s="17">
        <v>11</v>
      </c>
      <c r="H1188" s="17" t="s">
        <v>9</v>
      </c>
      <c r="I1188" s="30" t="s">
        <v>60</v>
      </c>
      <c r="J1188" s="22">
        <v>0.75</v>
      </c>
      <c r="K1188" s="22">
        <v>0.55000000000000004</v>
      </c>
      <c r="L1188" s="8">
        <f t="shared" si="1437"/>
        <v>0.19999999999999996</v>
      </c>
      <c r="M1188" s="24">
        <f t="shared" si="1435"/>
        <v>3.9100684261974576E-3</v>
      </c>
      <c r="N1188" s="14"/>
    </row>
    <row r="1189" spans="1:14" ht="15.75" thickBot="1" x14ac:dyDescent="0.3">
      <c r="A1189" s="20">
        <v>44547</v>
      </c>
      <c r="B1189" s="57">
        <f t="shared" ref="B1189" si="1454">B1178</f>
        <v>99</v>
      </c>
      <c r="C1189" s="1" t="s">
        <v>393</v>
      </c>
      <c r="D1189" s="1" t="s">
        <v>185</v>
      </c>
      <c r="E1189" s="26" t="e">
        <f t="shared" ref="E1189:F1189" si="1455">+E1188</f>
        <v>#REF!</v>
      </c>
      <c r="F1189" s="26" t="e">
        <f t="shared" si="1455"/>
        <v>#REF!</v>
      </c>
      <c r="G1189" s="18">
        <f>+G1188+1</f>
        <v>12</v>
      </c>
      <c r="H1189" s="18" t="s">
        <v>10</v>
      </c>
      <c r="I1189" s="46" t="s">
        <v>10</v>
      </c>
      <c r="J1189" s="22">
        <f>11.4+11</f>
        <v>22.4</v>
      </c>
      <c r="K1189" s="63">
        <f>8.5+8.55</f>
        <v>17.05</v>
      </c>
      <c r="L1189" s="8">
        <f t="shared" si="1437"/>
        <v>5.3499999999999979</v>
      </c>
      <c r="M1189" s="24">
        <f t="shared" si="1435"/>
        <v>0.10459433040078196</v>
      </c>
      <c r="N1189" s="14" t="s">
        <v>397</v>
      </c>
    </row>
    <row r="1190" spans="1:14" x14ac:dyDescent="0.25">
      <c r="A1190" s="19">
        <v>44547</v>
      </c>
      <c r="B1190" s="15">
        <f t="shared" ref="B1190" si="1456">B1178+1</f>
        <v>100</v>
      </c>
      <c r="C1190" s="15" t="s">
        <v>394</v>
      </c>
      <c r="D1190" s="15" t="s">
        <v>185</v>
      </c>
      <c r="E1190" s="25">
        <f>26.4-1.2</f>
        <v>25.2</v>
      </c>
      <c r="F1190" s="25">
        <f>+SUM(L1190:L1201)</f>
        <v>25.15</v>
      </c>
      <c r="G1190" s="16">
        <v>1</v>
      </c>
      <c r="H1190" s="16" t="s">
        <v>9</v>
      </c>
      <c r="I1190" s="59" t="s">
        <v>56</v>
      </c>
      <c r="J1190" s="21"/>
      <c r="K1190" s="21"/>
      <c r="L1190" s="12">
        <f>+J1190-K1190</f>
        <v>0</v>
      </c>
      <c r="M1190" s="23">
        <f t="shared" si="1435"/>
        <v>0</v>
      </c>
      <c r="N1190" s="13"/>
    </row>
    <row r="1191" spans="1:14" x14ac:dyDescent="0.25">
      <c r="A1191" s="20">
        <v>44547</v>
      </c>
      <c r="B1191" s="1">
        <f t="shared" ref="B1191" si="1457">B1190</f>
        <v>100</v>
      </c>
      <c r="C1191" s="1" t="s">
        <v>394</v>
      </c>
      <c r="D1191" s="1" t="s">
        <v>185</v>
      </c>
      <c r="E1191" s="26">
        <f>+E1190</f>
        <v>25.2</v>
      </c>
      <c r="F1191" s="28">
        <f>+(F1190-E1190)/E1190</f>
        <v>-1.9841269841270122E-3</v>
      </c>
      <c r="G1191" s="17">
        <v>2</v>
      </c>
      <c r="H1191" s="17" t="s">
        <v>9</v>
      </c>
      <c r="I1191" s="30" t="s">
        <v>57</v>
      </c>
      <c r="J1191" s="22">
        <v>0.7</v>
      </c>
      <c r="K1191" s="22">
        <v>0.5</v>
      </c>
      <c r="L1191" s="8">
        <f t="shared" ref="L1191:L1201" si="1458">+J1191-K1191</f>
        <v>0.19999999999999996</v>
      </c>
      <c r="M1191" s="24">
        <f t="shared" si="1435"/>
        <v>7.9522862823061622E-3</v>
      </c>
      <c r="N1191" s="14"/>
    </row>
    <row r="1192" spans="1:14" x14ac:dyDescent="0.25">
      <c r="A1192" s="20">
        <v>44547</v>
      </c>
      <c r="B1192" s="1">
        <f t="shared" ref="B1192" si="1459">B1190</f>
        <v>100</v>
      </c>
      <c r="C1192" s="1" t="s">
        <v>394</v>
      </c>
      <c r="D1192" s="1" t="s">
        <v>185</v>
      </c>
      <c r="E1192" s="26" t="e">
        <f>+#REF!</f>
        <v>#REF!</v>
      </c>
      <c r="F1192" s="26" t="e">
        <f>+#REF!</f>
        <v>#REF!</v>
      </c>
      <c r="G1192" s="17">
        <v>3</v>
      </c>
      <c r="H1192" s="17" t="s">
        <v>9</v>
      </c>
      <c r="I1192" s="30" t="s">
        <v>58</v>
      </c>
      <c r="J1192" s="22">
        <v>0.95</v>
      </c>
      <c r="K1192" s="22">
        <v>0.55000000000000004</v>
      </c>
      <c r="L1192" s="8">
        <f t="shared" si="1458"/>
        <v>0.39999999999999991</v>
      </c>
      <c r="M1192" s="24">
        <f t="shared" si="1435"/>
        <v>1.5904572564612324E-2</v>
      </c>
      <c r="N1192" s="14"/>
    </row>
    <row r="1193" spans="1:14" x14ac:dyDescent="0.25">
      <c r="A1193" s="20">
        <v>44547</v>
      </c>
      <c r="B1193" s="1">
        <f t="shared" ref="B1193" si="1460">B1190</f>
        <v>100</v>
      </c>
      <c r="C1193" s="1" t="s">
        <v>394</v>
      </c>
      <c r="D1193" s="1" t="s">
        <v>185</v>
      </c>
      <c r="E1193" s="26" t="e">
        <f t="shared" ref="E1193:F1193" si="1461">+E1192</f>
        <v>#REF!</v>
      </c>
      <c r="F1193" s="26" t="e">
        <f t="shared" si="1461"/>
        <v>#REF!</v>
      </c>
      <c r="G1193" s="17">
        <v>4</v>
      </c>
      <c r="H1193" s="17" t="s">
        <v>9</v>
      </c>
      <c r="I1193" s="30" t="s">
        <v>22</v>
      </c>
      <c r="J1193" s="22">
        <v>0.85</v>
      </c>
      <c r="K1193" s="22">
        <v>0.5</v>
      </c>
      <c r="L1193" s="8">
        <f t="shared" si="1458"/>
        <v>0.35</v>
      </c>
      <c r="M1193" s="24">
        <f t="shared" si="1435"/>
        <v>1.3916500994035786E-2</v>
      </c>
      <c r="N1193" s="14"/>
    </row>
    <row r="1194" spans="1:14" x14ac:dyDescent="0.25">
      <c r="A1194" s="20">
        <v>44547</v>
      </c>
      <c r="B1194" s="1">
        <f t="shared" ref="B1194" si="1462">B1190</f>
        <v>100</v>
      </c>
      <c r="C1194" s="1" t="s">
        <v>394</v>
      </c>
      <c r="D1194" s="1" t="s">
        <v>185</v>
      </c>
      <c r="E1194" s="26" t="e">
        <f t="shared" ref="E1194:F1194" si="1463">+E1193</f>
        <v>#REF!</v>
      </c>
      <c r="F1194" s="26" t="e">
        <f t="shared" si="1463"/>
        <v>#REF!</v>
      </c>
      <c r="G1194" s="17">
        <v>5</v>
      </c>
      <c r="H1194" s="17" t="s">
        <v>9</v>
      </c>
      <c r="I1194" s="30" t="s">
        <v>34</v>
      </c>
      <c r="J1194" s="22">
        <f>12.4+11+12.6+13.65+14.8</f>
        <v>64.45</v>
      </c>
      <c r="K1194" s="22">
        <f>8.55+8.5+8.55+8.3+8.3</f>
        <v>42.2</v>
      </c>
      <c r="L1194" s="8">
        <f t="shared" si="1458"/>
        <v>22.25</v>
      </c>
      <c r="M1194" s="24">
        <f t="shared" si="1435"/>
        <v>0.88469184890656072</v>
      </c>
      <c r="N1194" s="14"/>
    </row>
    <row r="1195" spans="1:14" x14ac:dyDescent="0.25">
      <c r="A1195" s="20">
        <v>44547</v>
      </c>
      <c r="B1195" s="1">
        <f t="shared" ref="B1195" si="1464">B1190</f>
        <v>100</v>
      </c>
      <c r="C1195" s="1" t="s">
        <v>394</v>
      </c>
      <c r="D1195" s="1" t="s">
        <v>185</v>
      </c>
      <c r="E1195" s="26" t="e">
        <f t="shared" ref="E1195:F1195" si="1465">+E1194</f>
        <v>#REF!</v>
      </c>
      <c r="F1195" s="26" t="e">
        <f t="shared" si="1465"/>
        <v>#REF!</v>
      </c>
      <c r="G1195" s="17">
        <v>6</v>
      </c>
      <c r="H1195" s="17" t="s">
        <v>9</v>
      </c>
      <c r="I1195" s="30" t="s">
        <v>35</v>
      </c>
      <c r="J1195" s="22">
        <v>1</v>
      </c>
      <c r="K1195" s="22">
        <v>0.55000000000000004</v>
      </c>
      <c r="L1195" s="8">
        <f t="shared" si="1458"/>
        <v>0.44999999999999996</v>
      </c>
      <c r="M1195" s="24">
        <f t="shared" si="1435"/>
        <v>1.7892644135188866E-2</v>
      </c>
      <c r="N1195" s="14"/>
    </row>
    <row r="1196" spans="1:14" x14ac:dyDescent="0.25">
      <c r="A1196" s="20">
        <v>44547</v>
      </c>
      <c r="B1196" s="1">
        <f t="shared" ref="B1196" si="1466">B1190</f>
        <v>100</v>
      </c>
      <c r="C1196" s="1" t="s">
        <v>394</v>
      </c>
      <c r="D1196" s="1" t="s">
        <v>185</v>
      </c>
      <c r="E1196" s="26" t="e">
        <f t="shared" ref="E1196:F1196" si="1467">+E1195</f>
        <v>#REF!</v>
      </c>
      <c r="F1196" s="26" t="e">
        <f t="shared" si="1467"/>
        <v>#REF!</v>
      </c>
      <c r="G1196" s="17">
        <v>7</v>
      </c>
      <c r="H1196" s="17" t="s">
        <v>9</v>
      </c>
      <c r="I1196" s="30" t="s">
        <v>36</v>
      </c>
      <c r="J1196" s="22"/>
      <c r="K1196" s="22"/>
      <c r="L1196" s="8">
        <f t="shared" si="1458"/>
        <v>0</v>
      </c>
      <c r="M1196" s="24">
        <f t="shared" si="1435"/>
        <v>0</v>
      </c>
      <c r="N1196" s="14"/>
    </row>
    <row r="1197" spans="1:14" x14ac:dyDescent="0.25">
      <c r="A1197" s="20">
        <v>44547</v>
      </c>
      <c r="B1197" s="1">
        <f t="shared" ref="B1197" si="1468">B1190</f>
        <v>100</v>
      </c>
      <c r="C1197" s="1" t="s">
        <v>394</v>
      </c>
      <c r="D1197" s="1" t="s">
        <v>185</v>
      </c>
      <c r="E1197" s="26" t="e">
        <f>+E1196</f>
        <v>#REF!</v>
      </c>
      <c r="F1197" s="26" t="e">
        <f>+F1196</f>
        <v>#REF!</v>
      </c>
      <c r="G1197" s="17">
        <v>8</v>
      </c>
      <c r="H1197" s="17" t="s">
        <v>9</v>
      </c>
      <c r="I1197" s="30" t="s">
        <v>59</v>
      </c>
      <c r="J1197" s="22">
        <v>0.7</v>
      </c>
      <c r="K1197" s="22">
        <v>0.55000000000000004</v>
      </c>
      <c r="L1197" s="8">
        <f t="shared" si="1458"/>
        <v>0.14999999999999991</v>
      </c>
      <c r="M1197" s="24">
        <f t="shared" si="1435"/>
        <v>5.9642147117296195E-3</v>
      </c>
      <c r="N1197" s="14"/>
    </row>
    <row r="1198" spans="1:14" x14ac:dyDescent="0.25">
      <c r="A1198" s="20">
        <v>44547</v>
      </c>
      <c r="B1198" s="1">
        <f t="shared" ref="B1198" si="1469">B1190</f>
        <v>100</v>
      </c>
      <c r="C1198" s="1" t="s">
        <v>394</v>
      </c>
      <c r="D1198" s="1" t="s">
        <v>185</v>
      </c>
      <c r="E1198" s="26" t="e">
        <f t="shared" ref="E1198:F1198" si="1470">+E1197</f>
        <v>#REF!</v>
      </c>
      <c r="F1198" s="26" t="e">
        <f t="shared" si="1470"/>
        <v>#REF!</v>
      </c>
      <c r="G1198" s="17">
        <v>9</v>
      </c>
      <c r="H1198" s="17" t="s">
        <v>9</v>
      </c>
      <c r="I1198" s="30" t="s">
        <v>38</v>
      </c>
      <c r="J1198" s="22"/>
      <c r="K1198" s="22"/>
      <c r="L1198" s="8">
        <f t="shared" si="1458"/>
        <v>0</v>
      </c>
      <c r="M1198" s="24">
        <f t="shared" si="1435"/>
        <v>0</v>
      </c>
      <c r="N1198" s="14"/>
    </row>
    <row r="1199" spans="1:14" x14ac:dyDescent="0.25">
      <c r="A1199" s="20">
        <v>44547</v>
      </c>
      <c r="B1199" s="1">
        <f t="shared" ref="B1199" si="1471">B1190</f>
        <v>100</v>
      </c>
      <c r="C1199" s="1" t="s">
        <v>394</v>
      </c>
      <c r="D1199" s="1" t="s">
        <v>185</v>
      </c>
      <c r="E1199" s="26" t="e">
        <f t="shared" ref="E1199:F1199" si="1472">+E1198</f>
        <v>#REF!</v>
      </c>
      <c r="F1199" s="26" t="e">
        <f t="shared" si="1472"/>
        <v>#REF!</v>
      </c>
      <c r="G1199" s="17">
        <v>10</v>
      </c>
      <c r="H1199" s="17" t="s">
        <v>9</v>
      </c>
      <c r="I1199" s="30" t="s">
        <v>23</v>
      </c>
      <c r="J1199" s="22">
        <v>0.85</v>
      </c>
      <c r="K1199" s="22">
        <v>0.55000000000000004</v>
      </c>
      <c r="L1199" s="8">
        <f t="shared" si="1458"/>
        <v>0.29999999999999993</v>
      </c>
      <c r="M1199" s="24">
        <f t="shared" si="1435"/>
        <v>1.1928429423459242E-2</v>
      </c>
      <c r="N1199" s="14"/>
    </row>
    <row r="1200" spans="1:14" x14ac:dyDescent="0.25">
      <c r="A1200" s="20">
        <v>44547</v>
      </c>
      <c r="B1200" s="1">
        <f t="shared" ref="B1200" si="1473">B1190</f>
        <v>100</v>
      </c>
      <c r="C1200" s="1" t="s">
        <v>394</v>
      </c>
      <c r="D1200" s="1" t="s">
        <v>185</v>
      </c>
      <c r="E1200" s="26" t="e">
        <f t="shared" ref="E1200:F1200" si="1474">+E1199</f>
        <v>#REF!</v>
      </c>
      <c r="F1200" s="26" t="e">
        <f t="shared" si="1474"/>
        <v>#REF!</v>
      </c>
      <c r="G1200" s="17">
        <v>11</v>
      </c>
      <c r="H1200" s="17" t="s">
        <v>9</v>
      </c>
      <c r="I1200" s="30" t="s">
        <v>60</v>
      </c>
      <c r="J1200" s="22">
        <v>0.6</v>
      </c>
      <c r="K1200" s="22">
        <v>0.55000000000000004</v>
      </c>
      <c r="L1200" s="8">
        <f t="shared" si="1458"/>
        <v>4.9999999999999933E-2</v>
      </c>
      <c r="M1200" s="24">
        <f t="shared" si="1435"/>
        <v>1.9880715705765384E-3</v>
      </c>
      <c r="N1200" s="14"/>
    </row>
    <row r="1201" spans="1:14" ht="15.75" thickBot="1" x14ac:dyDescent="0.3">
      <c r="A1201" s="20">
        <v>44547</v>
      </c>
      <c r="B1201" s="57">
        <f t="shared" ref="B1201" si="1475">B1190</f>
        <v>100</v>
      </c>
      <c r="C1201" s="1" t="s">
        <v>394</v>
      </c>
      <c r="D1201" s="1" t="s">
        <v>185</v>
      </c>
      <c r="E1201" s="26" t="e">
        <f t="shared" ref="E1201:F1201" si="1476">+E1200</f>
        <v>#REF!</v>
      </c>
      <c r="F1201" s="26" t="e">
        <f t="shared" si="1476"/>
        <v>#REF!</v>
      </c>
      <c r="G1201" s="18">
        <f>+G1200+1</f>
        <v>12</v>
      </c>
      <c r="H1201" s="18" t="s">
        <v>10</v>
      </c>
      <c r="I1201" s="46" t="s">
        <v>10</v>
      </c>
      <c r="J1201" s="22">
        <f>8.8+9.05</f>
        <v>17.850000000000001</v>
      </c>
      <c r="K1201" s="63">
        <f>8.3+8.55</f>
        <v>16.850000000000001</v>
      </c>
      <c r="L1201" s="8">
        <f t="shared" si="1458"/>
        <v>1</v>
      </c>
      <c r="M1201" s="24">
        <f t="shared" si="1435"/>
        <v>3.9761431411530816E-2</v>
      </c>
      <c r="N1201" s="14"/>
    </row>
    <row r="1202" spans="1:14" x14ac:dyDescent="0.25">
      <c r="A1202" s="19">
        <v>44547</v>
      </c>
      <c r="B1202" s="15">
        <f t="shared" ref="B1202" si="1477">B1190+1</f>
        <v>101</v>
      </c>
      <c r="C1202" s="15" t="s">
        <v>395</v>
      </c>
      <c r="D1202" s="15" t="s">
        <v>185</v>
      </c>
      <c r="E1202" s="25">
        <f>42.6-1.2</f>
        <v>41.4</v>
      </c>
      <c r="F1202" s="25">
        <f>+SUM(L1202:L1213)</f>
        <v>41.550000000000011</v>
      </c>
      <c r="G1202" s="16">
        <v>1</v>
      </c>
      <c r="H1202" s="16" t="s">
        <v>9</v>
      </c>
      <c r="I1202" s="59" t="s">
        <v>56</v>
      </c>
      <c r="J1202" s="21"/>
      <c r="K1202" s="21"/>
      <c r="L1202" s="12">
        <f>+J1202-K1202</f>
        <v>0</v>
      </c>
      <c r="M1202" s="23">
        <f t="shared" ref="M1202:M1213" si="1478">+L1202/SUMIF(C:C,C1202,L:L)</f>
        <v>0</v>
      </c>
      <c r="N1202" s="13"/>
    </row>
    <row r="1203" spans="1:14" x14ac:dyDescent="0.25">
      <c r="A1203" s="20">
        <v>44547</v>
      </c>
      <c r="B1203" s="1">
        <f t="shared" ref="B1203" si="1479">B1202</f>
        <v>101</v>
      </c>
      <c r="C1203" s="1" t="s">
        <v>395</v>
      </c>
      <c r="D1203" s="1" t="s">
        <v>185</v>
      </c>
      <c r="E1203" s="26">
        <f>+E1202</f>
        <v>41.4</v>
      </c>
      <c r="F1203" s="28">
        <f>+(F1202-E1202)/E1202</f>
        <v>3.6231884057974107E-3</v>
      </c>
      <c r="G1203" s="17">
        <v>2</v>
      </c>
      <c r="H1203" s="17" t="s">
        <v>9</v>
      </c>
      <c r="I1203" s="30" t="s">
        <v>57</v>
      </c>
      <c r="J1203" s="22">
        <v>1.05</v>
      </c>
      <c r="K1203" s="22">
        <v>0.5</v>
      </c>
      <c r="L1203" s="8">
        <f t="shared" ref="L1203:L1213" si="1480">+J1203-K1203</f>
        <v>0.55000000000000004</v>
      </c>
      <c r="M1203" s="24">
        <f t="shared" si="1478"/>
        <v>1.3237063778580022E-2</v>
      </c>
      <c r="N1203" s="14"/>
    </row>
    <row r="1204" spans="1:14" x14ac:dyDescent="0.25">
      <c r="A1204" s="20">
        <v>44547</v>
      </c>
      <c r="B1204" s="1">
        <f t="shared" ref="B1204" si="1481">B1202</f>
        <v>101</v>
      </c>
      <c r="C1204" s="1" t="s">
        <v>395</v>
      </c>
      <c r="D1204" s="1" t="s">
        <v>185</v>
      </c>
      <c r="E1204" s="26" t="e">
        <f>+#REF!</f>
        <v>#REF!</v>
      </c>
      <c r="F1204" s="26" t="e">
        <f>+#REF!</f>
        <v>#REF!</v>
      </c>
      <c r="G1204" s="17">
        <v>3</v>
      </c>
      <c r="H1204" s="17" t="s">
        <v>9</v>
      </c>
      <c r="I1204" s="30" t="s">
        <v>58</v>
      </c>
      <c r="J1204" s="22">
        <v>0.85</v>
      </c>
      <c r="K1204" s="22">
        <v>0.5</v>
      </c>
      <c r="L1204" s="8">
        <f t="shared" si="1480"/>
        <v>0.35</v>
      </c>
      <c r="M1204" s="24">
        <f t="shared" si="1478"/>
        <v>8.4235860409145585E-3</v>
      </c>
      <c r="N1204" s="14"/>
    </row>
    <row r="1205" spans="1:14" x14ac:dyDescent="0.25">
      <c r="A1205" s="20">
        <v>44547</v>
      </c>
      <c r="B1205" s="1">
        <f t="shared" ref="B1205" si="1482">B1202</f>
        <v>101</v>
      </c>
      <c r="C1205" s="1" t="s">
        <v>395</v>
      </c>
      <c r="D1205" s="1" t="s">
        <v>185</v>
      </c>
      <c r="E1205" s="26" t="e">
        <f t="shared" ref="E1205:F1205" si="1483">+E1204</f>
        <v>#REF!</v>
      </c>
      <c r="F1205" s="26" t="e">
        <f t="shared" si="1483"/>
        <v>#REF!</v>
      </c>
      <c r="G1205" s="17">
        <v>4</v>
      </c>
      <c r="H1205" s="17" t="s">
        <v>9</v>
      </c>
      <c r="I1205" s="30" t="s">
        <v>22</v>
      </c>
      <c r="J1205" s="22">
        <v>1.35</v>
      </c>
      <c r="K1205" s="22">
        <v>0.55000000000000004</v>
      </c>
      <c r="L1205" s="8">
        <f t="shared" si="1480"/>
        <v>0.8</v>
      </c>
      <c r="M1205" s="24">
        <f t="shared" si="1478"/>
        <v>1.925391095066185E-2</v>
      </c>
      <c r="N1205" s="14"/>
    </row>
    <row r="1206" spans="1:14" x14ac:dyDescent="0.25">
      <c r="A1206" s="20">
        <v>44547</v>
      </c>
      <c r="B1206" s="1">
        <f t="shared" ref="B1206" si="1484">B1202</f>
        <v>101</v>
      </c>
      <c r="C1206" s="1" t="s">
        <v>395</v>
      </c>
      <c r="D1206" s="1" t="s">
        <v>185</v>
      </c>
      <c r="E1206" s="26" t="e">
        <f t="shared" ref="E1206:F1206" si="1485">+E1205</f>
        <v>#REF!</v>
      </c>
      <c r="F1206" s="26" t="e">
        <f t="shared" si="1485"/>
        <v>#REF!</v>
      </c>
      <c r="G1206" s="17">
        <v>5</v>
      </c>
      <c r="H1206" s="17" t="s">
        <v>9</v>
      </c>
      <c r="I1206" s="30" t="s">
        <v>34</v>
      </c>
      <c r="J1206" s="22">
        <f>12.5+14.8+10.6+16.4+14.95+10.65+14.6</f>
        <v>94.5</v>
      </c>
      <c r="K1206" s="22">
        <f>8.55+8.3+8.6+8.55+8.3+8.3+8.55</f>
        <v>59.149999999999991</v>
      </c>
      <c r="L1206" s="8">
        <f t="shared" si="1480"/>
        <v>35.350000000000009</v>
      </c>
      <c r="M1206" s="24">
        <f t="shared" si="1478"/>
        <v>0.85078219013237066</v>
      </c>
      <c r="N1206" s="14"/>
    </row>
    <row r="1207" spans="1:14" x14ac:dyDescent="0.25">
      <c r="A1207" s="20">
        <v>44547</v>
      </c>
      <c r="B1207" s="1">
        <f t="shared" ref="B1207" si="1486">B1202</f>
        <v>101</v>
      </c>
      <c r="C1207" s="1" t="s">
        <v>395</v>
      </c>
      <c r="D1207" s="1" t="s">
        <v>185</v>
      </c>
      <c r="E1207" s="26" t="e">
        <f t="shared" ref="E1207:F1207" si="1487">+E1206</f>
        <v>#REF!</v>
      </c>
      <c r="F1207" s="26" t="e">
        <f t="shared" si="1487"/>
        <v>#REF!</v>
      </c>
      <c r="G1207" s="17">
        <v>6</v>
      </c>
      <c r="H1207" s="17" t="s">
        <v>9</v>
      </c>
      <c r="I1207" s="30" t="s">
        <v>35</v>
      </c>
      <c r="J1207" s="22">
        <v>1.45</v>
      </c>
      <c r="K1207" s="22">
        <v>0.55000000000000004</v>
      </c>
      <c r="L1207" s="8">
        <f t="shared" si="1480"/>
        <v>0.89999999999999991</v>
      </c>
      <c r="M1207" s="24">
        <f t="shared" si="1478"/>
        <v>2.1660649819494577E-2</v>
      </c>
      <c r="N1207" s="14"/>
    </row>
    <row r="1208" spans="1:14" x14ac:dyDescent="0.25">
      <c r="A1208" s="20">
        <v>44547</v>
      </c>
      <c r="B1208" s="1">
        <f t="shared" ref="B1208" si="1488">B1202</f>
        <v>101</v>
      </c>
      <c r="C1208" s="1" t="s">
        <v>395</v>
      </c>
      <c r="D1208" s="1" t="s">
        <v>185</v>
      </c>
      <c r="E1208" s="26" t="e">
        <f t="shared" ref="E1208:F1208" si="1489">+E1207</f>
        <v>#REF!</v>
      </c>
      <c r="F1208" s="26" t="e">
        <f t="shared" si="1489"/>
        <v>#REF!</v>
      </c>
      <c r="G1208" s="17">
        <v>7</v>
      </c>
      <c r="H1208" s="17" t="s">
        <v>9</v>
      </c>
      <c r="I1208" s="30" t="s">
        <v>36</v>
      </c>
      <c r="J1208" s="22"/>
      <c r="K1208" s="22"/>
      <c r="L1208" s="8">
        <f t="shared" si="1480"/>
        <v>0</v>
      </c>
      <c r="M1208" s="24">
        <f t="shared" si="1478"/>
        <v>0</v>
      </c>
      <c r="N1208" s="14"/>
    </row>
    <row r="1209" spans="1:14" x14ac:dyDescent="0.25">
      <c r="A1209" s="20">
        <v>44547</v>
      </c>
      <c r="B1209" s="1">
        <f t="shared" ref="B1209" si="1490">B1202</f>
        <v>101</v>
      </c>
      <c r="C1209" s="1" t="s">
        <v>395</v>
      </c>
      <c r="D1209" s="1" t="s">
        <v>185</v>
      </c>
      <c r="E1209" s="26" t="e">
        <f>+E1208</f>
        <v>#REF!</v>
      </c>
      <c r="F1209" s="26" t="e">
        <f>+F1208</f>
        <v>#REF!</v>
      </c>
      <c r="G1209" s="17">
        <v>8</v>
      </c>
      <c r="H1209" s="17" t="s">
        <v>9</v>
      </c>
      <c r="I1209" s="30" t="s">
        <v>59</v>
      </c>
      <c r="J1209" s="22">
        <v>0.7</v>
      </c>
      <c r="K1209" s="22">
        <v>0.5</v>
      </c>
      <c r="L1209" s="8">
        <f t="shared" si="1480"/>
        <v>0.19999999999999996</v>
      </c>
      <c r="M1209" s="24">
        <f t="shared" si="1478"/>
        <v>4.8134777376654609E-3</v>
      </c>
      <c r="N1209" s="14"/>
    </row>
    <row r="1210" spans="1:14" x14ac:dyDescent="0.25">
      <c r="A1210" s="20">
        <v>44547</v>
      </c>
      <c r="B1210" s="1">
        <f t="shared" ref="B1210" si="1491">B1202</f>
        <v>101</v>
      </c>
      <c r="C1210" s="1" t="s">
        <v>395</v>
      </c>
      <c r="D1210" s="1" t="s">
        <v>185</v>
      </c>
      <c r="E1210" s="26" t="e">
        <f t="shared" ref="E1210:F1210" si="1492">+E1209</f>
        <v>#REF!</v>
      </c>
      <c r="F1210" s="26" t="e">
        <f t="shared" si="1492"/>
        <v>#REF!</v>
      </c>
      <c r="G1210" s="17">
        <v>9</v>
      </c>
      <c r="H1210" s="17" t="s">
        <v>9</v>
      </c>
      <c r="I1210" s="30" t="s">
        <v>38</v>
      </c>
      <c r="J1210" s="22">
        <v>0.1</v>
      </c>
      <c r="K1210" s="22">
        <v>0</v>
      </c>
      <c r="L1210" s="8">
        <f t="shared" si="1480"/>
        <v>0.1</v>
      </c>
      <c r="M1210" s="24">
        <f t="shared" si="1478"/>
        <v>2.4067388688327313E-3</v>
      </c>
      <c r="N1210" s="14"/>
    </row>
    <row r="1211" spans="1:14" x14ac:dyDescent="0.25">
      <c r="A1211" s="20">
        <v>44547</v>
      </c>
      <c r="B1211" s="1">
        <f t="shared" ref="B1211" si="1493">B1202</f>
        <v>101</v>
      </c>
      <c r="C1211" s="1" t="s">
        <v>395</v>
      </c>
      <c r="D1211" s="1" t="s">
        <v>185</v>
      </c>
      <c r="E1211" s="26" t="e">
        <f t="shared" ref="E1211:F1211" si="1494">+E1210</f>
        <v>#REF!</v>
      </c>
      <c r="F1211" s="26" t="e">
        <f t="shared" si="1494"/>
        <v>#REF!</v>
      </c>
      <c r="G1211" s="17">
        <v>10</v>
      </c>
      <c r="H1211" s="17" t="s">
        <v>9</v>
      </c>
      <c r="I1211" s="30" t="s">
        <v>23</v>
      </c>
      <c r="J1211" s="22">
        <v>1.45</v>
      </c>
      <c r="K1211" s="22">
        <v>0.55000000000000004</v>
      </c>
      <c r="L1211" s="8">
        <f t="shared" si="1480"/>
        <v>0.89999999999999991</v>
      </c>
      <c r="M1211" s="24">
        <f t="shared" si="1478"/>
        <v>2.1660649819494577E-2</v>
      </c>
      <c r="N1211" s="14"/>
    </row>
    <row r="1212" spans="1:14" x14ac:dyDescent="0.25">
      <c r="A1212" s="20">
        <v>44547</v>
      </c>
      <c r="B1212" s="1">
        <f t="shared" ref="B1212" si="1495">B1202</f>
        <v>101</v>
      </c>
      <c r="C1212" s="1" t="s">
        <v>395</v>
      </c>
      <c r="D1212" s="1" t="s">
        <v>185</v>
      </c>
      <c r="E1212" s="26" t="e">
        <f t="shared" ref="E1212:F1212" si="1496">+E1211</f>
        <v>#REF!</v>
      </c>
      <c r="F1212" s="26" t="e">
        <f t="shared" si="1496"/>
        <v>#REF!</v>
      </c>
      <c r="G1212" s="17">
        <v>11</v>
      </c>
      <c r="H1212" s="17" t="s">
        <v>9</v>
      </c>
      <c r="I1212" s="30" t="s">
        <v>60</v>
      </c>
      <c r="J1212" s="22">
        <v>0.7</v>
      </c>
      <c r="K1212" s="22">
        <v>0.55000000000000004</v>
      </c>
      <c r="L1212" s="8">
        <f t="shared" si="1480"/>
        <v>0.14999999999999991</v>
      </c>
      <c r="M1212" s="24">
        <f t="shared" si="1478"/>
        <v>3.6101083032490941E-3</v>
      </c>
      <c r="N1212" s="14"/>
    </row>
    <row r="1213" spans="1:14" ht="15.75" thickBot="1" x14ac:dyDescent="0.3">
      <c r="A1213" s="20">
        <v>44547</v>
      </c>
      <c r="B1213" s="57">
        <f t="shared" ref="B1213" si="1497">B1202</f>
        <v>101</v>
      </c>
      <c r="C1213" s="1" t="s">
        <v>395</v>
      </c>
      <c r="D1213" s="1" t="s">
        <v>185</v>
      </c>
      <c r="E1213" s="26" t="e">
        <f t="shared" ref="E1213:F1213" si="1498">+E1212</f>
        <v>#REF!</v>
      </c>
      <c r="F1213" s="26" t="e">
        <f t="shared" si="1498"/>
        <v>#REF!</v>
      </c>
      <c r="G1213" s="18">
        <f>+G1212+1</f>
        <v>12</v>
      </c>
      <c r="H1213" s="18" t="s">
        <v>10</v>
      </c>
      <c r="I1213" s="46" t="s">
        <v>10</v>
      </c>
      <c r="J1213" s="22">
        <f>10.55</f>
        <v>10.55</v>
      </c>
      <c r="K1213" s="63">
        <f>8.3</f>
        <v>8.3000000000000007</v>
      </c>
      <c r="L1213" s="8">
        <f t="shared" si="1480"/>
        <v>2.25</v>
      </c>
      <c r="M1213" s="24">
        <f t="shared" si="1478"/>
        <v>5.4151624548736448E-2</v>
      </c>
      <c r="N1213" s="14" t="s">
        <v>396</v>
      </c>
    </row>
    <row r="1214" spans="1:14" x14ac:dyDescent="0.25">
      <c r="A1214" s="19">
        <v>44547</v>
      </c>
      <c r="B1214" s="15">
        <f t="shared" ref="B1214" si="1499">B1202+1</f>
        <v>102</v>
      </c>
      <c r="C1214" s="15" t="s">
        <v>398</v>
      </c>
      <c r="D1214" s="15" t="s">
        <v>186</v>
      </c>
      <c r="E1214" s="25">
        <f>62.4-1.2</f>
        <v>61.199999999999996</v>
      </c>
      <c r="F1214" s="25">
        <f>+SUM(L1214:L1225)</f>
        <v>61.149999999999991</v>
      </c>
      <c r="G1214" s="16">
        <v>1</v>
      </c>
      <c r="H1214" s="16" t="s">
        <v>9</v>
      </c>
      <c r="I1214" s="59" t="s">
        <v>56</v>
      </c>
      <c r="J1214" s="21">
        <v>0.6</v>
      </c>
      <c r="K1214" s="21">
        <v>0.55000000000000004</v>
      </c>
      <c r="L1214" s="12">
        <f>+J1214-K1214</f>
        <v>4.9999999999999933E-2</v>
      </c>
      <c r="M1214" s="23">
        <f t="shared" ref="M1214:M1225" si="1500">+L1214/SUMIF(C:C,C1214,L:L)</f>
        <v>8.1766148814390747E-4</v>
      </c>
      <c r="N1214" s="13"/>
    </row>
    <row r="1215" spans="1:14" x14ac:dyDescent="0.25">
      <c r="A1215" s="20">
        <v>44547</v>
      </c>
      <c r="B1215" s="1">
        <f t="shared" ref="B1215" si="1501">B1214</f>
        <v>102</v>
      </c>
      <c r="C1215" s="1" t="s">
        <v>398</v>
      </c>
      <c r="D1215" s="1" t="s">
        <v>186</v>
      </c>
      <c r="E1215" s="26">
        <f>+E1214</f>
        <v>61.199999999999996</v>
      </c>
      <c r="F1215" s="28">
        <f>+(F1214-E1214)/E1214</f>
        <v>-8.1699346405235732E-4</v>
      </c>
      <c r="G1215" s="17">
        <v>2</v>
      </c>
      <c r="H1215" s="17" t="s">
        <v>9</v>
      </c>
      <c r="I1215" s="30" t="s">
        <v>57</v>
      </c>
      <c r="J1215" s="22">
        <v>0.7</v>
      </c>
      <c r="K1215" s="22">
        <v>0.55000000000000004</v>
      </c>
      <c r="L1215" s="8">
        <f t="shared" ref="L1215:L1225" si="1502">+J1215-K1215</f>
        <v>0.14999999999999991</v>
      </c>
      <c r="M1215" s="24">
        <f t="shared" si="1500"/>
        <v>2.452984464431724E-3</v>
      </c>
      <c r="N1215" s="14"/>
    </row>
    <row r="1216" spans="1:14" x14ac:dyDescent="0.25">
      <c r="A1216" s="20">
        <v>44547</v>
      </c>
      <c r="B1216" s="1">
        <f t="shared" ref="B1216" si="1503">B1214</f>
        <v>102</v>
      </c>
      <c r="C1216" s="1" t="s">
        <v>398</v>
      </c>
      <c r="D1216" s="1" t="s">
        <v>186</v>
      </c>
      <c r="E1216" s="26" t="e">
        <f>+#REF!</f>
        <v>#REF!</v>
      </c>
      <c r="F1216" s="26" t="e">
        <f>+#REF!</f>
        <v>#REF!</v>
      </c>
      <c r="G1216" s="17">
        <v>3</v>
      </c>
      <c r="H1216" s="17" t="s">
        <v>9</v>
      </c>
      <c r="I1216" s="30" t="s">
        <v>58</v>
      </c>
      <c r="J1216" s="22">
        <v>0.8</v>
      </c>
      <c r="K1216" s="22">
        <v>0.5</v>
      </c>
      <c r="L1216" s="8">
        <f t="shared" si="1502"/>
        <v>0.30000000000000004</v>
      </c>
      <c r="M1216" s="24">
        <f t="shared" si="1500"/>
        <v>4.9059689288634516E-3</v>
      </c>
      <c r="N1216" s="14"/>
    </row>
    <row r="1217" spans="1:14" x14ac:dyDescent="0.25">
      <c r="A1217" s="20">
        <v>44547</v>
      </c>
      <c r="B1217" s="1">
        <f t="shared" ref="B1217" si="1504">B1214</f>
        <v>102</v>
      </c>
      <c r="C1217" s="1" t="s">
        <v>398</v>
      </c>
      <c r="D1217" s="1" t="s">
        <v>186</v>
      </c>
      <c r="E1217" s="26" t="e">
        <f t="shared" ref="E1217:F1217" si="1505">+E1216</f>
        <v>#REF!</v>
      </c>
      <c r="F1217" s="26" t="e">
        <f t="shared" si="1505"/>
        <v>#REF!</v>
      </c>
      <c r="G1217" s="17">
        <v>4</v>
      </c>
      <c r="H1217" s="17" t="s">
        <v>9</v>
      </c>
      <c r="I1217" s="30" t="s">
        <v>22</v>
      </c>
      <c r="J1217" s="22">
        <v>3.75</v>
      </c>
      <c r="K1217" s="22">
        <f>0.55*2</f>
        <v>1.1000000000000001</v>
      </c>
      <c r="L1217" s="8">
        <f t="shared" si="1502"/>
        <v>2.65</v>
      </c>
      <c r="M1217" s="24">
        <f t="shared" si="1500"/>
        <v>4.3336058871627149E-2</v>
      </c>
      <c r="N1217" s="14"/>
    </row>
    <row r="1218" spans="1:14" x14ac:dyDescent="0.25">
      <c r="A1218" s="20">
        <v>44547</v>
      </c>
      <c r="B1218" s="1">
        <f t="shared" ref="B1218" si="1506">B1214</f>
        <v>102</v>
      </c>
      <c r="C1218" s="1" t="s">
        <v>398</v>
      </c>
      <c r="D1218" s="1" t="s">
        <v>186</v>
      </c>
      <c r="E1218" s="26" t="e">
        <f t="shared" ref="E1218:F1218" si="1507">+E1217</f>
        <v>#REF!</v>
      </c>
      <c r="F1218" s="26" t="e">
        <f t="shared" si="1507"/>
        <v>#REF!</v>
      </c>
      <c r="G1218" s="17">
        <v>5</v>
      </c>
      <c r="H1218" s="17" t="s">
        <v>9</v>
      </c>
      <c r="I1218" s="30" t="s">
        <v>34</v>
      </c>
      <c r="J1218" s="22">
        <f>12.7+1.35+12.8</f>
        <v>26.85</v>
      </c>
      <c r="K1218" s="63">
        <f>8.3+0.55+8.55</f>
        <v>17.400000000000002</v>
      </c>
      <c r="L1218" s="8">
        <f t="shared" si="1502"/>
        <v>9.4499999999999993</v>
      </c>
      <c r="M1218" s="24">
        <f t="shared" si="1500"/>
        <v>0.15453802125919869</v>
      </c>
      <c r="N1218" s="14"/>
    </row>
    <row r="1219" spans="1:14" x14ac:dyDescent="0.25">
      <c r="A1219" s="20">
        <v>44547</v>
      </c>
      <c r="B1219" s="1">
        <f t="shared" ref="B1219" si="1508">B1214</f>
        <v>102</v>
      </c>
      <c r="C1219" s="1" t="s">
        <v>398</v>
      </c>
      <c r="D1219" s="1" t="s">
        <v>186</v>
      </c>
      <c r="E1219" s="26" t="e">
        <f t="shared" ref="E1219:F1219" si="1509">+E1218</f>
        <v>#REF!</v>
      </c>
      <c r="F1219" s="26" t="e">
        <f t="shared" si="1509"/>
        <v>#REF!</v>
      </c>
      <c r="G1219" s="17">
        <v>6</v>
      </c>
      <c r="H1219" s="17" t="s">
        <v>9</v>
      </c>
      <c r="I1219" s="30" t="s">
        <v>35</v>
      </c>
      <c r="J1219" s="22">
        <f>23.65+19.4+19.45+14.1</f>
        <v>76.599999999999994</v>
      </c>
      <c r="K1219" s="22">
        <f>8.5+8.3+8.6+8.55</f>
        <v>33.950000000000003</v>
      </c>
      <c r="L1219" s="8">
        <f t="shared" si="1502"/>
        <v>42.649999999999991</v>
      </c>
      <c r="M1219" s="24">
        <f t="shared" si="1500"/>
        <v>0.69746524938675381</v>
      </c>
      <c r="N1219" s="14"/>
    </row>
    <row r="1220" spans="1:14" x14ac:dyDescent="0.25">
      <c r="A1220" s="20">
        <v>44547</v>
      </c>
      <c r="B1220" s="1">
        <f t="shared" ref="B1220" si="1510">B1214</f>
        <v>102</v>
      </c>
      <c r="C1220" s="1" t="s">
        <v>398</v>
      </c>
      <c r="D1220" s="1" t="s">
        <v>186</v>
      </c>
      <c r="E1220" s="26" t="e">
        <f t="shared" ref="E1220:F1220" si="1511">+E1219</f>
        <v>#REF!</v>
      </c>
      <c r="F1220" s="26" t="e">
        <f t="shared" si="1511"/>
        <v>#REF!</v>
      </c>
      <c r="G1220" s="17">
        <v>7</v>
      </c>
      <c r="H1220" s="17" t="s">
        <v>9</v>
      </c>
      <c r="I1220" s="30" t="s">
        <v>36</v>
      </c>
      <c r="J1220" s="22"/>
      <c r="K1220" s="22"/>
      <c r="L1220" s="8">
        <f t="shared" si="1502"/>
        <v>0</v>
      </c>
      <c r="M1220" s="24">
        <f t="shared" si="1500"/>
        <v>0</v>
      </c>
      <c r="N1220" s="14"/>
    </row>
    <row r="1221" spans="1:14" x14ac:dyDescent="0.25">
      <c r="A1221" s="20">
        <v>44547</v>
      </c>
      <c r="B1221" s="1">
        <f t="shared" ref="B1221" si="1512">B1214</f>
        <v>102</v>
      </c>
      <c r="C1221" s="1" t="s">
        <v>398</v>
      </c>
      <c r="D1221" s="1" t="s">
        <v>186</v>
      </c>
      <c r="E1221" s="26" t="e">
        <f>+E1220</f>
        <v>#REF!</v>
      </c>
      <c r="F1221" s="26" t="e">
        <f>+F1220</f>
        <v>#REF!</v>
      </c>
      <c r="G1221" s="17">
        <v>8</v>
      </c>
      <c r="H1221" s="17" t="s">
        <v>9</v>
      </c>
      <c r="I1221" s="30" t="s">
        <v>59</v>
      </c>
      <c r="J1221" s="22">
        <v>0.9</v>
      </c>
      <c r="K1221" s="22">
        <v>0.5</v>
      </c>
      <c r="L1221" s="8">
        <f t="shared" si="1502"/>
        <v>0.4</v>
      </c>
      <c r="M1221" s="24">
        <f t="shared" si="1500"/>
        <v>6.5412919051512685E-3</v>
      </c>
      <c r="N1221" s="14"/>
    </row>
    <row r="1222" spans="1:14" x14ac:dyDescent="0.25">
      <c r="A1222" s="20">
        <v>44547</v>
      </c>
      <c r="B1222" s="1">
        <f t="shared" ref="B1222" si="1513">B1214</f>
        <v>102</v>
      </c>
      <c r="C1222" s="1" t="s">
        <v>398</v>
      </c>
      <c r="D1222" s="1" t="s">
        <v>186</v>
      </c>
      <c r="E1222" s="26" t="e">
        <f t="shared" ref="E1222:F1222" si="1514">+E1221</f>
        <v>#REF!</v>
      </c>
      <c r="F1222" s="26" t="e">
        <f t="shared" si="1514"/>
        <v>#REF!</v>
      </c>
      <c r="G1222" s="17">
        <v>9</v>
      </c>
      <c r="H1222" s="17" t="s">
        <v>9</v>
      </c>
      <c r="I1222" s="30" t="s">
        <v>38</v>
      </c>
      <c r="J1222" s="22"/>
      <c r="K1222" s="22">
        <v>0</v>
      </c>
      <c r="L1222" s="8">
        <f t="shared" si="1502"/>
        <v>0</v>
      </c>
      <c r="M1222" s="24">
        <f t="shared" si="1500"/>
        <v>0</v>
      </c>
      <c r="N1222" s="14"/>
    </row>
    <row r="1223" spans="1:14" x14ac:dyDescent="0.25">
      <c r="A1223" s="20">
        <v>44547</v>
      </c>
      <c r="B1223" s="1">
        <f t="shared" ref="B1223" si="1515">B1214</f>
        <v>102</v>
      </c>
      <c r="C1223" s="1" t="s">
        <v>398</v>
      </c>
      <c r="D1223" s="1" t="s">
        <v>186</v>
      </c>
      <c r="E1223" s="26" t="e">
        <f t="shared" ref="E1223:F1223" si="1516">+E1222</f>
        <v>#REF!</v>
      </c>
      <c r="F1223" s="26" t="e">
        <f t="shared" si="1516"/>
        <v>#REF!</v>
      </c>
      <c r="G1223" s="17">
        <v>10</v>
      </c>
      <c r="H1223" s="17" t="s">
        <v>9</v>
      </c>
      <c r="I1223" s="30" t="s">
        <v>23</v>
      </c>
      <c r="J1223" s="22">
        <f>0.75</f>
        <v>0.75</v>
      </c>
      <c r="K1223" s="22">
        <f>0.55</f>
        <v>0.55000000000000004</v>
      </c>
      <c r="L1223" s="8">
        <f t="shared" si="1502"/>
        <v>0.19999999999999996</v>
      </c>
      <c r="M1223" s="24">
        <f t="shared" si="1500"/>
        <v>3.2706459525756334E-3</v>
      </c>
      <c r="N1223" s="14"/>
    </row>
    <row r="1224" spans="1:14" x14ac:dyDescent="0.25">
      <c r="A1224" s="20">
        <v>44547</v>
      </c>
      <c r="B1224" s="1">
        <f t="shared" ref="B1224" si="1517">B1214</f>
        <v>102</v>
      </c>
      <c r="C1224" s="1" t="s">
        <v>398</v>
      </c>
      <c r="D1224" s="1" t="s">
        <v>186</v>
      </c>
      <c r="E1224" s="26" t="e">
        <f t="shared" ref="E1224:F1224" si="1518">+E1223</f>
        <v>#REF!</v>
      </c>
      <c r="F1224" s="26" t="e">
        <f t="shared" si="1518"/>
        <v>#REF!</v>
      </c>
      <c r="G1224" s="17">
        <v>11</v>
      </c>
      <c r="H1224" s="17" t="s">
        <v>9</v>
      </c>
      <c r="I1224" s="30" t="s">
        <v>60</v>
      </c>
      <c r="J1224" s="22">
        <v>0.65</v>
      </c>
      <c r="K1224" s="22">
        <v>0.5</v>
      </c>
      <c r="L1224" s="8">
        <f t="shared" si="1502"/>
        <v>0.15000000000000002</v>
      </c>
      <c r="M1224" s="24">
        <f t="shared" si="1500"/>
        <v>2.4529844644317258E-3</v>
      </c>
      <c r="N1224" s="14"/>
    </row>
    <row r="1225" spans="1:14" ht="15.75" thickBot="1" x14ac:dyDescent="0.3">
      <c r="A1225" s="20">
        <v>44547</v>
      </c>
      <c r="B1225" s="57">
        <f t="shared" ref="B1225" si="1519">B1214</f>
        <v>102</v>
      </c>
      <c r="C1225" s="1" t="s">
        <v>398</v>
      </c>
      <c r="D1225" s="1" t="s">
        <v>186</v>
      </c>
      <c r="E1225" s="26" t="e">
        <f t="shared" ref="E1225:F1225" si="1520">+E1224</f>
        <v>#REF!</v>
      </c>
      <c r="F1225" s="26" t="e">
        <f t="shared" si="1520"/>
        <v>#REF!</v>
      </c>
      <c r="G1225" s="18">
        <f>+G1224+1</f>
        <v>12</v>
      </c>
      <c r="H1225" s="18" t="s">
        <v>10</v>
      </c>
      <c r="I1225" s="46" t="s">
        <v>10</v>
      </c>
      <c r="J1225" s="22">
        <v>13.7</v>
      </c>
      <c r="K1225" s="63">
        <v>8.5500000000000007</v>
      </c>
      <c r="L1225" s="8">
        <f t="shared" si="1502"/>
        <v>5.1499999999999986</v>
      </c>
      <c r="M1225" s="24">
        <f t="shared" si="1500"/>
        <v>8.421913327882255E-2</v>
      </c>
      <c r="N1225" s="14"/>
    </row>
    <row r="1226" spans="1:14" x14ac:dyDescent="0.25">
      <c r="A1226" s="19">
        <v>44585</v>
      </c>
      <c r="B1226" s="15">
        <f t="shared" ref="B1226" si="1521">B1214+1</f>
        <v>103</v>
      </c>
      <c r="C1226" s="15" t="s">
        <v>415</v>
      </c>
      <c r="D1226" s="15" t="s">
        <v>342</v>
      </c>
      <c r="E1226" s="25">
        <f>89.8-36.4</f>
        <v>53.4</v>
      </c>
      <c r="F1226" s="25">
        <f>+SUM(L1226:L1237)</f>
        <v>55.55</v>
      </c>
      <c r="G1226" s="16">
        <v>1</v>
      </c>
      <c r="H1226" s="16" t="s">
        <v>9</v>
      </c>
      <c r="I1226" s="59" t="s">
        <v>56</v>
      </c>
      <c r="J1226" s="21">
        <f>10.75</f>
        <v>10.75</v>
      </c>
      <c r="K1226" s="21">
        <f>8.5</f>
        <v>8.5</v>
      </c>
      <c r="L1226" s="12">
        <f>+J1226-K1226</f>
        <v>2.25</v>
      </c>
      <c r="M1226" s="23">
        <f t="shared" ref="M1226:M1237" si="1522">+L1226/SUMIF(C:C,C1226,L:L)</f>
        <v>4.0504050405040508E-2</v>
      </c>
      <c r="N1226" s="13"/>
    </row>
    <row r="1227" spans="1:14" x14ac:dyDescent="0.25">
      <c r="A1227" s="20">
        <v>44585</v>
      </c>
      <c r="B1227" s="1">
        <f t="shared" ref="B1227" si="1523">B1226</f>
        <v>103</v>
      </c>
      <c r="C1227" s="1" t="s">
        <v>415</v>
      </c>
      <c r="D1227" s="1" t="s">
        <v>342</v>
      </c>
      <c r="E1227" s="26">
        <f>+E1226</f>
        <v>53.4</v>
      </c>
      <c r="F1227" s="28">
        <f>+(F1226-E1226)/E1226</f>
        <v>4.0262172284644168E-2</v>
      </c>
      <c r="G1227" s="17">
        <v>2</v>
      </c>
      <c r="H1227" s="17" t="s">
        <v>9</v>
      </c>
      <c r="I1227" s="30" t="s">
        <v>57</v>
      </c>
      <c r="J1227" s="22">
        <f>13.05</f>
        <v>13.05</v>
      </c>
      <c r="K1227" s="22">
        <f>8.55+0.5</f>
        <v>9.0500000000000007</v>
      </c>
      <c r="L1227" s="8">
        <f t="shared" ref="L1227:L1237" si="1524">+J1227-K1227</f>
        <v>4</v>
      </c>
      <c r="M1227" s="24">
        <f t="shared" si="1522"/>
        <v>7.2007200720072009E-2</v>
      </c>
      <c r="N1227" s="14"/>
    </row>
    <row r="1228" spans="1:14" x14ac:dyDescent="0.25">
      <c r="A1228" s="20">
        <v>44585</v>
      </c>
      <c r="B1228" s="1">
        <f t="shared" ref="B1228" si="1525">B1226</f>
        <v>103</v>
      </c>
      <c r="C1228" s="1" t="s">
        <v>415</v>
      </c>
      <c r="D1228" s="1" t="s">
        <v>342</v>
      </c>
      <c r="E1228" s="26" t="e">
        <f>+#REF!</f>
        <v>#REF!</v>
      </c>
      <c r="F1228" s="26" t="e">
        <f>+#REF!</f>
        <v>#REF!</v>
      </c>
      <c r="G1228" s="17">
        <v>3</v>
      </c>
      <c r="H1228" s="17" t="s">
        <v>9</v>
      </c>
      <c r="I1228" s="30" t="s">
        <v>58</v>
      </c>
      <c r="J1228" s="22">
        <v>10.15</v>
      </c>
      <c r="K1228" s="22">
        <v>8.3000000000000007</v>
      </c>
      <c r="L1228" s="8">
        <f t="shared" si="1524"/>
        <v>1.8499999999999996</v>
      </c>
      <c r="M1228" s="24">
        <f t="shared" si="1522"/>
        <v>3.3303330333033301E-2</v>
      </c>
      <c r="N1228" s="14"/>
    </row>
    <row r="1229" spans="1:14" x14ac:dyDescent="0.25">
      <c r="A1229" s="20">
        <v>44585</v>
      </c>
      <c r="B1229" s="1">
        <f t="shared" ref="B1229" si="1526">B1226</f>
        <v>103</v>
      </c>
      <c r="C1229" s="1" t="s">
        <v>415</v>
      </c>
      <c r="D1229" s="1" t="s">
        <v>342</v>
      </c>
      <c r="E1229" s="26" t="e">
        <f t="shared" ref="E1229:F1229" si="1527">+E1228</f>
        <v>#REF!</v>
      </c>
      <c r="F1229" s="26" t="e">
        <f t="shared" si="1527"/>
        <v>#REF!</v>
      </c>
      <c r="G1229" s="17">
        <v>4</v>
      </c>
      <c r="H1229" s="17" t="s">
        <v>9</v>
      </c>
      <c r="I1229" s="30" t="s">
        <v>22</v>
      </c>
      <c r="J1229" s="22">
        <v>1.85</v>
      </c>
      <c r="K1229" s="22">
        <v>0.55000000000000004</v>
      </c>
      <c r="L1229" s="8">
        <f t="shared" si="1524"/>
        <v>1.3</v>
      </c>
      <c r="M1229" s="24">
        <f t="shared" si="1522"/>
        <v>2.3402340234023405E-2</v>
      </c>
      <c r="N1229" s="14"/>
    </row>
    <row r="1230" spans="1:14" x14ac:dyDescent="0.25">
      <c r="A1230" s="20">
        <v>44585</v>
      </c>
      <c r="B1230" s="1">
        <f t="shared" ref="B1230" si="1528">B1226</f>
        <v>103</v>
      </c>
      <c r="C1230" s="1" t="s">
        <v>415</v>
      </c>
      <c r="D1230" s="1" t="s">
        <v>342</v>
      </c>
      <c r="E1230" s="26" t="e">
        <f t="shared" ref="E1230:F1230" si="1529">+E1229</f>
        <v>#REF!</v>
      </c>
      <c r="F1230" s="26" t="e">
        <f t="shared" si="1529"/>
        <v>#REF!</v>
      </c>
      <c r="G1230" s="17">
        <v>5</v>
      </c>
      <c r="H1230" s="17" t="s">
        <v>9</v>
      </c>
      <c r="I1230" s="30" t="s">
        <v>34</v>
      </c>
      <c r="J1230" s="22">
        <f>1.15</f>
        <v>1.1499999999999999</v>
      </c>
      <c r="K1230" s="63">
        <v>0.55000000000000004</v>
      </c>
      <c r="L1230" s="8">
        <f t="shared" si="1524"/>
        <v>0.59999999999999987</v>
      </c>
      <c r="M1230" s="24">
        <f t="shared" si="1522"/>
        <v>1.0801080108010799E-2</v>
      </c>
      <c r="N1230" s="14"/>
    </row>
    <row r="1231" spans="1:14" x14ac:dyDescent="0.25">
      <c r="A1231" s="20">
        <v>44585</v>
      </c>
      <c r="B1231" s="1">
        <f t="shared" ref="B1231" si="1530">B1226</f>
        <v>103</v>
      </c>
      <c r="C1231" s="1" t="s">
        <v>415</v>
      </c>
      <c r="D1231" s="1" t="s">
        <v>342</v>
      </c>
      <c r="E1231" s="26" t="e">
        <f t="shared" ref="E1231:F1231" si="1531">+E1230</f>
        <v>#REF!</v>
      </c>
      <c r="F1231" s="26" t="e">
        <f t="shared" si="1531"/>
        <v>#REF!</v>
      </c>
      <c r="G1231" s="17">
        <v>6</v>
      </c>
      <c r="H1231" s="17" t="s">
        <v>9</v>
      </c>
      <c r="I1231" s="30" t="s">
        <v>35</v>
      </c>
      <c r="J1231" s="22"/>
      <c r="K1231" s="22"/>
      <c r="L1231" s="8">
        <f t="shared" si="1524"/>
        <v>0</v>
      </c>
      <c r="M1231" s="24">
        <f t="shared" si="1522"/>
        <v>0</v>
      </c>
      <c r="N1231" s="14"/>
    </row>
    <row r="1232" spans="1:14" x14ac:dyDescent="0.25">
      <c r="A1232" s="20">
        <v>44585</v>
      </c>
      <c r="B1232" s="1">
        <f t="shared" ref="B1232" si="1532">B1226</f>
        <v>103</v>
      </c>
      <c r="C1232" s="1" t="s">
        <v>415</v>
      </c>
      <c r="D1232" s="1" t="s">
        <v>342</v>
      </c>
      <c r="E1232" s="26" t="e">
        <f t="shared" ref="E1232:F1232" si="1533">+E1231</f>
        <v>#REF!</v>
      </c>
      <c r="F1232" s="26" t="e">
        <f t="shared" si="1533"/>
        <v>#REF!</v>
      </c>
      <c r="G1232" s="17">
        <v>7</v>
      </c>
      <c r="H1232" s="17" t="s">
        <v>9</v>
      </c>
      <c r="I1232" s="30" t="s">
        <v>36</v>
      </c>
      <c r="J1232" s="22">
        <v>7.2</v>
      </c>
      <c r="K1232" s="22">
        <v>6.05</v>
      </c>
      <c r="L1232" s="8">
        <f t="shared" si="1524"/>
        <v>1.1500000000000004</v>
      </c>
      <c r="M1232" s="24">
        <f t="shared" si="1522"/>
        <v>2.0702070207020709E-2</v>
      </c>
      <c r="N1232" s="14"/>
    </row>
    <row r="1233" spans="1:14" x14ac:dyDescent="0.25">
      <c r="A1233" s="20">
        <v>44585</v>
      </c>
      <c r="B1233" s="1">
        <f t="shared" ref="B1233" si="1534">B1226</f>
        <v>103</v>
      </c>
      <c r="C1233" s="1" t="s">
        <v>415</v>
      </c>
      <c r="D1233" s="1" t="s">
        <v>342</v>
      </c>
      <c r="E1233" s="26" t="e">
        <f>+E1232</f>
        <v>#REF!</v>
      </c>
      <c r="F1233" s="26" t="e">
        <f>+F1232</f>
        <v>#REF!</v>
      </c>
      <c r="G1233" s="17">
        <v>8</v>
      </c>
      <c r="H1233" s="17" t="s">
        <v>9</v>
      </c>
      <c r="I1233" s="30" t="s">
        <v>59</v>
      </c>
      <c r="J1233" s="22">
        <f>19.45+12.8</f>
        <v>32.25</v>
      </c>
      <c r="K1233" s="22">
        <f>8.55+8.55</f>
        <v>17.100000000000001</v>
      </c>
      <c r="L1233" s="8">
        <f t="shared" si="1524"/>
        <v>15.149999999999999</v>
      </c>
      <c r="M1233" s="24">
        <f t="shared" si="1522"/>
        <v>0.27272727272727271</v>
      </c>
      <c r="N1233" s="14"/>
    </row>
    <row r="1234" spans="1:14" x14ac:dyDescent="0.25">
      <c r="A1234" s="20">
        <v>44585</v>
      </c>
      <c r="B1234" s="1">
        <f t="shared" ref="B1234" si="1535">B1226</f>
        <v>103</v>
      </c>
      <c r="C1234" s="1" t="s">
        <v>415</v>
      </c>
      <c r="D1234" s="1" t="s">
        <v>342</v>
      </c>
      <c r="E1234" s="26" t="e">
        <f t="shared" ref="E1234:F1234" si="1536">+E1233</f>
        <v>#REF!</v>
      </c>
      <c r="F1234" s="26" t="e">
        <f t="shared" si="1536"/>
        <v>#REF!</v>
      </c>
      <c r="G1234" s="17">
        <v>9</v>
      </c>
      <c r="H1234" s="17" t="s">
        <v>9</v>
      </c>
      <c r="I1234" s="30" t="s">
        <v>38</v>
      </c>
      <c r="J1234" s="22">
        <v>2.7</v>
      </c>
      <c r="K1234" s="22">
        <v>0.55000000000000004</v>
      </c>
      <c r="L1234" s="8">
        <f t="shared" si="1524"/>
        <v>2.1500000000000004</v>
      </c>
      <c r="M1234" s="24">
        <f t="shared" si="1522"/>
        <v>3.8703870387038715E-2</v>
      </c>
      <c r="N1234" s="14"/>
    </row>
    <row r="1235" spans="1:14" x14ac:dyDescent="0.25">
      <c r="A1235" s="20">
        <v>44585</v>
      </c>
      <c r="B1235" s="1">
        <f t="shared" ref="B1235" si="1537">B1226</f>
        <v>103</v>
      </c>
      <c r="C1235" s="1" t="s">
        <v>415</v>
      </c>
      <c r="D1235" s="1" t="s">
        <v>342</v>
      </c>
      <c r="E1235" s="26" t="e">
        <f t="shared" ref="E1235:F1235" si="1538">+E1234</f>
        <v>#REF!</v>
      </c>
      <c r="F1235" s="26" t="e">
        <f t="shared" si="1538"/>
        <v>#REF!</v>
      </c>
      <c r="G1235" s="17">
        <v>10</v>
      </c>
      <c r="H1235" s="17" t="s">
        <v>9</v>
      </c>
      <c r="I1235" s="30" t="s">
        <v>23</v>
      </c>
      <c r="J1235" s="22">
        <f>16.5+15.55+11.7</f>
        <v>43.75</v>
      </c>
      <c r="K1235" s="22">
        <f>8.55+8.3+8.55</f>
        <v>25.400000000000002</v>
      </c>
      <c r="L1235" s="8">
        <f t="shared" si="1524"/>
        <v>18.349999999999998</v>
      </c>
      <c r="M1235" s="24">
        <f t="shared" si="1522"/>
        <v>0.3303330333033303</v>
      </c>
      <c r="N1235" s="14"/>
    </row>
    <row r="1236" spans="1:14" x14ac:dyDescent="0.25">
      <c r="A1236" s="20">
        <v>44585</v>
      </c>
      <c r="B1236" s="1">
        <f t="shared" ref="B1236" si="1539">B1226</f>
        <v>103</v>
      </c>
      <c r="C1236" s="1" t="s">
        <v>415</v>
      </c>
      <c r="D1236" s="1" t="s">
        <v>342</v>
      </c>
      <c r="E1236" s="26" t="e">
        <f t="shared" ref="E1236:F1236" si="1540">+E1235</f>
        <v>#REF!</v>
      </c>
      <c r="F1236" s="26" t="e">
        <f t="shared" si="1540"/>
        <v>#REF!</v>
      </c>
      <c r="G1236" s="17">
        <v>11</v>
      </c>
      <c r="H1236" s="17" t="s">
        <v>9</v>
      </c>
      <c r="I1236" s="30" t="s">
        <v>60</v>
      </c>
      <c r="J1236" s="22">
        <f>8.9+9.25</f>
        <v>18.149999999999999</v>
      </c>
      <c r="K1236" s="22">
        <f>8.55+8.3</f>
        <v>16.850000000000001</v>
      </c>
      <c r="L1236" s="8">
        <f t="shared" si="1524"/>
        <v>1.2999999999999972</v>
      </c>
      <c r="M1236" s="24">
        <f t="shared" si="1522"/>
        <v>2.3402340234023353E-2</v>
      </c>
      <c r="N1236" s="14"/>
    </row>
    <row r="1237" spans="1:14" ht="15.75" thickBot="1" x14ac:dyDescent="0.3">
      <c r="A1237" s="20">
        <v>44585</v>
      </c>
      <c r="B1237" s="57">
        <f t="shared" ref="B1237" si="1541">B1226</f>
        <v>103</v>
      </c>
      <c r="C1237" s="1" t="s">
        <v>415</v>
      </c>
      <c r="D1237" s="1" t="s">
        <v>342</v>
      </c>
      <c r="E1237" s="26" t="e">
        <f t="shared" ref="E1237:F1237" si="1542">+E1236</f>
        <v>#REF!</v>
      </c>
      <c r="F1237" s="26" t="e">
        <f t="shared" si="1542"/>
        <v>#REF!</v>
      </c>
      <c r="G1237" s="18">
        <f>+G1236+1</f>
        <v>12</v>
      </c>
      <c r="H1237" s="18" t="s">
        <v>10</v>
      </c>
      <c r="I1237" s="46" t="s">
        <v>10</v>
      </c>
      <c r="J1237" s="22">
        <f>11.35+13.15</f>
        <v>24.5</v>
      </c>
      <c r="K1237" s="63">
        <f>8.55+8.5</f>
        <v>17.05</v>
      </c>
      <c r="L1237" s="8">
        <f t="shared" si="1524"/>
        <v>7.4499999999999993</v>
      </c>
      <c r="M1237" s="24">
        <f t="shared" si="1522"/>
        <v>0.13411341134113411</v>
      </c>
      <c r="N1237" s="14"/>
    </row>
    <row r="1238" spans="1:14" x14ac:dyDescent="0.25">
      <c r="A1238" s="19">
        <v>44585</v>
      </c>
      <c r="B1238" s="15">
        <f t="shared" ref="B1238" si="1543">B1226+1</f>
        <v>104</v>
      </c>
      <c r="C1238" s="15" t="s">
        <v>416</v>
      </c>
      <c r="D1238" s="15" t="s">
        <v>342</v>
      </c>
      <c r="E1238" s="25">
        <f>84.8-36.4</f>
        <v>48.4</v>
      </c>
      <c r="F1238" s="25">
        <f>+SUM(L1238:L1249)</f>
        <v>49.649999999999991</v>
      </c>
      <c r="G1238" s="16">
        <v>1</v>
      </c>
      <c r="H1238" s="16" t="s">
        <v>9</v>
      </c>
      <c r="I1238" s="59" t="s">
        <v>56</v>
      </c>
      <c r="J1238" s="21">
        <f>9.9</f>
        <v>9.9</v>
      </c>
      <c r="K1238" s="21">
        <v>8.5500000000000007</v>
      </c>
      <c r="L1238" s="12">
        <f>+J1238-K1238</f>
        <v>1.3499999999999996</v>
      </c>
      <c r="M1238" s="23">
        <f t="shared" ref="M1238:M1249" si="1544">+L1238/SUMIF(C:C,C1238,L:L)</f>
        <v>2.7190332326283987E-2</v>
      </c>
      <c r="N1238" s="13"/>
    </row>
    <row r="1239" spans="1:14" x14ac:dyDescent="0.25">
      <c r="A1239" s="20">
        <v>44585</v>
      </c>
      <c r="B1239" s="1">
        <f t="shared" ref="B1239" si="1545">B1238</f>
        <v>104</v>
      </c>
      <c r="C1239" s="1" t="s">
        <v>416</v>
      </c>
      <c r="D1239" s="1" t="s">
        <v>342</v>
      </c>
      <c r="E1239" s="26">
        <f>+E1238</f>
        <v>48.4</v>
      </c>
      <c r="F1239" s="28">
        <f>+(F1238-E1238)/E1238</f>
        <v>2.5826446280991591E-2</v>
      </c>
      <c r="G1239" s="17">
        <v>2</v>
      </c>
      <c r="H1239" s="17" t="s">
        <v>9</v>
      </c>
      <c r="I1239" s="30" t="s">
        <v>57</v>
      </c>
      <c r="J1239" s="22">
        <v>11.05</v>
      </c>
      <c r="K1239" s="22">
        <f>8.55</f>
        <v>8.5500000000000007</v>
      </c>
      <c r="L1239" s="8">
        <f t="shared" ref="L1239:L1249" si="1546">+J1239-K1239</f>
        <v>2.5</v>
      </c>
      <c r="M1239" s="24">
        <f t="shared" si="1544"/>
        <v>5.0352467270896283E-2</v>
      </c>
      <c r="N1239" s="14"/>
    </row>
    <row r="1240" spans="1:14" x14ac:dyDescent="0.25">
      <c r="A1240" s="20">
        <v>44585</v>
      </c>
      <c r="B1240" s="1">
        <f t="shared" ref="B1240" si="1547">B1238</f>
        <v>104</v>
      </c>
      <c r="C1240" s="1" t="s">
        <v>416</v>
      </c>
      <c r="D1240" s="1" t="s">
        <v>342</v>
      </c>
      <c r="E1240" s="26" t="e">
        <f>+#REF!</f>
        <v>#REF!</v>
      </c>
      <c r="F1240" s="26" t="e">
        <f>+#REF!</f>
        <v>#REF!</v>
      </c>
      <c r="G1240" s="17">
        <v>3</v>
      </c>
      <c r="H1240" s="17" t="s">
        <v>9</v>
      </c>
      <c r="I1240" s="30" t="s">
        <v>58</v>
      </c>
      <c r="J1240" s="22">
        <v>10.199999999999999</v>
      </c>
      <c r="K1240" s="22">
        <v>8.5500000000000007</v>
      </c>
      <c r="L1240" s="8">
        <f t="shared" si="1546"/>
        <v>1.6499999999999986</v>
      </c>
      <c r="M1240" s="24">
        <f t="shared" si="1544"/>
        <v>3.3232628398791521E-2</v>
      </c>
      <c r="N1240" s="14"/>
    </row>
    <row r="1241" spans="1:14" x14ac:dyDescent="0.25">
      <c r="A1241" s="20">
        <v>44585</v>
      </c>
      <c r="B1241" s="1">
        <f t="shared" ref="B1241" si="1548">B1238</f>
        <v>104</v>
      </c>
      <c r="C1241" s="1" t="s">
        <v>416</v>
      </c>
      <c r="D1241" s="1" t="s">
        <v>342</v>
      </c>
      <c r="E1241" s="26" t="e">
        <f t="shared" ref="E1241:F1241" si="1549">+E1240</f>
        <v>#REF!</v>
      </c>
      <c r="F1241" s="26" t="e">
        <f t="shared" si="1549"/>
        <v>#REF!</v>
      </c>
      <c r="G1241" s="17">
        <v>4</v>
      </c>
      <c r="H1241" s="17" t="s">
        <v>9</v>
      </c>
      <c r="I1241" s="30" t="s">
        <v>22</v>
      </c>
      <c r="J1241" s="22">
        <v>1.6</v>
      </c>
      <c r="K1241" s="22">
        <v>0.55000000000000004</v>
      </c>
      <c r="L1241" s="8">
        <f t="shared" si="1546"/>
        <v>1.05</v>
      </c>
      <c r="M1241" s="24">
        <f t="shared" si="1544"/>
        <v>2.1148036253776439E-2</v>
      </c>
      <c r="N1241" s="14"/>
    </row>
    <row r="1242" spans="1:14" x14ac:dyDescent="0.25">
      <c r="A1242" s="20">
        <v>44585</v>
      </c>
      <c r="B1242" s="1">
        <f t="shared" ref="B1242" si="1550">B1238</f>
        <v>104</v>
      </c>
      <c r="C1242" s="1" t="s">
        <v>416</v>
      </c>
      <c r="D1242" s="1" t="s">
        <v>342</v>
      </c>
      <c r="E1242" s="26" t="e">
        <f t="shared" ref="E1242:F1242" si="1551">+E1241</f>
        <v>#REF!</v>
      </c>
      <c r="F1242" s="26" t="e">
        <f t="shared" si="1551"/>
        <v>#REF!</v>
      </c>
      <c r="G1242" s="17">
        <v>5</v>
      </c>
      <c r="H1242" s="17" t="s">
        <v>9</v>
      </c>
      <c r="I1242" s="30" t="s">
        <v>34</v>
      </c>
      <c r="J1242" s="22">
        <v>0.85</v>
      </c>
      <c r="K1242" s="63">
        <v>0.55000000000000004</v>
      </c>
      <c r="L1242" s="8">
        <f t="shared" si="1546"/>
        <v>0.29999999999999993</v>
      </c>
      <c r="M1242" s="24">
        <f t="shared" si="1544"/>
        <v>6.0422960725075529E-3</v>
      </c>
      <c r="N1242" s="14"/>
    </row>
    <row r="1243" spans="1:14" x14ac:dyDescent="0.25">
      <c r="A1243" s="20">
        <v>44585</v>
      </c>
      <c r="B1243" s="1">
        <f t="shared" ref="B1243" si="1552">B1238</f>
        <v>104</v>
      </c>
      <c r="C1243" s="1" t="s">
        <v>416</v>
      </c>
      <c r="D1243" s="1" t="s">
        <v>342</v>
      </c>
      <c r="E1243" s="26" t="e">
        <f t="shared" ref="E1243:F1243" si="1553">+E1242</f>
        <v>#REF!</v>
      </c>
      <c r="F1243" s="26" t="e">
        <f t="shared" si="1553"/>
        <v>#REF!</v>
      </c>
      <c r="G1243" s="17">
        <v>6</v>
      </c>
      <c r="H1243" s="17" t="s">
        <v>9</v>
      </c>
      <c r="I1243" s="30" t="s">
        <v>35</v>
      </c>
      <c r="J1243" s="22"/>
      <c r="K1243" s="22"/>
      <c r="L1243" s="8">
        <f t="shared" si="1546"/>
        <v>0</v>
      </c>
      <c r="M1243" s="24">
        <f t="shared" si="1544"/>
        <v>0</v>
      </c>
      <c r="N1243" s="14"/>
    </row>
    <row r="1244" spans="1:14" x14ac:dyDescent="0.25">
      <c r="A1244" s="20">
        <v>44585</v>
      </c>
      <c r="B1244" s="1">
        <f t="shared" ref="B1244" si="1554">B1238</f>
        <v>104</v>
      </c>
      <c r="C1244" s="1" t="s">
        <v>416</v>
      </c>
      <c r="D1244" s="1" t="s">
        <v>342</v>
      </c>
      <c r="E1244" s="26" t="e">
        <f t="shared" ref="E1244:F1244" si="1555">+E1243</f>
        <v>#REF!</v>
      </c>
      <c r="F1244" s="26" t="e">
        <f t="shared" si="1555"/>
        <v>#REF!</v>
      </c>
      <c r="G1244" s="17">
        <v>7</v>
      </c>
      <c r="H1244" s="17" t="s">
        <v>9</v>
      </c>
      <c r="I1244" s="30" t="s">
        <v>36</v>
      </c>
      <c r="J1244" s="22">
        <v>0.5</v>
      </c>
      <c r="K1244" s="22">
        <v>0</v>
      </c>
      <c r="L1244" s="8">
        <f t="shared" si="1546"/>
        <v>0.5</v>
      </c>
      <c r="M1244" s="24">
        <f t="shared" si="1544"/>
        <v>1.0070493454179257E-2</v>
      </c>
      <c r="N1244" s="14"/>
    </row>
    <row r="1245" spans="1:14" x14ac:dyDescent="0.25">
      <c r="A1245" s="20">
        <v>44585</v>
      </c>
      <c r="B1245" s="1">
        <f t="shared" ref="B1245" si="1556">B1238</f>
        <v>104</v>
      </c>
      <c r="C1245" s="1" t="s">
        <v>416</v>
      </c>
      <c r="D1245" s="1" t="s">
        <v>342</v>
      </c>
      <c r="E1245" s="26" t="e">
        <f>+E1244</f>
        <v>#REF!</v>
      </c>
      <c r="F1245" s="26" t="e">
        <f>+F1244</f>
        <v>#REF!</v>
      </c>
      <c r="G1245" s="17">
        <v>8</v>
      </c>
      <c r="H1245" s="17" t="s">
        <v>9</v>
      </c>
      <c r="I1245" s="30" t="s">
        <v>59</v>
      </c>
      <c r="J1245" s="22">
        <f>16.85+13</f>
        <v>29.85</v>
      </c>
      <c r="K1245" s="22">
        <f>8.3+8.55</f>
        <v>16.850000000000001</v>
      </c>
      <c r="L1245" s="8">
        <f t="shared" si="1546"/>
        <v>13</v>
      </c>
      <c r="M1245" s="24">
        <f t="shared" si="1544"/>
        <v>0.26183282980866068</v>
      </c>
      <c r="N1245" s="14"/>
    </row>
    <row r="1246" spans="1:14" x14ac:dyDescent="0.25">
      <c r="A1246" s="20">
        <v>44585</v>
      </c>
      <c r="B1246" s="1">
        <f t="shared" ref="B1246" si="1557">B1238</f>
        <v>104</v>
      </c>
      <c r="C1246" s="1" t="s">
        <v>416</v>
      </c>
      <c r="D1246" s="1" t="s">
        <v>342</v>
      </c>
      <c r="E1246" s="26" t="e">
        <f t="shared" ref="E1246:F1246" si="1558">+E1245</f>
        <v>#REF!</v>
      </c>
      <c r="F1246" s="26" t="e">
        <f t="shared" si="1558"/>
        <v>#REF!</v>
      </c>
      <c r="G1246" s="17">
        <v>9</v>
      </c>
      <c r="H1246" s="17" t="s">
        <v>9</v>
      </c>
      <c r="I1246" s="30" t="s">
        <v>38</v>
      </c>
      <c r="J1246" s="22">
        <v>2.4</v>
      </c>
      <c r="K1246" s="22">
        <v>0.5</v>
      </c>
      <c r="L1246" s="8">
        <f t="shared" si="1546"/>
        <v>1.9</v>
      </c>
      <c r="M1246" s="24">
        <f t="shared" si="1544"/>
        <v>3.8267875125881173E-2</v>
      </c>
      <c r="N1246" s="14"/>
    </row>
    <row r="1247" spans="1:14" x14ac:dyDescent="0.25">
      <c r="A1247" s="20">
        <v>44585</v>
      </c>
      <c r="B1247" s="1">
        <f t="shared" ref="B1247" si="1559">B1238</f>
        <v>104</v>
      </c>
      <c r="C1247" s="1" t="s">
        <v>416</v>
      </c>
      <c r="D1247" s="1" t="s">
        <v>342</v>
      </c>
      <c r="E1247" s="26" t="e">
        <f t="shared" ref="E1247:F1247" si="1560">+E1246</f>
        <v>#REF!</v>
      </c>
      <c r="F1247" s="26" t="e">
        <f t="shared" si="1560"/>
        <v>#REF!</v>
      </c>
      <c r="G1247" s="17">
        <v>10</v>
      </c>
      <c r="H1247" s="17" t="s">
        <v>9</v>
      </c>
      <c r="I1247" s="30" t="s">
        <v>23</v>
      </c>
      <c r="J1247" s="22">
        <f>13.65+15.4</f>
        <v>29.05</v>
      </c>
      <c r="K1247" s="22">
        <f>8.55+8.3</f>
        <v>16.850000000000001</v>
      </c>
      <c r="L1247" s="8">
        <f t="shared" si="1546"/>
        <v>12.2</v>
      </c>
      <c r="M1247" s="24">
        <f t="shared" si="1544"/>
        <v>0.24572004028197383</v>
      </c>
      <c r="N1247" s="14"/>
    </row>
    <row r="1248" spans="1:14" x14ac:dyDescent="0.25">
      <c r="A1248" s="20">
        <v>44585</v>
      </c>
      <c r="B1248" s="1">
        <f t="shared" ref="B1248" si="1561">B1238</f>
        <v>104</v>
      </c>
      <c r="C1248" s="1" t="s">
        <v>416</v>
      </c>
      <c r="D1248" s="1" t="s">
        <v>342</v>
      </c>
      <c r="E1248" s="26" t="e">
        <f t="shared" ref="E1248:F1248" si="1562">+E1247</f>
        <v>#REF!</v>
      </c>
      <c r="F1248" s="26" t="e">
        <f t="shared" si="1562"/>
        <v>#REF!</v>
      </c>
      <c r="G1248" s="17">
        <v>11</v>
      </c>
      <c r="H1248" s="17" t="s">
        <v>9</v>
      </c>
      <c r="I1248" s="30" t="s">
        <v>60</v>
      </c>
      <c r="J1248" s="22">
        <f>8.7+9.15</f>
        <v>17.850000000000001</v>
      </c>
      <c r="K1248" s="22">
        <f>8.55+8.55</f>
        <v>17.100000000000001</v>
      </c>
      <c r="L1248" s="8">
        <f t="shared" si="1546"/>
        <v>0.75</v>
      </c>
      <c r="M1248" s="24">
        <f t="shared" si="1544"/>
        <v>1.5105740181268885E-2</v>
      </c>
      <c r="N1248" s="14"/>
    </row>
    <row r="1249" spans="1:14" ht="15.75" thickBot="1" x14ac:dyDescent="0.3">
      <c r="A1249" s="20">
        <v>44585</v>
      </c>
      <c r="B1249" s="57">
        <f t="shared" ref="B1249" si="1563">B1238</f>
        <v>104</v>
      </c>
      <c r="C1249" s="1" t="s">
        <v>416</v>
      </c>
      <c r="D1249" s="1" t="s">
        <v>342</v>
      </c>
      <c r="E1249" s="26" t="e">
        <f t="shared" ref="E1249:F1249" si="1564">+E1248</f>
        <v>#REF!</v>
      </c>
      <c r="F1249" s="26" t="e">
        <f t="shared" si="1564"/>
        <v>#REF!</v>
      </c>
      <c r="G1249" s="18">
        <f>+G1248+1</f>
        <v>12</v>
      </c>
      <c r="H1249" s="18" t="s">
        <v>10</v>
      </c>
      <c r="I1249" s="46" t="s">
        <v>10</v>
      </c>
      <c r="J1249" s="22">
        <f>16.05+15.25</f>
        <v>31.3</v>
      </c>
      <c r="K1249" s="63">
        <f>8.55+8.3</f>
        <v>16.850000000000001</v>
      </c>
      <c r="L1249" s="8">
        <f t="shared" si="1546"/>
        <v>14.45</v>
      </c>
      <c r="M1249" s="24">
        <f t="shared" si="1544"/>
        <v>0.29103726082578052</v>
      </c>
      <c r="N1249" s="14" t="s">
        <v>417</v>
      </c>
    </row>
    <row r="1250" spans="1:14" x14ac:dyDescent="0.25">
      <c r="A1250" s="19">
        <v>44585</v>
      </c>
      <c r="B1250" s="15">
        <f t="shared" ref="B1250" si="1565">B1238+1</f>
        <v>105</v>
      </c>
      <c r="C1250" s="15" t="s">
        <v>418</v>
      </c>
      <c r="D1250" s="15" t="s">
        <v>342</v>
      </c>
      <c r="E1250" s="25">
        <f>82.6-36.4</f>
        <v>46.199999999999996</v>
      </c>
      <c r="F1250" s="25">
        <f>+SUM(L1250:L1261)</f>
        <v>46.449999999999989</v>
      </c>
      <c r="G1250" s="16">
        <v>1</v>
      </c>
      <c r="H1250" s="16" t="s">
        <v>9</v>
      </c>
      <c r="I1250" s="59" t="s">
        <v>56</v>
      </c>
      <c r="J1250" s="21">
        <f>9.9</f>
        <v>9.9</v>
      </c>
      <c r="K1250" s="21">
        <f>8.5</f>
        <v>8.5</v>
      </c>
      <c r="L1250" s="12">
        <f>+J1250-K1250</f>
        <v>1.4000000000000004</v>
      </c>
      <c r="M1250" s="23">
        <f t="shared" ref="M1250:M1313" si="1566">+L1250/SUMIF(C:C,C1250,L:L)</f>
        <v>3.0139935414424127E-2</v>
      </c>
      <c r="N1250" s="13"/>
    </row>
    <row r="1251" spans="1:14" x14ac:dyDescent="0.25">
      <c r="A1251" s="20">
        <v>44585</v>
      </c>
      <c r="B1251" s="1">
        <f t="shared" ref="B1251" si="1567">B1250</f>
        <v>105</v>
      </c>
      <c r="C1251" s="1" t="s">
        <v>418</v>
      </c>
      <c r="D1251" s="1" t="s">
        <v>342</v>
      </c>
      <c r="E1251" s="26">
        <f>+E1250</f>
        <v>46.199999999999996</v>
      </c>
      <c r="F1251" s="28">
        <f>+(F1250-E1250)/E1250</f>
        <v>5.4112554112552584E-3</v>
      </c>
      <c r="G1251" s="17">
        <v>2</v>
      </c>
      <c r="H1251" s="17" t="s">
        <v>9</v>
      </c>
      <c r="I1251" s="30" t="s">
        <v>57</v>
      </c>
      <c r="J1251" s="22">
        <v>10.55</v>
      </c>
      <c r="K1251" s="22">
        <v>8.3000000000000007</v>
      </c>
      <c r="L1251" s="8">
        <f t="shared" ref="L1251:L1261" si="1568">+J1251-K1251</f>
        <v>2.25</v>
      </c>
      <c r="M1251" s="24">
        <f t="shared" si="1566"/>
        <v>4.8439181916038763E-2</v>
      </c>
      <c r="N1251" s="14"/>
    </row>
    <row r="1252" spans="1:14" x14ac:dyDescent="0.25">
      <c r="A1252" s="20">
        <v>44585</v>
      </c>
      <c r="B1252" s="1">
        <f t="shared" ref="B1252" si="1569">B1250</f>
        <v>105</v>
      </c>
      <c r="C1252" s="1" t="s">
        <v>418</v>
      </c>
      <c r="D1252" s="1" t="s">
        <v>342</v>
      </c>
      <c r="E1252" s="26" t="e">
        <f>+#REF!</f>
        <v>#REF!</v>
      </c>
      <c r="F1252" s="26" t="e">
        <f>+#REF!</f>
        <v>#REF!</v>
      </c>
      <c r="G1252" s="17">
        <v>3</v>
      </c>
      <c r="H1252" s="17" t="s">
        <v>9</v>
      </c>
      <c r="I1252" s="30" t="s">
        <v>58</v>
      </c>
      <c r="J1252" s="22">
        <v>10.3</v>
      </c>
      <c r="K1252" s="22">
        <v>8.5500000000000007</v>
      </c>
      <c r="L1252" s="8">
        <f t="shared" si="1568"/>
        <v>1.75</v>
      </c>
      <c r="M1252" s="24">
        <f t="shared" si="1566"/>
        <v>3.7674919268030148E-2</v>
      </c>
      <c r="N1252" s="14"/>
    </row>
    <row r="1253" spans="1:14" x14ac:dyDescent="0.25">
      <c r="A1253" s="20">
        <v>44585</v>
      </c>
      <c r="B1253" s="1">
        <f t="shared" ref="B1253" si="1570">B1250</f>
        <v>105</v>
      </c>
      <c r="C1253" s="1" t="s">
        <v>418</v>
      </c>
      <c r="D1253" s="1" t="s">
        <v>342</v>
      </c>
      <c r="E1253" s="26" t="e">
        <f t="shared" ref="E1253:F1253" si="1571">+E1252</f>
        <v>#REF!</v>
      </c>
      <c r="F1253" s="26" t="e">
        <f t="shared" si="1571"/>
        <v>#REF!</v>
      </c>
      <c r="G1253" s="17">
        <v>4</v>
      </c>
      <c r="H1253" s="17" t="s">
        <v>9</v>
      </c>
      <c r="I1253" s="30" t="s">
        <v>22</v>
      </c>
      <c r="J1253" s="22">
        <v>1.95</v>
      </c>
      <c r="K1253" s="22">
        <v>0.55000000000000004</v>
      </c>
      <c r="L1253" s="8">
        <f t="shared" si="1568"/>
        <v>1.4</v>
      </c>
      <c r="M1253" s="24">
        <f t="shared" si="1566"/>
        <v>3.0139935414424116E-2</v>
      </c>
      <c r="N1253" s="14"/>
    </row>
    <row r="1254" spans="1:14" x14ac:dyDescent="0.25">
      <c r="A1254" s="20">
        <v>44585</v>
      </c>
      <c r="B1254" s="1">
        <f t="shared" ref="B1254" si="1572">B1250</f>
        <v>105</v>
      </c>
      <c r="C1254" s="1" t="s">
        <v>418</v>
      </c>
      <c r="D1254" s="1" t="s">
        <v>342</v>
      </c>
      <c r="E1254" s="26" t="e">
        <f t="shared" ref="E1254:F1254" si="1573">+E1253</f>
        <v>#REF!</v>
      </c>
      <c r="F1254" s="26" t="e">
        <f t="shared" si="1573"/>
        <v>#REF!</v>
      </c>
      <c r="G1254" s="17">
        <v>5</v>
      </c>
      <c r="H1254" s="17" t="s">
        <v>9</v>
      </c>
      <c r="I1254" s="30" t="s">
        <v>34</v>
      </c>
      <c r="J1254" s="22">
        <v>1.05</v>
      </c>
      <c r="K1254" s="63">
        <v>0.55000000000000004</v>
      </c>
      <c r="L1254" s="8">
        <f t="shared" si="1568"/>
        <v>0.5</v>
      </c>
      <c r="M1254" s="24">
        <f t="shared" si="1566"/>
        <v>1.0764262648008614E-2</v>
      </c>
      <c r="N1254" s="14"/>
    </row>
    <row r="1255" spans="1:14" x14ac:dyDescent="0.25">
      <c r="A1255" s="20">
        <v>44585</v>
      </c>
      <c r="B1255" s="1">
        <f t="shared" ref="B1255" si="1574">B1250</f>
        <v>105</v>
      </c>
      <c r="C1255" s="1" t="s">
        <v>418</v>
      </c>
      <c r="D1255" s="1" t="s">
        <v>342</v>
      </c>
      <c r="E1255" s="26" t="e">
        <f t="shared" ref="E1255:F1255" si="1575">+E1254</f>
        <v>#REF!</v>
      </c>
      <c r="F1255" s="26" t="e">
        <f t="shared" si="1575"/>
        <v>#REF!</v>
      </c>
      <c r="G1255" s="17">
        <v>6</v>
      </c>
      <c r="H1255" s="17" t="s">
        <v>9</v>
      </c>
      <c r="I1255" s="30" t="s">
        <v>35</v>
      </c>
      <c r="J1255" s="22"/>
      <c r="K1255" s="22"/>
      <c r="L1255" s="8">
        <f t="shared" si="1568"/>
        <v>0</v>
      </c>
      <c r="M1255" s="24">
        <f t="shared" si="1566"/>
        <v>0</v>
      </c>
      <c r="N1255" s="14"/>
    </row>
    <row r="1256" spans="1:14" x14ac:dyDescent="0.25">
      <c r="A1256" s="20">
        <v>44585</v>
      </c>
      <c r="B1256" s="1">
        <f t="shared" ref="B1256" si="1576">B1250</f>
        <v>105</v>
      </c>
      <c r="C1256" s="1" t="s">
        <v>418</v>
      </c>
      <c r="D1256" s="1" t="s">
        <v>342</v>
      </c>
      <c r="E1256" s="26" t="e">
        <f t="shared" ref="E1256:F1256" si="1577">+E1255</f>
        <v>#REF!</v>
      </c>
      <c r="F1256" s="26" t="e">
        <f t="shared" si="1577"/>
        <v>#REF!</v>
      </c>
      <c r="G1256" s="17">
        <v>7</v>
      </c>
      <c r="H1256" s="17" t="s">
        <v>9</v>
      </c>
      <c r="I1256" s="30" t="s">
        <v>36</v>
      </c>
      <c r="J1256" s="22">
        <v>0.4</v>
      </c>
      <c r="K1256" s="22">
        <v>0</v>
      </c>
      <c r="L1256" s="8">
        <f t="shared" si="1568"/>
        <v>0.4</v>
      </c>
      <c r="M1256" s="24">
        <f t="shared" si="1566"/>
        <v>8.6114101184068918E-3</v>
      </c>
      <c r="N1256" s="14"/>
    </row>
    <row r="1257" spans="1:14" x14ac:dyDescent="0.25">
      <c r="A1257" s="20">
        <v>44585</v>
      </c>
      <c r="B1257" s="1">
        <f t="shared" ref="B1257" si="1578">B1250</f>
        <v>105</v>
      </c>
      <c r="C1257" s="1" t="s">
        <v>418</v>
      </c>
      <c r="D1257" s="1" t="s">
        <v>342</v>
      </c>
      <c r="E1257" s="26" t="e">
        <f>+E1256</f>
        <v>#REF!</v>
      </c>
      <c r="F1257" s="26" t="e">
        <f>+F1256</f>
        <v>#REF!</v>
      </c>
      <c r="G1257" s="17">
        <v>8</v>
      </c>
      <c r="H1257" s="17" t="s">
        <v>9</v>
      </c>
      <c r="I1257" s="30" t="s">
        <v>59</v>
      </c>
      <c r="J1257" s="22">
        <f>19.3+12</f>
        <v>31.3</v>
      </c>
      <c r="K1257" s="22">
        <f>8.3+8.55</f>
        <v>16.850000000000001</v>
      </c>
      <c r="L1257" s="8">
        <f t="shared" si="1568"/>
        <v>14.45</v>
      </c>
      <c r="M1257" s="24">
        <f t="shared" si="1566"/>
        <v>0.31108719052744893</v>
      </c>
      <c r="N1257" s="14"/>
    </row>
    <row r="1258" spans="1:14" x14ac:dyDescent="0.25">
      <c r="A1258" s="20">
        <v>44585</v>
      </c>
      <c r="B1258" s="1">
        <f t="shared" ref="B1258" si="1579">B1250</f>
        <v>105</v>
      </c>
      <c r="C1258" s="1" t="s">
        <v>418</v>
      </c>
      <c r="D1258" s="1" t="s">
        <v>342</v>
      </c>
      <c r="E1258" s="26" t="e">
        <f t="shared" ref="E1258:F1258" si="1580">+E1257</f>
        <v>#REF!</v>
      </c>
      <c r="F1258" s="26" t="e">
        <f t="shared" si="1580"/>
        <v>#REF!</v>
      </c>
      <c r="G1258" s="17">
        <v>9</v>
      </c>
      <c r="H1258" s="17" t="s">
        <v>9</v>
      </c>
      <c r="I1258" s="30" t="s">
        <v>38</v>
      </c>
      <c r="J1258" s="22">
        <v>2.5499999999999998</v>
      </c>
      <c r="K1258" s="22">
        <v>0.5</v>
      </c>
      <c r="L1258" s="8">
        <f t="shared" si="1568"/>
        <v>2.0499999999999998</v>
      </c>
      <c r="M1258" s="24">
        <f t="shared" si="1566"/>
        <v>4.4133476856835316E-2</v>
      </c>
      <c r="N1258" s="14"/>
    </row>
    <row r="1259" spans="1:14" x14ac:dyDescent="0.25">
      <c r="A1259" s="20">
        <v>44585</v>
      </c>
      <c r="B1259" s="1">
        <f t="shared" ref="B1259" si="1581">B1250</f>
        <v>105</v>
      </c>
      <c r="C1259" s="1" t="s">
        <v>418</v>
      </c>
      <c r="D1259" s="1" t="s">
        <v>342</v>
      </c>
      <c r="E1259" s="26" t="e">
        <f t="shared" ref="E1259:F1259" si="1582">+E1258</f>
        <v>#REF!</v>
      </c>
      <c r="F1259" s="26" t="e">
        <f t="shared" si="1582"/>
        <v>#REF!</v>
      </c>
      <c r="G1259" s="17">
        <v>10</v>
      </c>
      <c r="H1259" s="17" t="s">
        <v>9</v>
      </c>
      <c r="I1259" s="30" t="s">
        <v>23</v>
      </c>
      <c r="J1259" s="22">
        <f>19.75+14.05</f>
        <v>33.799999999999997</v>
      </c>
      <c r="K1259" s="22">
        <f>8.5+8.55</f>
        <v>17.05</v>
      </c>
      <c r="L1259" s="8">
        <f t="shared" si="1568"/>
        <v>16.749999999999996</v>
      </c>
      <c r="M1259" s="24">
        <f t="shared" si="1566"/>
        <v>0.36060279870828849</v>
      </c>
      <c r="N1259" s="14"/>
    </row>
    <row r="1260" spans="1:14" x14ac:dyDescent="0.25">
      <c r="A1260" s="20">
        <v>44585</v>
      </c>
      <c r="B1260" s="1">
        <f t="shared" ref="B1260" si="1583">B1250</f>
        <v>105</v>
      </c>
      <c r="C1260" s="1" t="s">
        <v>418</v>
      </c>
      <c r="D1260" s="1" t="s">
        <v>342</v>
      </c>
      <c r="E1260" s="26" t="e">
        <f t="shared" ref="E1260:F1260" si="1584">+E1259</f>
        <v>#REF!</v>
      </c>
      <c r="F1260" s="26" t="e">
        <f t="shared" si="1584"/>
        <v>#REF!</v>
      </c>
      <c r="G1260" s="17">
        <v>11</v>
      </c>
      <c r="H1260" s="17" t="s">
        <v>9</v>
      </c>
      <c r="I1260" s="30" t="s">
        <v>60</v>
      </c>
      <c r="J1260" s="22">
        <f>8.85+8.3</f>
        <v>17.149999999999999</v>
      </c>
      <c r="K1260" s="22">
        <f>8.55+8.05</f>
        <v>16.600000000000001</v>
      </c>
      <c r="L1260" s="8">
        <f t="shared" si="1568"/>
        <v>0.54999999999999716</v>
      </c>
      <c r="M1260" s="24">
        <f t="shared" si="1566"/>
        <v>1.1840688912809415E-2</v>
      </c>
      <c r="N1260" s="14"/>
    </row>
    <row r="1261" spans="1:14" ht="15.75" thickBot="1" x14ac:dyDescent="0.3">
      <c r="A1261" s="20">
        <v>44585</v>
      </c>
      <c r="B1261" s="57">
        <f t="shared" ref="B1261" si="1585">B1250</f>
        <v>105</v>
      </c>
      <c r="C1261" s="1" t="s">
        <v>418</v>
      </c>
      <c r="D1261" s="1" t="s">
        <v>342</v>
      </c>
      <c r="E1261" s="26" t="e">
        <f t="shared" ref="E1261:F1261" si="1586">+E1260</f>
        <v>#REF!</v>
      </c>
      <c r="F1261" s="26" t="e">
        <f t="shared" si="1586"/>
        <v>#REF!</v>
      </c>
      <c r="G1261" s="18">
        <f>+G1260+1</f>
        <v>12</v>
      </c>
      <c r="H1261" s="18" t="s">
        <v>10</v>
      </c>
      <c r="I1261" s="46" t="s">
        <v>10</v>
      </c>
      <c r="J1261" s="22">
        <f>10.35+11.7</f>
        <v>22.049999999999997</v>
      </c>
      <c r="K1261" s="63">
        <f>8.55+8.55</f>
        <v>17.100000000000001</v>
      </c>
      <c r="L1261" s="8">
        <f t="shared" si="1568"/>
        <v>4.9499999999999957</v>
      </c>
      <c r="M1261" s="24">
        <f t="shared" si="1566"/>
        <v>0.10656620021528519</v>
      </c>
      <c r="N1261" s="14"/>
    </row>
    <row r="1262" spans="1:14" x14ac:dyDescent="0.25">
      <c r="A1262" s="19">
        <v>44585</v>
      </c>
      <c r="B1262" s="15">
        <f t="shared" ref="B1262" si="1587">B1250+1</f>
        <v>106</v>
      </c>
      <c r="C1262" s="15" t="s">
        <v>419</v>
      </c>
      <c r="D1262" s="15" t="s">
        <v>180</v>
      </c>
      <c r="E1262" s="25">
        <f>46.4-1.2</f>
        <v>45.199999999999996</v>
      </c>
      <c r="F1262" s="25">
        <f>+SUM(L1262:L1273)</f>
        <v>45.769999999999989</v>
      </c>
      <c r="G1262" s="16">
        <v>1</v>
      </c>
      <c r="H1262" s="16" t="s">
        <v>9</v>
      </c>
      <c r="I1262" s="59" t="s">
        <v>56</v>
      </c>
      <c r="J1262" s="21"/>
      <c r="K1262" s="21"/>
      <c r="L1262" s="12">
        <f>+J1262-K1262</f>
        <v>0</v>
      </c>
      <c r="M1262" s="23">
        <f t="shared" si="1566"/>
        <v>0</v>
      </c>
      <c r="N1262" s="13"/>
    </row>
    <row r="1263" spans="1:14" x14ac:dyDescent="0.25">
      <c r="A1263" s="20">
        <v>44585</v>
      </c>
      <c r="B1263" s="1">
        <f t="shared" ref="B1263" si="1588">B1262</f>
        <v>106</v>
      </c>
      <c r="C1263" s="1" t="s">
        <v>419</v>
      </c>
      <c r="D1263" s="1" t="s">
        <v>180</v>
      </c>
      <c r="E1263" s="26">
        <f>+E1262</f>
        <v>45.199999999999996</v>
      </c>
      <c r="F1263" s="28">
        <f>+(F1262-E1262)/E1262</f>
        <v>1.2610619469026399E-2</v>
      </c>
      <c r="G1263" s="17">
        <v>2</v>
      </c>
      <c r="H1263" s="17" t="s">
        <v>9</v>
      </c>
      <c r="I1263" s="30" t="s">
        <v>57</v>
      </c>
      <c r="J1263" s="22"/>
      <c r="K1263" s="22"/>
      <c r="L1263" s="8">
        <f t="shared" ref="L1263:L1273" si="1589">+J1263-K1263</f>
        <v>0</v>
      </c>
      <c r="M1263" s="24">
        <f t="shared" si="1566"/>
        <v>0</v>
      </c>
      <c r="N1263" s="14"/>
    </row>
    <row r="1264" spans="1:14" x14ac:dyDescent="0.25">
      <c r="A1264" s="20">
        <v>44585</v>
      </c>
      <c r="B1264" s="1">
        <f t="shared" ref="B1264" si="1590">B1262</f>
        <v>106</v>
      </c>
      <c r="C1264" s="1" t="s">
        <v>419</v>
      </c>
      <c r="D1264" s="1" t="s">
        <v>180</v>
      </c>
      <c r="E1264" s="26" t="e">
        <f>+#REF!</f>
        <v>#REF!</v>
      </c>
      <c r="F1264" s="26" t="e">
        <f>+#REF!</f>
        <v>#REF!</v>
      </c>
      <c r="G1264" s="17">
        <v>3</v>
      </c>
      <c r="H1264" s="17" t="s">
        <v>9</v>
      </c>
      <c r="I1264" s="30" t="s">
        <v>58</v>
      </c>
      <c r="J1264" s="22"/>
      <c r="K1264" s="22"/>
      <c r="L1264" s="8">
        <f t="shared" si="1589"/>
        <v>0</v>
      </c>
      <c r="M1264" s="24">
        <f t="shared" si="1566"/>
        <v>0</v>
      </c>
      <c r="N1264" s="14"/>
    </row>
    <row r="1265" spans="1:14" x14ac:dyDescent="0.25">
      <c r="A1265" s="20">
        <v>44585</v>
      </c>
      <c r="B1265" s="1">
        <f t="shared" ref="B1265" si="1591">B1262</f>
        <v>106</v>
      </c>
      <c r="C1265" s="1" t="s">
        <v>419</v>
      </c>
      <c r="D1265" s="1" t="s">
        <v>180</v>
      </c>
      <c r="E1265" s="26" t="e">
        <f t="shared" ref="E1265:F1265" si="1592">+E1264</f>
        <v>#REF!</v>
      </c>
      <c r="F1265" s="26" t="e">
        <f t="shared" si="1592"/>
        <v>#REF!</v>
      </c>
      <c r="G1265" s="17">
        <v>4</v>
      </c>
      <c r="H1265" s="17" t="s">
        <v>9</v>
      </c>
      <c r="I1265" s="30" t="s">
        <v>22</v>
      </c>
      <c r="J1265" s="22"/>
      <c r="K1265" s="22"/>
      <c r="L1265" s="8">
        <f t="shared" si="1589"/>
        <v>0</v>
      </c>
      <c r="M1265" s="24">
        <f t="shared" si="1566"/>
        <v>0</v>
      </c>
      <c r="N1265" s="14"/>
    </row>
    <row r="1266" spans="1:14" x14ac:dyDescent="0.25">
      <c r="A1266" s="20">
        <v>44585</v>
      </c>
      <c r="B1266" s="1">
        <f t="shared" ref="B1266" si="1593">B1262</f>
        <v>106</v>
      </c>
      <c r="C1266" s="1" t="s">
        <v>419</v>
      </c>
      <c r="D1266" s="1" t="s">
        <v>180</v>
      </c>
      <c r="E1266" s="26" t="e">
        <f t="shared" ref="E1266:F1266" si="1594">+E1265</f>
        <v>#REF!</v>
      </c>
      <c r="F1266" s="26" t="e">
        <f t="shared" si="1594"/>
        <v>#REF!</v>
      </c>
      <c r="G1266" s="17">
        <v>5</v>
      </c>
      <c r="H1266" s="17" t="s">
        <v>9</v>
      </c>
      <c r="I1266" s="30" t="s">
        <v>34</v>
      </c>
      <c r="J1266" s="22"/>
      <c r="K1266" s="63"/>
      <c r="L1266" s="8">
        <f t="shared" si="1589"/>
        <v>0</v>
      </c>
      <c r="M1266" s="24">
        <f t="shared" si="1566"/>
        <v>0</v>
      </c>
      <c r="N1266" s="14"/>
    </row>
    <row r="1267" spans="1:14" x14ac:dyDescent="0.25">
      <c r="A1267" s="20">
        <v>44585</v>
      </c>
      <c r="B1267" s="1">
        <f t="shared" ref="B1267" si="1595">B1262</f>
        <v>106</v>
      </c>
      <c r="C1267" s="1" t="s">
        <v>419</v>
      </c>
      <c r="D1267" s="1" t="s">
        <v>180</v>
      </c>
      <c r="E1267" s="26" t="e">
        <f t="shared" ref="E1267:F1267" si="1596">+E1266</f>
        <v>#REF!</v>
      </c>
      <c r="F1267" s="26" t="e">
        <f t="shared" si="1596"/>
        <v>#REF!</v>
      </c>
      <c r="G1267" s="17">
        <v>6</v>
      </c>
      <c r="H1267" s="17" t="s">
        <v>9</v>
      </c>
      <c r="I1267" s="30" t="s">
        <v>35</v>
      </c>
      <c r="J1267" s="22"/>
      <c r="K1267" s="22"/>
      <c r="L1267" s="8">
        <f t="shared" si="1589"/>
        <v>0</v>
      </c>
      <c r="M1267" s="24">
        <f t="shared" si="1566"/>
        <v>0</v>
      </c>
      <c r="N1267" s="14"/>
    </row>
    <row r="1268" spans="1:14" x14ac:dyDescent="0.25">
      <c r="A1268" s="20">
        <v>44585</v>
      </c>
      <c r="B1268" s="1">
        <f t="shared" ref="B1268" si="1597">B1262</f>
        <v>106</v>
      </c>
      <c r="C1268" s="1" t="s">
        <v>419</v>
      </c>
      <c r="D1268" s="1" t="s">
        <v>180</v>
      </c>
      <c r="E1268" s="26" t="e">
        <f t="shared" ref="E1268:F1268" si="1598">+E1267</f>
        <v>#REF!</v>
      </c>
      <c r="F1268" s="26" t="e">
        <f t="shared" si="1598"/>
        <v>#REF!</v>
      </c>
      <c r="G1268" s="17">
        <v>7</v>
      </c>
      <c r="H1268" s="17" t="s">
        <v>9</v>
      </c>
      <c r="I1268" s="30" t="s">
        <v>36</v>
      </c>
      <c r="J1268" s="22">
        <v>6.45</v>
      </c>
      <c r="K1268" s="22">
        <v>6.05</v>
      </c>
      <c r="L1268" s="8">
        <f t="shared" si="1589"/>
        <v>0.40000000000000036</v>
      </c>
      <c r="M1268" s="24">
        <f t="shared" si="1566"/>
        <v>8.7393489185055816E-3</v>
      </c>
      <c r="N1268" s="14"/>
    </row>
    <row r="1269" spans="1:14" x14ac:dyDescent="0.25">
      <c r="A1269" s="20">
        <v>44585</v>
      </c>
      <c r="B1269" s="1">
        <f t="shared" ref="B1269" si="1599">B1262</f>
        <v>106</v>
      </c>
      <c r="C1269" s="1" t="s">
        <v>419</v>
      </c>
      <c r="D1269" s="1" t="s">
        <v>180</v>
      </c>
      <c r="E1269" s="26" t="e">
        <f>+E1268</f>
        <v>#REF!</v>
      </c>
      <c r="F1269" s="26" t="e">
        <f>+F1268</f>
        <v>#REF!</v>
      </c>
      <c r="G1269" s="17">
        <v>8</v>
      </c>
      <c r="H1269" s="17" t="s">
        <v>9</v>
      </c>
      <c r="I1269" s="30" t="s">
        <v>59</v>
      </c>
      <c r="J1269" s="22">
        <f>16.55+21.8+17.35+20.15</f>
        <v>75.849999999999994</v>
      </c>
      <c r="K1269" s="22">
        <f>8.5+8.3+8.55+8.3</f>
        <v>33.650000000000006</v>
      </c>
      <c r="L1269" s="8">
        <f t="shared" si="1589"/>
        <v>42.199999999999989</v>
      </c>
      <c r="M1269" s="24">
        <f t="shared" si="1566"/>
        <v>0.92200131090233772</v>
      </c>
      <c r="N1269" s="14"/>
    </row>
    <row r="1270" spans="1:14" x14ac:dyDescent="0.25">
      <c r="A1270" s="20">
        <v>44585</v>
      </c>
      <c r="B1270" s="1">
        <f t="shared" ref="B1270" si="1600">B1262</f>
        <v>106</v>
      </c>
      <c r="C1270" s="1" t="s">
        <v>419</v>
      </c>
      <c r="D1270" s="1" t="s">
        <v>180</v>
      </c>
      <c r="E1270" s="26" t="e">
        <f t="shared" ref="E1270:F1270" si="1601">+E1269</f>
        <v>#REF!</v>
      </c>
      <c r="F1270" s="26" t="e">
        <f t="shared" si="1601"/>
        <v>#REF!</v>
      </c>
      <c r="G1270" s="17">
        <v>9</v>
      </c>
      <c r="H1270" s="17" t="s">
        <v>9</v>
      </c>
      <c r="I1270" s="30" t="s">
        <v>38</v>
      </c>
      <c r="J1270" s="22"/>
      <c r="K1270" s="22"/>
      <c r="L1270" s="8">
        <f t="shared" si="1589"/>
        <v>0</v>
      </c>
      <c r="M1270" s="24">
        <f t="shared" si="1566"/>
        <v>0</v>
      </c>
      <c r="N1270" s="14"/>
    </row>
    <row r="1271" spans="1:14" x14ac:dyDescent="0.25">
      <c r="A1271" s="20">
        <v>44585</v>
      </c>
      <c r="B1271" s="1">
        <f t="shared" ref="B1271" si="1602">B1262</f>
        <v>106</v>
      </c>
      <c r="C1271" s="1" t="s">
        <v>419</v>
      </c>
      <c r="D1271" s="1" t="s">
        <v>180</v>
      </c>
      <c r="E1271" s="26" t="e">
        <f t="shared" ref="E1271:F1271" si="1603">+E1270</f>
        <v>#REF!</v>
      </c>
      <c r="F1271" s="26" t="e">
        <f t="shared" si="1603"/>
        <v>#REF!</v>
      </c>
      <c r="G1271" s="17">
        <v>10</v>
      </c>
      <c r="H1271" s="17" t="s">
        <v>9</v>
      </c>
      <c r="I1271" s="30" t="s">
        <v>23</v>
      </c>
      <c r="J1271" s="22">
        <v>10.85</v>
      </c>
      <c r="K1271" s="22">
        <v>8.5500000000000007</v>
      </c>
      <c r="L1271" s="8">
        <f t="shared" si="1589"/>
        <v>2.2999999999999989</v>
      </c>
      <c r="M1271" s="24">
        <f t="shared" si="1566"/>
        <v>5.0251256281407024E-2</v>
      </c>
      <c r="N1271" s="14"/>
    </row>
    <row r="1272" spans="1:14" x14ac:dyDescent="0.25">
      <c r="A1272" s="20">
        <v>44585</v>
      </c>
      <c r="B1272" s="1">
        <f t="shared" ref="B1272" si="1604">B1262</f>
        <v>106</v>
      </c>
      <c r="C1272" s="1" t="s">
        <v>419</v>
      </c>
      <c r="D1272" s="1" t="s">
        <v>180</v>
      </c>
      <c r="E1272" s="26" t="e">
        <f t="shared" ref="E1272:F1272" si="1605">+E1271</f>
        <v>#REF!</v>
      </c>
      <c r="F1272" s="26" t="e">
        <f t="shared" si="1605"/>
        <v>#REF!</v>
      </c>
      <c r="G1272" s="17">
        <v>11</v>
      </c>
      <c r="H1272" s="17" t="s">
        <v>9</v>
      </c>
      <c r="I1272" s="30" t="s">
        <v>60</v>
      </c>
      <c r="J1272" s="22">
        <v>0.55000000000000004</v>
      </c>
      <c r="K1272" s="22">
        <v>0.53</v>
      </c>
      <c r="L1272" s="8">
        <f t="shared" si="1589"/>
        <v>2.0000000000000018E-2</v>
      </c>
      <c r="M1272" s="24">
        <f t="shared" si="1566"/>
        <v>4.3696744592527904E-4</v>
      </c>
      <c r="N1272" s="14"/>
    </row>
    <row r="1273" spans="1:14" ht="15.75" thickBot="1" x14ac:dyDescent="0.3">
      <c r="A1273" s="20">
        <v>44585</v>
      </c>
      <c r="B1273" s="57">
        <f t="shared" ref="B1273" si="1606">B1262</f>
        <v>106</v>
      </c>
      <c r="C1273" s="1" t="s">
        <v>419</v>
      </c>
      <c r="D1273" s="1" t="s">
        <v>180</v>
      </c>
      <c r="E1273" s="26" t="e">
        <f t="shared" ref="E1273:F1273" si="1607">+E1272</f>
        <v>#REF!</v>
      </c>
      <c r="F1273" s="26" t="e">
        <f t="shared" si="1607"/>
        <v>#REF!</v>
      </c>
      <c r="G1273" s="18">
        <f>+G1272+1</f>
        <v>12</v>
      </c>
      <c r="H1273" s="18" t="s">
        <v>10</v>
      </c>
      <c r="I1273" s="46" t="s">
        <v>10</v>
      </c>
      <c r="J1273" s="22">
        <v>9.4</v>
      </c>
      <c r="K1273" s="63">
        <v>8.5500000000000007</v>
      </c>
      <c r="L1273" s="8">
        <f t="shared" si="1589"/>
        <v>0.84999999999999964</v>
      </c>
      <c r="M1273" s="24">
        <f t="shared" si="1566"/>
        <v>1.8571116451824337E-2</v>
      </c>
      <c r="N1273" s="14"/>
    </row>
    <row r="1274" spans="1:14" x14ac:dyDescent="0.25">
      <c r="A1274" s="19">
        <v>44585</v>
      </c>
      <c r="B1274" s="15">
        <f t="shared" ref="B1274" si="1608">B1262+1</f>
        <v>107</v>
      </c>
      <c r="C1274" s="15" t="s">
        <v>420</v>
      </c>
      <c r="D1274" s="15" t="s">
        <v>180</v>
      </c>
      <c r="E1274" s="25">
        <f>43.8-1.2</f>
        <v>42.599999999999994</v>
      </c>
      <c r="F1274" s="25">
        <f>+SUM(L1274:L1285)</f>
        <v>42.699999999999996</v>
      </c>
      <c r="G1274" s="16">
        <v>1</v>
      </c>
      <c r="H1274" s="16" t="s">
        <v>9</v>
      </c>
      <c r="I1274" s="59" t="s">
        <v>56</v>
      </c>
      <c r="J1274" s="21"/>
      <c r="K1274" s="21"/>
      <c r="L1274" s="12">
        <f>+J1274-K1274</f>
        <v>0</v>
      </c>
      <c r="M1274" s="23">
        <f t="shared" si="1566"/>
        <v>0</v>
      </c>
      <c r="N1274" s="13"/>
    </row>
    <row r="1275" spans="1:14" x14ac:dyDescent="0.25">
      <c r="A1275" s="20">
        <v>44585</v>
      </c>
      <c r="B1275" s="1">
        <f t="shared" ref="B1275" si="1609">B1274</f>
        <v>107</v>
      </c>
      <c r="C1275" s="1" t="s">
        <v>420</v>
      </c>
      <c r="D1275" s="1" t="s">
        <v>180</v>
      </c>
      <c r="E1275" s="26">
        <f>+E1274</f>
        <v>42.599999999999994</v>
      </c>
      <c r="F1275" s="28">
        <f>+(F1274-E1274)/E1274</f>
        <v>2.3474178403756207E-3</v>
      </c>
      <c r="G1275" s="17">
        <v>2</v>
      </c>
      <c r="H1275" s="17" t="s">
        <v>9</v>
      </c>
      <c r="I1275" s="30" t="s">
        <v>57</v>
      </c>
      <c r="J1275" s="22">
        <v>0.05</v>
      </c>
      <c r="K1275" s="22">
        <v>0</v>
      </c>
      <c r="L1275" s="8">
        <f t="shared" ref="L1275:L1285" si="1610">+J1275-K1275</f>
        <v>0.05</v>
      </c>
      <c r="M1275" s="24">
        <f t="shared" si="1566"/>
        <v>1.1709601873536302E-3</v>
      </c>
      <c r="N1275" s="14"/>
    </row>
    <row r="1276" spans="1:14" x14ac:dyDescent="0.25">
      <c r="A1276" s="20">
        <v>44585</v>
      </c>
      <c r="B1276" s="1">
        <f t="shared" ref="B1276" si="1611">B1274</f>
        <v>107</v>
      </c>
      <c r="C1276" s="1" t="s">
        <v>420</v>
      </c>
      <c r="D1276" s="1" t="s">
        <v>180</v>
      </c>
      <c r="E1276" s="26" t="e">
        <f>+#REF!</f>
        <v>#REF!</v>
      </c>
      <c r="F1276" s="26" t="e">
        <f>+#REF!</f>
        <v>#REF!</v>
      </c>
      <c r="G1276" s="17">
        <v>3</v>
      </c>
      <c r="H1276" s="17" t="s">
        <v>9</v>
      </c>
      <c r="I1276" s="30" t="s">
        <v>58</v>
      </c>
      <c r="J1276" s="22"/>
      <c r="K1276" s="22"/>
      <c r="L1276" s="8">
        <f t="shared" si="1610"/>
        <v>0</v>
      </c>
      <c r="M1276" s="24">
        <f t="shared" si="1566"/>
        <v>0</v>
      </c>
      <c r="N1276" s="14"/>
    </row>
    <row r="1277" spans="1:14" x14ac:dyDescent="0.25">
      <c r="A1277" s="20">
        <v>44585</v>
      </c>
      <c r="B1277" s="1">
        <f t="shared" ref="B1277" si="1612">B1274</f>
        <v>107</v>
      </c>
      <c r="C1277" s="1" t="s">
        <v>420</v>
      </c>
      <c r="D1277" s="1" t="s">
        <v>180</v>
      </c>
      <c r="E1277" s="26" t="e">
        <f t="shared" ref="E1277:F1277" si="1613">+E1276</f>
        <v>#REF!</v>
      </c>
      <c r="F1277" s="26" t="e">
        <f t="shared" si="1613"/>
        <v>#REF!</v>
      </c>
      <c r="G1277" s="17">
        <v>4</v>
      </c>
      <c r="H1277" s="17" t="s">
        <v>9</v>
      </c>
      <c r="I1277" s="30" t="s">
        <v>22</v>
      </c>
      <c r="J1277" s="22"/>
      <c r="K1277" s="22"/>
      <c r="L1277" s="8">
        <f t="shared" si="1610"/>
        <v>0</v>
      </c>
      <c r="M1277" s="24">
        <f t="shared" si="1566"/>
        <v>0</v>
      </c>
      <c r="N1277" s="14"/>
    </row>
    <row r="1278" spans="1:14" x14ac:dyDescent="0.25">
      <c r="A1278" s="20">
        <v>44585</v>
      </c>
      <c r="B1278" s="1">
        <f t="shared" ref="B1278" si="1614">B1274</f>
        <v>107</v>
      </c>
      <c r="C1278" s="1" t="s">
        <v>420</v>
      </c>
      <c r="D1278" s="1" t="s">
        <v>180</v>
      </c>
      <c r="E1278" s="26" t="e">
        <f t="shared" ref="E1278:F1278" si="1615">+E1277</f>
        <v>#REF!</v>
      </c>
      <c r="F1278" s="26" t="e">
        <f t="shared" si="1615"/>
        <v>#REF!</v>
      </c>
      <c r="G1278" s="17">
        <v>5</v>
      </c>
      <c r="H1278" s="17" t="s">
        <v>9</v>
      </c>
      <c r="I1278" s="30" t="s">
        <v>34</v>
      </c>
      <c r="J1278" s="22"/>
      <c r="K1278" s="63"/>
      <c r="L1278" s="8">
        <f t="shared" si="1610"/>
        <v>0</v>
      </c>
      <c r="M1278" s="24">
        <f t="shared" si="1566"/>
        <v>0</v>
      </c>
      <c r="N1278" s="14"/>
    </row>
    <row r="1279" spans="1:14" x14ac:dyDescent="0.25">
      <c r="A1279" s="20">
        <v>44585</v>
      </c>
      <c r="B1279" s="1">
        <f t="shared" ref="B1279" si="1616">B1274</f>
        <v>107</v>
      </c>
      <c r="C1279" s="1" t="s">
        <v>420</v>
      </c>
      <c r="D1279" s="1" t="s">
        <v>180</v>
      </c>
      <c r="E1279" s="26" t="e">
        <f t="shared" ref="E1279:F1279" si="1617">+E1278</f>
        <v>#REF!</v>
      </c>
      <c r="F1279" s="26" t="e">
        <f t="shared" si="1617"/>
        <v>#REF!</v>
      </c>
      <c r="G1279" s="17">
        <v>6</v>
      </c>
      <c r="H1279" s="17" t="s">
        <v>9</v>
      </c>
      <c r="I1279" s="30" t="s">
        <v>35</v>
      </c>
      <c r="J1279" s="22"/>
      <c r="K1279" s="22"/>
      <c r="L1279" s="8">
        <f t="shared" si="1610"/>
        <v>0</v>
      </c>
      <c r="M1279" s="24">
        <f t="shared" si="1566"/>
        <v>0</v>
      </c>
      <c r="N1279" s="14"/>
    </row>
    <row r="1280" spans="1:14" x14ac:dyDescent="0.25">
      <c r="A1280" s="20">
        <v>44585</v>
      </c>
      <c r="B1280" s="1">
        <f t="shared" ref="B1280" si="1618">B1274</f>
        <v>107</v>
      </c>
      <c r="C1280" s="1" t="s">
        <v>420</v>
      </c>
      <c r="D1280" s="1" t="s">
        <v>180</v>
      </c>
      <c r="E1280" s="26" t="e">
        <f t="shared" ref="E1280:F1280" si="1619">+E1279</f>
        <v>#REF!</v>
      </c>
      <c r="F1280" s="26" t="e">
        <f t="shared" si="1619"/>
        <v>#REF!</v>
      </c>
      <c r="G1280" s="17">
        <v>7</v>
      </c>
      <c r="H1280" s="17" t="s">
        <v>9</v>
      </c>
      <c r="I1280" s="30" t="s">
        <v>36</v>
      </c>
      <c r="J1280" s="22">
        <v>6.55</v>
      </c>
      <c r="K1280" s="22">
        <v>6.05</v>
      </c>
      <c r="L1280" s="8">
        <f t="shared" si="1610"/>
        <v>0.5</v>
      </c>
      <c r="M1280" s="24">
        <f t="shared" si="1566"/>
        <v>1.1709601873536301E-2</v>
      </c>
      <c r="N1280" s="14"/>
    </row>
    <row r="1281" spans="1:14" x14ac:dyDescent="0.25">
      <c r="A1281" s="20">
        <v>44585</v>
      </c>
      <c r="B1281" s="1">
        <f t="shared" ref="B1281" si="1620">B1274</f>
        <v>107</v>
      </c>
      <c r="C1281" s="1" t="s">
        <v>420</v>
      </c>
      <c r="D1281" s="1" t="s">
        <v>180</v>
      </c>
      <c r="E1281" s="26" t="e">
        <f>+E1280</f>
        <v>#REF!</v>
      </c>
      <c r="F1281" s="26" t="e">
        <f>+F1280</f>
        <v>#REF!</v>
      </c>
      <c r="G1281" s="17">
        <v>8</v>
      </c>
      <c r="H1281" s="17" t="s">
        <v>9</v>
      </c>
      <c r="I1281" s="30" t="s">
        <v>59</v>
      </c>
      <c r="J1281" s="22">
        <f>14.05+21.7+16.65+20</f>
        <v>72.400000000000006</v>
      </c>
      <c r="K1281" s="22">
        <f>8.55+8.55+8.5+8.3</f>
        <v>33.900000000000006</v>
      </c>
      <c r="L1281" s="8">
        <f t="shared" si="1610"/>
        <v>38.5</v>
      </c>
      <c r="M1281" s="24">
        <f t="shared" si="1566"/>
        <v>0.90163934426229519</v>
      </c>
      <c r="N1281" s="14"/>
    </row>
    <row r="1282" spans="1:14" x14ac:dyDescent="0.25">
      <c r="A1282" s="20">
        <v>44585</v>
      </c>
      <c r="B1282" s="1">
        <f t="shared" ref="B1282" si="1621">B1274</f>
        <v>107</v>
      </c>
      <c r="C1282" s="1" t="s">
        <v>420</v>
      </c>
      <c r="D1282" s="1" t="s">
        <v>180</v>
      </c>
      <c r="E1282" s="26" t="e">
        <f t="shared" ref="E1282:F1282" si="1622">+E1281</f>
        <v>#REF!</v>
      </c>
      <c r="F1282" s="26" t="e">
        <f t="shared" si="1622"/>
        <v>#REF!</v>
      </c>
      <c r="G1282" s="17">
        <v>9</v>
      </c>
      <c r="H1282" s="17" t="s">
        <v>9</v>
      </c>
      <c r="I1282" s="30" t="s">
        <v>38</v>
      </c>
      <c r="J1282" s="22"/>
      <c r="K1282" s="22"/>
      <c r="L1282" s="8">
        <f t="shared" si="1610"/>
        <v>0</v>
      </c>
      <c r="M1282" s="24">
        <f t="shared" si="1566"/>
        <v>0</v>
      </c>
      <c r="N1282" s="14"/>
    </row>
    <row r="1283" spans="1:14" x14ac:dyDescent="0.25">
      <c r="A1283" s="20">
        <v>44585</v>
      </c>
      <c r="B1283" s="1">
        <f t="shared" ref="B1283" si="1623">B1274</f>
        <v>107</v>
      </c>
      <c r="C1283" s="1" t="s">
        <v>420</v>
      </c>
      <c r="D1283" s="1" t="s">
        <v>180</v>
      </c>
      <c r="E1283" s="26" t="e">
        <f t="shared" ref="E1283:F1283" si="1624">+E1282</f>
        <v>#REF!</v>
      </c>
      <c r="F1283" s="26" t="e">
        <f t="shared" si="1624"/>
        <v>#REF!</v>
      </c>
      <c r="G1283" s="17">
        <v>10</v>
      </c>
      <c r="H1283" s="17" t="s">
        <v>9</v>
      </c>
      <c r="I1283" s="30" t="s">
        <v>23</v>
      </c>
      <c r="J1283" s="22">
        <f>11.1</f>
        <v>11.1</v>
      </c>
      <c r="K1283" s="22">
        <f>8.5</f>
        <v>8.5</v>
      </c>
      <c r="L1283" s="8">
        <f t="shared" si="1610"/>
        <v>2.5999999999999996</v>
      </c>
      <c r="M1283" s="24">
        <f t="shared" si="1566"/>
        <v>6.0889929742388757E-2</v>
      </c>
      <c r="N1283" s="14"/>
    </row>
    <row r="1284" spans="1:14" x14ac:dyDescent="0.25">
      <c r="A1284" s="20">
        <v>44585</v>
      </c>
      <c r="B1284" s="1">
        <f t="shared" ref="B1284" si="1625">B1274</f>
        <v>107</v>
      </c>
      <c r="C1284" s="1" t="s">
        <v>420</v>
      </c>
      <c r="D1284" s="1" t="s">
        <v>180</v>
      </c>
      <c r="E1284" s="26" t="e">
        <f t="shared" ref="E1284:F1284" si="1626">+E1283</f>
        <v>#REF!</v>
      </c>
      <c r="F1284" s="26" t="e">
        <f t="shared" si="1626"/>
        <v>#REF!</v>
      </c>
      <c r="G1284" s="17">
        <v>11</v>
      </c>
      <c r="H1284" s="17" t="s">
        <v>9</v>
      </c>
      <c r="I1284" s="30" t="s">
        <v>60</v>
      </c>
      <c r="J1284" s="22"/>
      <c r="K1284" s="22"/>
      <c r="L1284" s="8">
        <f t="shared" si="1610"/>
        <v>0</v>
      </c>
      <c r="M1284" s="24">
        <f t="shared" si="1566"/>
        <v>0</v>
      </c>
      <c r="N1284" s="14"/>
    </row>
    <row r="1285" spans="1:14" ht="15.75" thickBot="1" x14ac:dyDescent="0.3">
      <c r="A1285" s="20">
        <v>44585</v>
      </c>
      <c r="B1285" s="57">
        <f t="shared" ref="B1285" si="1627">B1274</f>
        <v>107</v>
      </c>
      <c r="C1285" s="1" t="s">
        <v>420</v>
      </c>
      <c r="D1285" s="1" t="s">
        <v>180</v>
      </c>
      <c r="E1285" s="26" t="e">
        <f t="shared" ref="E1285:F1285" si="1628">+E1284</f>
        <v>#REF!</v>
      </c>
      <c r="F1285" s="26" t="e">
        <f t="shared" si="1628"/>
        <v>#REF!</v>
      </c>
      <c r="G1285" s="18">
        <f>+G1284+1</f>
        <v>12</v>
      </c>
      <c r="H1285" s="18" t="s">
        <v>10</v>
      </c>
      <c r="I1285" s="46" t="s">
        <v>10</v>
      </c>
      <c r="J1285" s="22">
        <v>9.6</v>
      </c>
      <c r="K1285" s="63">
        <v>8.5500000000000007</v>
      </c>
      <c r="L1285" s="8">
        <f t="shared" si="1610"/>
        <v>1.0499999999999989</v>
      </c>
      <c r="M1285" s="24">
        <f t="shared" si="1566"/>
        <v>2.4590163934426208E-2</v>
      </c>
      <c r="N1285" s="14"/>
    </row>
    <row r="1286" spans="1:14" x14ac:dyDescent="0.25">
      <c r="A1286" s="19">
        <v>44585</v>
      </c>
      <c r="B1286" s="15">
        <f t="shared" ref="B1286" si="1629">B1274+1</f>
        <v>108</v>
      </c>
      <c r="C1286" s="15" t="s">
        <v>421</v>
      </c>
      <c r="D1286" s="15" t="s">
        <v>180</v>
      </c>
      <c r="E1286" s="25">
        <f>54.8-1.2</f>
        <v>53.599999999999994</v>
      </c>
      <c r="F1286" s="25">
        <f>+SUM(L1286:L1297)</f>
        <v>54.399999999999991</v>
      </c>
      <c r="G1286" s="16">
        <v>1</v>
      </c>
      <c r="H1286" s="16" t="s">
        <v>9</v>
      </c>
      <c r="I1286" s="59" t="s">
        <v>56</v>
      </c>
      <c r="J1286" s="21"/>
      <c r="K1286" s="21"/>
      <c r="L1286" s="12">
        <f>+J1286-K1286</f>
        <v>0</v>
      </c>
      <c r="M1286" s="23">
        <f t="shared" si="1566"/>
        <v>0</v>
      </c>
      <c r="N1286" s="13"/>
    </row>
    <row r="1287" spans="1:14" x14ac:dyDescent="0.25">
      <c r="A1287" s="20">
        <v>44585</v>
      </c>
      <c r="B1287" s="1">
        <f t="shared" ref="B1287" si="1630">B1286</f>
        <v>108</v>
      </c>
      <c r="C1287" s="1" t="s">
        <v>421</v>
      </c>
      <c r="D1287" s="1" t="s">
        <v>180</v>
      </c>
      <c r="E1287" s="26">
        <f>+E1286</f>
        <v>53.599999999999994</v>
      </c>
      <c r="F1287" s="28">
        <f>+(F1286-E1286)/E1286</f>
        <v>1.4925373134328308E-2</v>
      </c>
      <c r="G1287" s="17">
        <v>2</v>
      </c>
      <c r="H1287" s="17" t="s">
        <v>9</v>
      </c>
      <c r="I1287" s="30" t="s">
        <v>57</v>
      </c>
      <c r="J1287" s="22"/>
      <c r="K1287" s="22"/>
      <c r="L1287" s="8">
        <f t="shared" ref="L1287:L1297" si="1631">+J1287-K1287</f>
        <v>0</v>
      </c>
      <c r="M1287" s="24">
        <f t="shared" si="1566"/>
        <v>0</v>
      </c>
      <c r="N1287" s="14"/>
    </row>
    <row r="1288" spans="1:14" x14ac:dyDescent="0.25">
      <c r="A1288" s="20">
        <v>44585</v>
      </c>
      <c r="B1288" s="1">
        <f t="shared" ref="B1288" si="1632">B1286</f>
        <v>108</v>
      </c>
      <c r="C1288" s="1" t="s">
        <v>421</v>
      </c>
      <c r="D1288" s="1" t="s">
        <v>180</v>
      </c>
      <c r="E1288" s="26" t="e">
        <f>+#REF!</f>
        <v>#REF!</v>
      </c>
      <c r="F1288" s="26" t="e">
        <f>+#REF!</f>
        <v>#REF!</v>
      </c>
      <c r="G1288" s="17">
        <v>3</v>
      </c>
      <c r="H1288" s="17" t="s">
        <v>9</v>
      </c>
      <c r="I1288" s="30" t="s">
        <v>58</v>
      </c>
      <c r="J1288" s="22"/>
      <c r="K1288" s="22"/>
      <c r="L1288" s="8">
        <f t="shared" si="1631"/>
        <v>0</v>
      </c>
      <c r="M1288" s="24">
        <f t="shared" si="1566"/>
        <v>0</v>
      </c>
      <c r="N1288" s="14"/>
    </row>
    <row r="1289" spans="1:14" x14ac:dyDescent="0.25">
      <c r="A1289" s="20">
        <v>44585</v>
      </c>
      <c r="B1289" s="1">
        <f t="shared" ref="B1289" si="1633">B1286</f>
        <v>108</v>
      </c>
      <c r="C1289" s="1" t="s">
        <v>421</v>
      </c>
      <c r="D1289" s="1" t="s">
        <v>180</v>
      </c>
      <c r="E1289" s="26" t="e">
        <f t="shared" ref="E1289:F1289" si="1634">+E1288</f>
        <v>#REF!</v>
      </c>
      <c r="F1289" s="26" t="e">
        <f t="shared" si="1634"/>
        <v>#REF!</v>
      </c>
      <c r="G1289" s="17">
        <v>4</v>
      </c>
      <c r="H1289" s="17" t="s">
        <v>9</v>
      </c>
      <c r="I1289" s="30" t="s">
        <v>22</v>
      </c>
      <c r="J1289" s="22"/>
      <c r="K1289" s="22"/>
      <c r="L1289" s="8">
        <f t="shared" si="1631"/>
        <v>0</v>
      </c>
      <c r="M1289" s="24">
        <f t="shared" si="1566"/>
        <v>0</v>
      </c>
      <c r="N1289" s="14"/>
    </row>
    <row r="1290" spans="1:14" x14ac:dyDescent="0.25">
      <c r="A1290" s="20">
        <v>44585</v>
      </c>
      <c r="B1290" s="1">
        <f t="shared" ref="B1290" si="1635">B1286</f>
        <v>108</v>
      </c>
      <c r="C1290" s="1" t="s">
        <v>421</v>
      </c>
      <c r="D1290" s="1" t="s">
        <v>180</v>
      </c>
      <c r="E1290" s="26" t="e">
        <f t="shared" ref="E1290:F1290" si="1636">+E1289</f>
        <v>#REF!</v>
      </c>
      <c r="F1290" s="26" t="e">
        <f t="shared" si="1636"/>
        <v>#REF!</v>
      </c>
      <c r="G1290" s="17">
        <v>5</v>
      </c>
      <c r="H1290" s="17" t="s">
        <v>9</v>
      </c>
      <c r="I1290" s="30" t="s">
        <v>34</v>
      </c>
      <c r="J1290" s="22"/>
      <c r="K1290" s="63"/>
      <c r="L1290" s="8">
        <f t="shared" si="1631"/>
        <v>0</v>
      </c>
      <c r="M1290" s="24">
        <f t="shared" si="1566"/>
        <v>0</v>
      </c>
      <c r="N1290" s="14"/>
    </row>
    <row r="1291" spans="1:14" x14ac:dyDescent="0.25">
      <c r="A1291" s="20">
        <v>44585</v>
      </c>
      <c r="B1291" s="1">
        <f t="shared" ref="B1291" si="1637">B1286</f>
        <v>108</v>
      </c>
      <c r="C1291" s="1" t="s">
        <v>421</v>
      </c>
      <c r="D1291" s="1" t="s">
        <v>180</v>
      </c>
      <c r="E1291" s="26" t="e">
        <f t="shared" ref="E1291:F1291" si="1638">+E1290</f>
        <v>#REF!</v>
      </c>
      <c r="F1291" s="26" t="e">
        <f t="shared" si="1638"/>
        <v>#REF!</v>
      </c>
      <c r="G1291" s="17">
        <v>6</v>
      </c>
      <c r="H1291" s="17" t="s">
        <v>9</v>
      </c>
      <c r="I1291" s="30" t="s">
        <v>35</v>
      </c>
      <c r="J1291" s="22"/>
      <c r="K1291" s="22"/>
      <c r="L1291" s="8">
        <f t="shared" si="1631"/>
        <v>0</v>
      </c>
      <c r="M1291" s="24">
        <f t="shared" si="1566"/>
        <v>0</v>
      </c>
      <c r="N1291" s="14"/>
    </row>
    <row r="1292" spans="1:14" x14ac:dyDescent="0.25">
      <c r="A1292" s="20">
        <v>44585</v>
      </c>
      <c r="B1292" s="1">
        <f t="shared" ref="B1292" si="1639">B1286</f>
        <v>108</v>
      </c>
      <c r="C1292" s="1" t="s">
        <v>421</v>
      </c>
      <c r="D1292" s="1" t="s">
        <v>180</v>
      </c>
      <c r="E1292" s="26" t="e">
        <f t="shared" ref="E1292:F1292" si="1640">+E1291</f>
        <v>#REF!</v>
      </c>
      <c r="F1292" s="26" t="e">
        <f t="shared" si="1640"/>
        <v>#REF!</v>
      </c>
      <c r="G1292" s="17">
        <v>7</v>
      </c>
      <c r="H1292" s="17" t="s">
        <v>9</v>
      </c>
      <c r="I1292" s="30" t="s">
        <v>36</v>
      </c>
      <c r="J1292" s="22">
        <v>6.25</v>
      </c>
      <c r="K1292" s="22">
        <v>6.05</v>
      </c>
      <c r="L1292" s="8">
        <f t="shared" si="1631"/>
        <v>0.20000000000000018</v>
      </c>
      <c r="M1292" s="24">
        <f t="shared" si="1566"/>
        <v>3.676470588235298E-3</v>
      </c>
      <c r="N1292" s="14"/>
    </row>
    <row r="1293" spans="1:14" x14ac:dyDescent="0.25">
      <c r="A1293" s="20">
        <v>44585</v>
      </c>
      <c r="B1293" s="1">
        <f t="shared" ref="B1293" si="1641">B1286</f>
        <v>108</v>
      </c>
      <c r="C1293" s="1" t="s">
        <v>421</v>
      </c>
      <c r="D1293" s="1" t="s">
        <v>180</v>
      </c>
      <c r="E1293" s="26" t="e">
        <f>+E1292</f>
        <v>#REF!</v>
      </c>
      <c r="F1293" s="26" t="e">
        <f>+F1292</f>
        <v>#REF!</v>
      </c>
      <c r="G1293" s="17">
        <v>8</v>
      </c>
      <c r="H1293" s="17" t="s">
        <v>9</v>
      </c>
      <c r="I1293" s="30" t="s">
        <v>59</v>
      </c>
      <c r="J1293" s="22">
        <f>16+23.2+21.75+23.05</f>
        <v>84</v>
      </c>
      <c r="K1293" s="22">
        <f>8.5+8.55+8.55+8.3</f>
        <v>33.900000000000006</v>
      </c>
      <c r="L1293" s="8">
        <f t="shared" si="1631"/>
        <v>50.099999999999994</v>
      </c>
      <c r="M1293" s="24">
        <f t="shared" si="1566"/>
        <v>0.92095588235294124</v>
      </c>
      <c r="N1293" s="14"/>
    </row>
    <row r="1294" spans="1:14" x14ac:dyDescent="0.25">
      <c r="A1294" s="20">
        <v>44585</v>
      </c>
      <c r="B1294" s="1">
        <f t="shared" ref="B1294" si="1642">B1286</f>
        <v>108</v>
      </c>
      <c r="C1294" s="1" t="s">
        <v>421</v>
      </c>
      <c r="D1294" s="1" t="s">
        <v>180</v>
      </c>
      <c r="E1294" s="26" t="e">
        <f t="shared" ref="E1294:F1294" si="1643">+E1293</f>
        <v>#REF!</v>
      </c>
      <c r="F1294" s="26" t="e">
        <f t="shared" si="1643"/>
        <v>#REF!</v>
      </c>
      <c r="G1294" s="17">
        <v>9</v>
      </c>
      <c r="H1294" s="17" t="s">
        <v>9</v>
      </c>
      <c r="I1294" s="30" t="s">
        <v>38</v>
      </c>
      <c r="J1294" s="22"/>
      <c r="K1294" s="22"/>
      <c r="L1294" s="8">
        <f t="shared" si="1631"/>
        <v>0</v>
      </c>
      <c r="M1294" s="24">
        <f t="shared" si="1566"/>
        <v>0</v>
      </c>
      <c r="N1294" s="14"/>
    </row>
    <row r="1295" spans="1:14" x14ac:dyDescent="0.25">
      <c r="A1295" s="20">
        <v>44585</v>
      </c>
      <c r="B1295" s="1">
        <f t="shared" ref="B1295" si="1644">B1286</f>
        <v>108</v>
      </c>
      <c r="C1295" s="1" t="s">
        <v>421</v>
      </c>
      <c r="D1295" s="1" t="s">
        <v>180</v>
      </c>
      <c r="E1295" s="26" t="e">
        <f t="shared" ref="E1295:F1295" si="1645">+E1294</f>
        <v>#REF!</v>
      </c>
      <c r="F1295" s="26" t="e">
        <f t="shared" si="1645"/>
        <v>#REF!</v>
      </c>
      <c r="G1295" s="17">
        <v>10</v>
      </c>
      <c r="H1295" s="17" t="s">
        <v>9</v>
      </c>
      <c r="I1295" s="30" t="s">
        <v>23</v>
      </c>
      <c r="J1295" s="22">
        <v>11.85</v>
      </c>
      <c r="K1295" s="22">
        <v>8.5500000000000007</v>
      </c>
      <c r="L1295" s="8">
        <f t="shared" si="1631"/>
        <v>3.2999999999999989</v>
      </c>
      <c r="M1295" s="24">
        <f t="shared" si="1566"/>
        <v>6.0661764705882346E-2</v>
      </c>
      <c r="N1295" s="14"/>
    </row>
    <row r="1296" spans="1:14" x14ac:dyDescent="0.25">
      <c r="A1296" s="20">
        <v>44585</v>
      </c>
      <c r="B1296" s="1">
        <f t="shared" ref="B1296" si="1646">B1286</f>
        <v>108</v>
      </c>
      <c r="C1296" s="1" t="s">
        <v>421</v>
      </c>
      <c r="D1296" s="1" t="s">
        <v>180</v>
      </c>
      <c r="E1296" s="26" t="e">
        <f t="shared" ref="E1296:F1296" si="1647">+E1295</f>
        <v>#REF!</v>
      </c>
      <c r="F1296" s="26" t="e">
        <f t="shared" si="1647"/>
        <v>#REF!</v>
      </c>
      <c r="G1296" s="17">
        <v>11</v>
      </c>
      <c r="H1296" s="17" t="s">
        <v>9</v>
      </c>
      <c r="I1296" s="30" t="s">
        <v>60</v>
      </c>
      <c r="J1296" s="22"/>
      <c r="K1296" s="22"/>
      <c r="L1296" s="8">
        <f t="shared" si="1631"/>
        <v>0</v>
      </c>
      <c r="M1296" s="24">
        <f t="shared" si="1566"/>
        <v>0</v>
      </c>
      <c r="N1296" s="14"/>
    </row>
    <row r="1297" spans="1:14" ht="15.75" thickBot="1" x14ac:dyDescent="0.3">
      <c r="A1297" s="20">
        <v>44585</v>
      </c>
      <c r="B1297" s="57">
        <f t="shared" ref="B1297" si="1648">B1286</f>
        <v>108</v>
      </c>
      <c r="C1297" s="1" t="s">
        <v>421</v>
      </c>
      <c r="D1297" s="1" t="s">
        <v>180</v>
      </c>
      <c r="E1297" s="26" t="e">
        <f t="shared" ref="E1297:F1297" si="1649">+E1296</f>
        <v>#REF!</v>
      </c>
      <c r="F1297" s="26" t="e">
        <f t="shared" si="1649"/>
        <v>#REF!</v>
      </c>
      <c r="G1297" s="18">
        <f>+G1296+1</f>
        <v>12</v>
      </c>
      <c r="H1297" s="18" t="s">
        <v>10</v>
      </c>
      <c r="I1297" s="46" t="s">
        <v>10</v>
      </c>
      <c r="J1297" s="22">
        <v>9.35</v>
      </c>
      <c r="K1297" s="63">
        <v>8.5500000000000007</v>
      </c>
      <c r="L1297" s="8">
        <f t="shared" si="1631"/>
        <v>0.79999999999999893</v>
      </c>
      <c r="M1297" s="24">
        <f t="shared" si="1566"/>
        <v>1.4705882352941159E-2</v>
      </c>
      <c r="N1297" s="14"/>
    </row>
    <row r="1298" spans="1:14" x14ac:dyDescent="0.25">
      <c r="A1298" s="19">
        <v>44585</v>
      </c>
      <c r="B1298" s="15">
        <f t="shared" ref="B1298" si="1650">B1286+1</f>
        <v>109</v>
      </c>
      <c r="C1298" s="15" t="s">
        <v>422</v>
      </c>
      <c r="D1298" s="15" t="s">
        <v>23</v>
      </c>
      <c r="E1298" s="25">
        <f>27-1.2</f>
        <v>25.8</v>
      </c>
      <c r="F1298" s="25">
        <f>+SUM(L1298:L1309)</f>
        <v>25.599999999999998</v>
      </c>
      <c r="G1298" s="16">
        <v>1</v>
      </c>
      <c r="H1298" s="16" t="s">
        <v>9</v>
      </c>
      <c r="I1298" s="59" t="s">
        <v>56</v>
      </c>
      <c r="J1298" s="21">
        <v>0.05</v>
      </c>
      <c r="K1298" s="21">
        <v>0</v>
      </c>
      <c r="L1298" s="12">
        <f>+J1298-K1298</f>
        <v>0.05</v>
      </c>
      <c r="M1298" s="23">
        <f t="shared" si="1566"/>
        <v>1.9531250000000004E-3</v>
      </c>
      <c r="N1298" s="13"/>
    </row>
    <row r="1299" spans="1:14" x14ac:dyDescent="0.25">
      <c r="A1299" s="20">
        <v>44585</v>
      </c>
      <c r="B1299" s="1">
        <f t="shared" ref="B1299" si="1651">B1298</f>
        <v>109</v>
      </c>
      <c r="C1299" s="1" t="s">
        <v>422</v>
      </c>
      <c r="D1299" s="1" t="s">
        <v>23</v>
      </c>
      <c r="E1299" s="26">
        <f>+E1298</f>
        <v>25.8</v>
      </c>
      <c r="F1299" s="28">
        <f>+(F1298-E1298)/E1298</f>
        <v>-7.7519379844962341E-3</v>
      </c>
      <c r="G1299" s="17">
        <v>2</v>
      </c>
      <c r="H1299" s="17" t="s">
        <v>9</v>
      </c>
      <c r="I1299" s="30" t="s">
        <v>57</v>
      </c>
      <c r="J1299" s="22"/>
      <c r="K1299" s="22"/>
      <c r="L1299" s="8">
        <f t="shared" ref="L1299:L1309" si="1652">+J1299-K1299</f>
        <v>0</v>
      </c>
      <c r="M1299" s="24">
        <f t="shared" si="1566"/>
        <v>0</v>
      </c>
      <c r="N1299" s="14"/>
    </row>
    <row r="1300" spans="1:14" x14ac:dyDescent="0.25">
      <c r="A1300" s="20">
        <v>44585</v>
      </c>
      <c r="B1300" s="1">
        <f t="shared" ref="B1300" si="1653">B1298</f>
        <v>109</v>
      </c>
      <c r="C1300" s="1" t="s">
        <v>422</v>
      </c>
      <c r="D1300" s="1" t="s">
        <v>23</v>
      </c>
      <c r="E1300" s="26" t="e">
        <f>+#REF!</f>
        <v>#REF!</v>
      </c>
      <c r="F1300" s="26" t="e">
        <f>+#REF!</f>
        <v>#REF!</v>
      </c>
      <c r="G1300" s="17">
        <v>3</v>
      </c>
      <c r="H1300" s="17" t="s">
        <v>9</v>
      </c>
      <c r="I1300" s="30" t="s">
        <v>58</v>
      </c>
      <c r="J1300" s="22"/>
      <c r="K1300" s="22"/>
      <c r="L1300" s="8">
        <f t="shared" si="1652"/>
        <v>0</v>
      </c>
      <c r="M1300" s="24">
        <f t="shared" si="1566"/>
        <v>0</v>
      </c>
      <c r="N1300" s="14"/>
    </row>
    <row r="1301" spans="1:14" x14ac:dyDescent="0.25">
      <c r="A1301" s="20">
        <v>44585</v>
      </c>
      <c r="B1301" s="1">
        <f t="shared" ref="B1301" si="1654">B1298</f>
        <v>109</v>
      </c>
      <c r="C1301" s="1" t="s">
        <v>422</v>
      </c>
      <c r="D1301" s="1" t="s">
        <v>23</v>
      </c>
      <c r="E1301" s="26" t="e">
        <f t="shared" ref="E1301:F1301" si="1655">+E1300</f>
        <v>#REF!</v>
      </c>
      <c r="F1301" s="26" t="e">
        <f t="shared" si="1655"/>
        <v>#REF!</v>
      </c>
      <c r="G1301" s="17">
        <v>4</v>
      </c>
      <c r="H1301" s="17" t="s">
        <v>9</v>
      </c>
      <c r="I1301" s="30" t="s">
        <v>22</v>
      </c>
      <c r="J1301" s="22"/>
      <c r="K1301" s="22"/>
      <c r="L1301" s="8">
        <f t="shared" si="1652"/>
        <v>0</v>
      </c>
      <c r="M1301" s="24">
        <f t="shared" si="1566"/>
        <v>0</v>
      </c>
      <c r="N1301" s="14"/>
    </row>
    <row r="1302" spans="1:14" x14ac:dyDescent="0.25">
      <c r="A1302" s="20">
        <v>44585</v>
      </c>
      <c r="B1302" s="1">
        <f t="shared" ref="B1302" si="1656">B1298</f>
        <v>109</v>
      </c>
      <c r="C1302" s="1" t="s">
        <v>422</v>
      </c>
      <c r="D1302" s="1" t="s">
        <v>23</v>
      </c>
      <c r="E1302" s="26" t="e">
        <f t="shared" ref="E1302:F1302" si="1657">+E1301</f>
        <v>#REF!</v>
      </c>
      <c r="F1302" s="26" t="e">
        <f t="shared" si="1657"/>
        <v>#REF!</v>
      </c>
      <c r="G1302" s="17">
        <v>5</v>
      </c>
      <c r="H1302" s="17" t="s">
        <v>9</v>
      </c>
      <c r="I1302" s="30" t="s">
        <v>34</v>
      </c>
      <c r="J1302" s="22"/>
      <c r="K1302" s="63"/>
      <c r="L1302" s="8">
        <f t="shared" si="1652"/>
        <v>0</v>
      </c>
      <c r="M1302" s="24">
        <f t="shared" si="1566"/>
        <v>0</v>
      </c>
      <c r="N1302" s="14"/>
    </row>
    <row r="1303" spans="1:14" x14ac:dyDescent="0.25">
      <c r="A1303" s="20">
        <v>44585</v>
      </c>
      <c r="B1303" s="1">
        <f t="shared" ref="B1303" si="1658">B1298</f>
        <v>109</v>
      </c>
      <c r="C1303" s="1" t="s">
        <v>422</v>
      </c>
      <c r="D1303" s="1" t="s">
        <v>23</v>
      </c>
      <c r="E1303" s="26" t="e">
        <f t="shared" ref="E1303:F1303" si="1659">+E1302</f>
        <v>#REF!</v>
      </c>
      <c r="F1303" s="26" t="e">
        <f t="shared" si="1659"/>
        <v>#REF!</v>
      </c>
      <c r="G1303" s="17">
        <v>6</v>
      </c>
      <c r="H1303" s="17" t="s">
        <v>9</v>
      </c>
      <c r="I1303" s="30" t="s">
        <v>35</v>
      </c>
      <c r="J1303" s="22"/>
      <c r="K1303" s="22"/>
      <c r="L1303" s="8">
        <f t="shared" si="1652"/>
        <v>0</v>
      </c>
      <c r="M1303" s="24">
        <f t="shared" si="1566"/>
        <v>0</v>
      </c>
      <c r="N1303" s="14"/>
    </row>
    <row r="1304" spans="1:14" x14ac:dyDescent="0.25">
      <c r="A1304" s="20">
        <v>44585</v>
      </c>
      <c r="B1304" s="1">
        <f t="shared" ref="B1304" si="1660">B1298</f>
        <v>109</v>
      </c>
      <c r="C1304" s="1" t="s">
        <v>422</v>
      </c>
      <c r="D1304" s="1" t="s">
        <v>23</v>
      </c>
      <c r="E1304" s="26" t="e">
        <f t="shared" ref="E1304:F1304" si="1661">+E1303</f>
        <v>#REF!</v>
      </c>
      <c r="F1304" s="26" t="e">
        <f t="shared" si="1661"/>
        <v>#REF!</v>
      </c>
      <c r="G1304" s="17">
        <v>7</v>
      </c>
      <c r="H1304" s="17" t="s">
        <v>9</v>
      </c>
      <c r="I1304" s="30" t="s">
        <v>36</v>
      </c>
      <c r="J1304" s="22"/>
      <c r="K1304" s="22"/>
      <c r="L1304" s="8">
        <f t="shared" si="1652"/>
        <v>0</v>
      </c>
      <c r="M1304" s="24">
        <f t="shared" si="1566"/>
        <v>0</v>
      </c>
      <c r="N1304" s="14"/>
    </row>
    <row r="1305" spans="1:14" x14ac:dyDescent="0.25">
      <c r="A1305" s="20">
        <v>44585</v>
      </c>
      <c r="B1305" s="1">
        <f t="shared" ref="B1305" si="1662">B1298</f>
        <v>109</v>
      </c>
      <c r="C1305" s="1" t="s">
        <v>422</v>
      </c>
      <c r="D1305" s="1" t="s">
        <v>23</v>
      </c>
      <c r="E1305" s="26" t="e">
        <f>+E1304</f>
        <v>#REF!</v>
      </c>
      <c r="F1305" s="26" t="e">
        <f>+F1304</f>
        <v>#REF!</v>
      </c>
      <c r="G1305" s="17">
        <v>8</v>
      </c>
      <c r="H1305" s="17" t="s">
        <v>9</v>
      </c>
      <c r="I1305" s="30" t="s">
        <v>59</v>
      </c>
      <c r="J1305" s="22">
        <f>1.55</f>
        <v>1.55</v>
      </c>
      <c r="K1305" s="22">
        <f>0.55</f>
        <v>0.55000000000000004</v>
      </c>
      <c r="L1305" s="8">
        <f t="shared" si="1652"/>
        <v>1</v>
      </c>
      <c r="M1305" s="24">
        <f t="shared" si="1566"/>
        <v>3.90625E-2</v>
      </c>
      <c r="N1305" s="14"/>
    </row>
    <row r="1306" spans="1:14" x14ac:dyDescent="0.25">
      <c r="A1306" s="20">
        <v>44585</v>
      </c>
      <c r="B1306" s="1">
        <f t="shared" ref="B1306" si="1663">B1298</f>
        <v>109</v>
      </c>
      <c r="C1306" s="1" t="s">
        <v>422</v>
      </c>
      <c r="D1306" s="1" t="s">
        <v>23</v>
      </c>
      <c r="E1306" s="26" t="e">
        <f t="shared" ref="E1306:F1306" si="1664">+E1305</f>
        <v>#REF!</v>
      </c>
      <c r="F1306" s="26" t="e">
        <f t="shared" si="1664"/>
        <v>#REF!</v>
      </c>
      <c r="G1306" s="17">
        <v>9</v>
      </c>
      <c r="H1306" s="17" t="s">
        <v>9</v>
      </c>
      <c r="I1306" s="30" t="s">
        <v>38</v>
      </c>
      <c r="J1306" s="22"/>
      <c r="K1306" s="22"/>
      <c r="L1306" s="8">
        <f t="shared" si="1652"/>
        <v>0</v>
      </c>
      <c r="M1306" s="24">
        <f t="shared" si="1566"/>
        <v>0</v>
      </c>
      <c r="N1306" s="14"/>
    </row>
    <row r="1307" spans="1:14" x14ac:dyDescent="0.25">
      <c r="A1307" s="20">
        <v>44585</v>
      </c>
      <c r="B1307" s="1">
        <f t="shared" ref="B1307" si="1665">B1298</f>
        <v>109</v>
      </c>
      <c r="C1307" s="1" t="s">
        <v>422</v>
      </c>
      <c r="D1307" s="1" t="s">
        <v>23</v>
      </c>
      <c r="E1307" s="26" t="e">
        <f t="shared" ref="E1307:F1307" si="1666">+E1306</f>
        <v>#REF!</v>
      </c>
      <c r="F1307" s="26" t="e">
        <f t="shared" si="1666"/>
        <v>#REF!</v>
      </c>
      <c r="G1307" s="17">
        <v>10</v>
      </c>
      <c r="H1307" s="17" t="s">
        <v>9</v>
      </c>
      <c r="I1307" s="30" t="s">
        <v>23</v>
      </c>
      <c r="J1307" s="22">
        <f>12.7+16.75+13.45+15.05</f>
        <v>57.95</v>
      </c>
      <c r="K1307" s="22">
        <f>8.55+8.3+8.55+8.5</f>
        <v>33.900000000000006</v>
      </c>
      <c r="L1307" s="8">
        <f t="shared" si="1652"/>
        <v>24.049999999999997</v>
      </c>
      <c r="M1307" s="24">
        <f t="shared" si="1566"/>
        <v>0.939453125</v>
      </c>
      <c r="N1307" s="14"/>
    </row>
    <row r="1308" spans="1:14" x14ac:dyDescent="0.25">
      <c r="A1308" s="20">
        <v>44585</v>
      </c>
      <c r="B1308" s="1">
        <f t="shared" ref="B1308" si="1667">B1298</f>
        <v>109</v>
      </c>
      <c r="C1308" s="1" t="s">
        <v>422</v>
      </c>
      <c r="D1308" s="1" t="s">
        <v>23</v>
      </c>
      <c r="E1308" s="26" t="e">
        <f t="shared" ref="E1308:F1308" si="1668">+E1307</f>
        <v>#REF!</v>
      </c>
      <c r="F1308" s="26" t="e">
        <f t="shared" si="1668"/>
        <v>#REF!</v>
      </c>
      <c r="G1308" s="17">
        <v>11</v>
      </c>
      <c r="H1308" s="17" t="s">
        <v>9</v>
      </c>
      <c r="I1308" s="30" t="s">
        <v>60</v>
      </c>
      <c r="J1308" s="22"/>
      <c r="K1308" s="22"/>
      <c r="L1308" s="8">
        <f t="shared" si="1652"/>
        <v>0</v>
      </c>
      <c r="M1308" s="24">
        <f t="shared" si="1566"/>
        <v>0</v>
      </c>
      <c r="N1308" s="14"/>
    </row>
    <row r="1309" spans="1:14" ht="15.75" thickBot="1" x14ac:dyDescent="0.3">
      <c r="A1309" s="20">
        <v>44585</v>
      </c>
      <c r="B1309" s="57">
        <f t="shared" ref="B1309" si="1669">B1298</f>
        <v>109</v>
      </c>
      <c r="C1309" s="1" t="s">
        <v>422</v>
      </c>
      <c r="D1309" s="1" t="s">
        <v>23</v>
      </c>
      <c r="E1309" s="26" t="e">
        <f t="shared" ref="E1309:F1309" si="1670">+E1308</f>
        <v>#REF!</v>
      </c>
      <c r="F1309" s="26" t="e">
        <f t="shared" si="1670"/>
        <v>#REF!</v>
      </c>
      <c r="G1309" s="18">
        <f>+G1308+1</f>
        <v>12</v>
      </c>
      <c r="H1309" s="18" t="s">
        <v>10</v>
      </c>
      <c r="I1309" s="46" t="s">
        <v>10</v>
      </c>
      <c r="J1309" s="22">
        <v>9</v>
      </c>
      <c r="K1309" s="63">
        <v>8.5</v>
      </c>
      <c r="L1309" s="8">
        <f t="shared" si="1652"/>
        <v>0.5</v>
      </c>
      <c r="M1309" s="24">
        <f t="shared" si="1566"/>
        <v>1.953125E-2</v>
      </c>
      <c r="N1309" s="14"/>
    </row>
    <row r="1310" spans="1:14" x14ac:dyDescent="0.25">
      <c r="A1310" s="19">
        <v>44585</v>
      </c>
      <c r="B1310" s="15">
        <f t="shared" ref="B1310" si="1671">B1298+1</f>
        <v>110</v>
      </c>
      <c r="C1310" s="15" t="s">
        <v>423</v>
      </c>
      <c r="D1310" s="15" t="s">
        <v>23</v>
      </c>
      <c r="E1310" s="25">
        <f>35.4-1.2</f>
        <v>34.199999999999996</v>
      </c>
      <c r="F1310" s="25">
        <f>+SUM(L1310:L1321)</f>
        <v>34.5</v>
      </c>
      <c r="G1310" s="16">
        <v>1</v>
      </c>
      <c r="H1310" s="16" t="s">
        <v>9</v>
      </c>
      <c r="I1310" s="59" t="s">
        <v>56</v>
      </c>
      <c r="J1310" s="21"/>
      <c r="K1310" s="21"/>
      <c r="L1310" s="12">
        <f>+J1310-K1310</f>
        <v>0</v>
      </c>
      <c r="M1310" s="23">
        <f t="shared" si="1566"/>
        <v>0</v>
      </c>
      <c r="N1310" s="13"/>
    </row>
    <row r="1311" spans="1:14" x14ac:dyDescent="0.25">
      <c r="A1311" s="20">
        <v>44585</v>
      </c>
      <c r="B1311" s="1">
        <f t="shared" ref="B1311" si="1672">B1310</f>
        <v>110</v>
      </c>
      <c r="C1311" s="1" t="s">
        <v>423</v>
      </c>
      <c r="D1311" s="1" t="s">
        <v>23</v>
      </c>
      <c r="E1311" s="26">
        <f>+E1310</f>
        <v>34.199999999999996</v>
      </c>
      <c r="F1311" s="28">
        <f>+(F1310-E1310)/E1310</f>
        <v>8.7719298245615297E-3</v>
      </c>
      <c r="G1311" s="17">
        <v>2</v>
      </c>
      <c r="H1311" s="17" t="s">
        <v>9</v>
      </c>
      <c r="I1311" s="30" t="s">
        <v>57</v>
      </c>
      <c r="J1311" s="22"/>
      <c r="K1311" s="22"/>
      <c r="L1311" s="8">
        <f t="shared" ref="L1311:L1321" si="1673">+J1311-K1311</f>
        <v>0</v>
      </c>
      <c r="M1311" s="24">
        <f t="shared" si="1566"/>
        <v>0</v>
      </c>
      <c r="N1311" s="14"/>
    </row>
    <row r="1312" spans="1:14" x14ac:dyDescent="0.25">
      <c r="A1312" s="20">
        <v>44585</v>
      </c>
      <c r="B1312" s="1">
        <f t="shared" ref="B1312" si="1674">B1310</f>
        <v>110</v>
      </c>
      <c r="C1312" s="1" t="s">
        <v>423</v>
      </c>
      <c r="D1312" s="1" t="s">
        <v>23</v>
      </c>
      <c r="E1312" s="26" t="e">
        <f>+#REF!</f>
        <v>#REF!</v>
      </c>
      <c r="F1312" s="26" t="e">
        <f>+#REF!</f>
        <v>#REF!</v>
      </c>
      <c r="G1312" s="17">
        <v>3</v>
      </c>
      <c r="H1312" s="17" t="s">
        <v>9</v>
      </c>
      <c r="I1312" s="30" t="s">
        <v>58</v>
      </c>
      <c r="J1312" s="22"/>
      <c r="K1312" s="22"/>
      <c r="L1312" s="8">
        <f t="shared" si="1673"/>
        <v>0</v>
      </c>
      <c r="M1312" s="24">
        <f t="shared" si="1566"/>
        <v>0</v>
      </c>
      <c r="N1312" s="14"/>
    </row>
    <row r="1313" spans="1:14" x14ac:dyDescent="0.25">
      <c r="A1313" s="20">
        <v>44585</v>
      </c>
      <c r="B1313" s="1">
        <f t="shared" ref="B1313" si="1675">B1310</f>
        <v>110</v>
      </c>
      <c r="C1313" s="1" t="s">
        <v>423</v>
      </c>
      <c r="D1313" s="1" t="s">
        <v>23</v>
      </c>
      <c r="E1313" s="26" t="e">
        <f t="shared" ref="E1313:F1313" si="1676">+E1312</f>
        <v>#REF!</v>
      </c>
      <c r="F1313" s="26" t="e">
        <f t="shared" si="1676"/>
        <v>#REF!</v>
      </c>
      <c r="G1313" s="17">
        <v>4</v>
      </c>
      <c r="H1313" s="17" t="s">
        <v>9</v>
      </c>
      <c r="I1313" s="30" t="s">
        <v>22</v>
      </c>
      <c r="J1313" s="22"/>
      <c r="K1313" s="22"/>
      <c r="L1313" s="8">
        <f t="shared" si="1673"/>
        <v>0</v>
      </c>
      <c r="M1313" s="24">
        <f t="shared" si="1566"/>
        <v>0</v>
      </c>
      <c r="N1313" s="14"/>
    </row>
    <row r="1314" spans="1:14" x14ac:dyDescent="0.25">
      <c r="A1314" s="20">
        <v>44585</v>
      </c>
      <c r="B1314" s="1">
        <f t="shared" ref="B1314" si="1677">B1310</f>
        <v>110</v>
      </c>
      <c r="C1314" s="1" t="s">
        <v>423</v>
      </c>
      <c r="D1314" s="1" t="s">
        <v>23</v>
      </c>
      <c r="E1314" s="26" t="e">
        <f t="shared" ref="E1314:F1314" si="1678">+E1313</f>
        <v>#REF!</v>
      </c>
      <c r="F1314" s="26" t="e">
        <f t="shared" si="1678"/>
        <v>#REF!</v>
      </c>
      <c r="G1314" s="17">
        <v>5</v>
      </c>
      <c r="H1314" s="17" t="s">
        <v>9</v>
      </c>
      <c r="I1314" s="30" t="s">
        <v>34</v>
      </c>
      <c r="J1314" s="22"/>
      <c r="K1314" s="63"/>
      <c r="L1314" s="8">
        <f t="shared" si="1673"/>
        <v>0</v>
      </c>
      <c r="M1314" s="24">
        <f t="shared" ref="M1314:M1377" si="1679">+L1314/SUMIF(C:C,C1314,L:L)</f>
        <v>0</v>
      </c>
      <c r="N1314" s="14"/>
    </row>
    <row r="1315" spans="1:14" x14ac:dyDescent="0.25">
      <c r="A1315" s="20">
        <v>44585</v>
      </c>
      <c r="B1315" s="1">
        <f t="shared" ref="B1315" si="1680">B1310</f>
        <v>110</v>
      </c>
      <c r="C1315" s="1" t="s">
        <v>423</v>
      </c>
      <c r="D1315" s="1" t="s">
        <v>23</v>
      </c>
      <c r="E1315" s="26" t="e">
        <f t="shared" ref="E1315:F1315" si="1681">+E1314</f>
        <v>#REF!</v>
      </c>
      <c r="F1315" s="26" t="e">
        <f t="shared" si="1681"/>
        <v>#REF!</v>
      </c>
      <c r="G1315" s="17">
        <v>6</v>
      </c>
      <c r="H1315" s="17" t="s">
        <v>9</v>
      </c>
      <c r="I1315" s="30" t="s">
        <v>35</v>
      </c>
      <c r="J1315" s="22"/>
      <c r="K1315" s="22"/>
      <c r="L1315" s="8">
        <f t="shared" si="1673"/>
        <v>0</v>
      </c>
      <c r="M1315" s="24">
        <f t="shared" si="1679"/>
        <v>0</v>
      </c>
      <c r="N1315" s="14"/>
    </row>
    <row r="1316" spans="1:14" x14ac:dyDescent="0.25">
      <c r="A1316" s="20">
        <v>44585</v>
      </c>
      <c r="B1316" s="1">
        <f t="shared" ref="B1316" si="1682">B1310</f>
        <v>110</v>
      </c>
      <c r="C1316" s="1" t="s">
        <v>423</v>
      </c>
      <c r="D1316" s="1" t="s">
        <v>23</v>
      </c>
      <c r="E1316" s="26" t="e">
        <f t="shared" ref="E1316:F1316" si="1683">+E1315</f>
        <v>#REF!</v>
      </c>
      <c r="F1316" s="26" t="e">
        <f t="shared" si="1683"/>
        <v>#REF!</v>
      </c>
      <c r="G1316" s="17">
        <v>7</v>
      </c>
      <c r="H1316" s="17" t="s">
        <v>9</v>
      </c>
      <c r="I1316" s="30" t="s">
        <v>36</v>
      </c>
      <c r="J1316" s="22"/>
      <c r="K1316" s="22"/>
      <c r="L1316" s="8">
        <f t="shared" si="1673"/>
        <v>0</v>
      </c>
      <c r="M1316" s="24">
        <f t="shared" si="1679"/>
        <v>0</v>
      </c>
      <c r="N1316" s="14"/>
    </row>
    <row r="1317" spans="1:14" x14ac:dyDescent="0.25">
      <c r="A1317" s="20">
        <v>44585</v>
      </c>
      <c r="B1317" s="1">
        <f t="shared" ref="B1317" si="1684">B1310</f>
        <v>110</v>
      </c>
      <c r="C1317" s="1" t="s">
        <v>423</v>
      </c>
      <c r="D1317" s="1" t="s">
        <v>23</v>
      </c>
      <c r="E1317" s="26" t="e">
        <f>+E1316</f>
        <v>#REF!</v>
      </c>
      <c r="F1317" s="26" t="e">
        <f>+F1316</f>
        <v>#REF!</v>
      </c>
      <c r="G1317" s="17">
        <v>8</v>
      </c>
      <c r="H1317" s="17" t="s">
        <v>9</v>
      </c>
      <c r="I1317" s="30" t="s">
        <v>59</v>
      </c>
      <c r="J1317" s="22">
        <v>2.9</v>
      </c>
      <c r="K1317" s="22">
        <f>0.5+0.55</f>
        <v>1.05</v>
      </c>
      <c r="L1317" s="8">
        <f t="shared" si="1673"/>
        <v>1.8499999999999999</v>
      </c>
      <c r="M1317" s="24">
        <f t="shared" si="1679"/>
        <v>5.3623188405797099E-2</v>
      </c>
      <c r="N1317" s="14"/>
    </row>
    <row r="1318" spans="1:14" x14ac:dyDescent="0.25">
      <c r="A1318" s="20">
        <v>44585</v>
      </c>
      <c r="B1318" s="1">
        <f t="shared" ref="B1318" si="1685">B1310</f>
        <v>110</v>
      </c>
      <c r="C1318" s="1" t="s">
        <v>423</v>
      </c>
      <c r="D1318" s="1" t="s">
        <v>23</v>
      </c>
      <c r="E1318" s="26" t="e">
        <f t="shared" ref="E1318:F1318" si="1686">+E1317</f>
        <v>#REF!</v>
      </c>
      <c r="F1318" s="26" t="e">
        <f t="shared" si="1686"/>
        <v>#REF!</v>
      </c>
      <c r="G1318" s="17">
        <v>9</v>
      </c>
      <c r="H1318" s="17" t="s">
        <v>9</v>
      </c>
      <c r="I1318" s="30" t="s">
        <v>38</v>
      </c>
      <c r="J1318" s="22"/>
      <c r="K1318" s="22"/>
      <c r="L1318" s="8">
        <f t="shared" si="1673"/>
        <v>0</v>
      </c>
      <c r="M1318" s="24">
        <f t="shared" si="1679"/>
        <v>0</v>
      </c>
      <c r="N1318" s="14"/>
    </row>
    <row r="1319" spans="1:14" x14ac:dyDescent="0.25">
      <c r="A1319" s="20">
        <v>44585</v>
      </c>
      <c r="B1319" s="1">
        <f t="shared" ref="B1319" si="1687">B1310</f>
        <v>110</v>
      </c>
      <c r="C1319" s="1" t="s">
        <v>423</v>
      </c>
      <c r="D1319" s="1" t="s">
        <v>23</v>
      </c>
      <c r="E1319" s="26" t="e">
        <f t="shared" ref="E1319:F1319" si="1688">+E1318</f>
        <v>#REF!</v>
      </c>
      <c r="F1319" s="26" t="e">
        <f t="shared" si="1688"/>
        <v>#REF!</v>
      </c>
      <c r="G1319" s="17">
        <v>10</v>
      </c>
      <c r="H1319" s="17" t="s">
        <v>9</v>
      </c>
      <c r="I1319" s="30" t="s">
        <v>23</v>
      </c>
      <c r="J1319" s="22">
        <f>18.5+11+16.5+16.5+11.5</f>
        <v>74</v>
      </c>
      <c r="K1319" s="22">
        <f>8.55+8.55+8.3+8.55+8.5</f>
        <v>42.45</v>
      </c>
      <c r="L1319" s="8">
        <f t="shared" si="1673"/>
        <v>31.549999999999997</v>
      </c>
      <c r="M1319" s="24">
        <f t="shared" si="1679"/>
        <v>0.91449275362318827</v>
      </c>
      <c r="N1319" s="14"/>
    </row>
    <row r="1320" spans="1:14" x14ac:dyDescent="0.25">
      <c r="A1320" s="20">
        <v>44585</v>
      </c>
      <c r="B1320" s="1">
        <f t="shared" ref="B1320" si="1689">B1310</f>
        <v>110</v>
      </c>
      <c r="C1320" s="1" t="s">
        <v>423</v>
      </c>
      <c r="D1320" s="1" t="s">
        <v>23</v>
      </c>
      <c r="E1320" s="26" t="e">
        <f t="shared" ref="E1320:F1320" si="1690">+E1319</f>
        <v>#REF!</v>
      </c>
      <c r="F1320" s="26" t="e">
        <f t="shared" si="1690"/>
        <v>#REF!</v>
      </c>
      <c r="G1320" s="17">
        <v>11</v>
      </c>
      <c r="H1320" s="17" t="s">
        <v>9</v>
      </c>
      <c r="I1320" s="30" t="s">
        <v>60</v>
      </c>
      <c r="J1320" s="22"/>
      <c r="K1320" s="22"/>
      <c r="L1320" s="8">
        <f t="shared" si="1673"/>
        <v>0</v>
      </c>
      <c r="M1320" s="24">
        <f t="shared" si="1679"/>
        <v>0</v>
      </c>
      <c r="N1320" s="14"/>
    </row>
    <row r="1321" spans="1:14" ht="15.75" thickBot="1" x14ac:dyDescent="0.3">
      <c r="A1321" s="20">
        <v>44585</v>
      </c>
      <c r="B1321" s="57">
        <f t="shared" ref="B1321" si="1691">B1310</f>
        <v>110</v>
      </c>
      <c r="C1321" s="1" t="s">
        <v>423</v>
      </c>
      <c r="D1321" s="1" t="s">
        <v>23</v>
      </c>
      <c r="E1321" s="26" t="e">
        <f t="shared" ref="E1321:F1321" si="1692">+E1320</f>
        <v>#REF!</v>
      </c>
      <c r="F1321" s="26" t="e">
        <f t="shared" si="1692"/>
        <v>#REF!</v>
      </c>
      <c r="G1321" s="18">
        <f>+G1320+1</f>
        <v>12</v>
      </c>
      <c r="H1321" s="18" t="s">
        <v>10</v>
      </c>
      <c r="I1321" s="46" t="s">
        <v>10</v>
      </c>
      <c r="J1321" s="22">
        <v>9.6</v>
      </c>
      <c r="K1321" s="63">
        <v>8.5</v>
      </c>
      <c r="L1321" s="8">
        <f t="shared" si="1673"/>
        <v>1.0999999999999996</v>
      </c>
      <c r="M1321" s="24">
        <f t="shared" si="1679"/>
        <v>3.1884057971014484E-2</v>
      </c>
      <c r="N1321" s="14"/>
    </row>
    <row r="1322" spans="1:14" x14ac:dyDescent="0.25">
      <c r="A1322" s="19">
        <v>44585</v>
      </c>
      <c r="B1322" s="15">
        <f t="shared" ref="B1322" si="1693">B1310+1</f>
        <v>111</v>
      </c>
      <c r="C1322" s="15" t="s">
        <v>424</v>
      </c>
      <c r="D1322" s="15" t="s">
        <v>23</v>
      </c>
      <c r="E1322" s="25">
        <f>49.2-1.2</f>
        <v>48</v>
      </c>
      <c r="F1322" s="25">
        <f>+SUM(L1322:L1333)</f>
        <v>48.07</v>
      </c>
      <c r="G1322" s="16">
        <v>1</v>
      </c>
      <c r="H1322" s="16" t="s">
        <v>9</v>
      </c>
      <c r="I1322" s="59" t="s">
        <v>56</v>
      </c>
      <c r="J1322" s="21"/>
      <c r="K1322" s="21"/>
      <c r="L1322" s="12">
        <f>+J1322-K1322</f>
        <v>0</v>
      </c>
      <c r="M1322" s="23">
        <f t="shared" si="1679"/>
        <v>0</v>
      </c>
      <c r="N1322" s="13"/>
    </row>
    <row r="1323" spans="1:14" x14ac:dyDescent="0.25">
      <c r="A1323" s="20">
        <v>44585</v>
      </c>
      <c r="B1323" s="1">
        <f t="shared" ref="B1323" si="1694">B1322</f>
        <v>111</v>
      </c>
      <c r="C1323" s="1" t="s">
        <v>424</v>
      </c>
      <c r="D1323" s="1" t="s">
        <v>23</v>
      </c>
      <c r="E1323" s="26">
        <f>+E1322</f>
        <v>48</v>
      </c>
      <c r="F1323" s="28">
        <f>+(F1322-E1322)/E1322</f>
        <v>1.4583333333333393E-3</v>
      </c>
      <c r="G1323" s="17">
        <v>2</v>
      </c>
      <c r="H1323" s="17" t="s">
        <v>9</v>
      </c>
      <c r="I1323" s="30" t="s">
        <v>57</v>
      </c>
      <c r="J1323" s="22">
        <v>0.6</v>
      </c>
      <c r="K1323" s="22">
        <v>0.55000000000000004</v>
      </c>
      <c r="L1323" s="8">
        <f t="shared" ref="L1323:L1333" si="1695">+J1323-K1323</f>
        <v>4.9999999999999933E-2</v>
      </c>
      <c r="M1323" s="24">
        <f t="shared" si="1679"/>
        <v>1.0401497815685445E-3</v>
      </c>
      <c r="N1323" s="14"/>
    </row>
    <row r="1324" spans="1:14" x14ac:dyDescent="0.25">
      <c r="A1324" s="20">
        <v>44585</v>
      </c>
      <c r="B1324" s="1">
        <f t="shared" ref="B1324" si="1696">B1322</f>
        <v>111</v>
      </c>
      <c r="C1324" s="1" t="s">
        <v>424</v>
      </c>
      <c r="D1324" s="1" t="s">
        <v>23</v>
      </c>
      <c r="E1324" s="26" t="e">
        <f>+#REF!</f>
        <v>#REF!</v>
      </c>
      <c r="F1324" s="26" t="e">
        <f>+#REF!</f>
        <v>#REF!</v>
      </c>
      <c r="G1324" s="17">
        <v>3</v>
      </c>
      <c r="H1324" s="17" t="s">
        <v>9</v>
      </c>
      <c r="I1324" s="30" t="s">
        <v>58</v>
      </c>
      <c r="J1324" s="22"/>
      <c r="K1324" s="22"/>
      <c r="L1324" s="8">
        <f t="shared" si="1695"/>
        <v>0</v>
      </c>
      <c r="M1324" s="24">
        <f t="shared" si="1679"/>
        <v>0</v>
      </c>
      <c r="N1324" s="14"/>
    </row>
    <row r="1325" spans="1:14" x14ac:dyDescent="0.25">
      <c r="A1325" s="20">
        <v>44585</v>
      </c>
      <c r="B1325" s="1">
        <f t="shared" ref="B1325" si="1697">B1322</f>
        <v>111</v>
      </c>
      <c r="C1325" s="1" t="s">
        <v>424</v>
      </c>
      <c r="D1325" s="1" t="s">
        <v>23</v>
      </c>
      <c r="E1325" s="26" t="e">
        <f t="shared" ref="E1325:F1325" si="1698">+E1324</f>
        <v>#REF!</v>
      </c>
      <c r="F1325" s="26" t="e">
        <f t="shared" si="1698"/>
        <v>#REF!</v>
      </c>
      <c r="G1325" s="17">
        <v>4</v>
      </c>
      <c r="H1325" s="17" t="s">
        <v>9</v>
      </c>
      <c r="I1325" s="30" t="s">
        <v>22</v>
      </c>
      <c r="J1325" s="22"/>
      <c r="K1325" s="22"/>
      <c r="L1325" s="8">
        <f t="shared" si="1695"/>
        <v>0</v>
      </c>
      <c r="M1325" s="24">
        <f t="shared" si="1679"/>
        <v>0</v>
      </c>
      <c r="N1325" s="14"/>
    </row>
    <row r="1326" spans="1:14" x14ac:dyDescent="0.25">
      <c r="A1326" s="20">
        <v>44585</v>
      </c>
      <c r="B1326" s="1">
        <f t="shared" ref="B1326" si="1699">B1322</f>
        <v>111</v>
      </c>
      <c r="C1326" s="1" t="s">
        <v>424</v>
      </c>
      <c r="D1326" s="1" t="s">
        <v>23</v>
      </c>
      <c r="E1326" s="26" t="e">
        <f t="shared" ref="E1326:F1326" si="1700">+E1325</f>
        <v>#REF!</v>
      </c>
      <c r="F1326" s="26" t="e">
        <f t="shared" si="1700"/>
        <v>#REF!</v>
      </c>
      <c r="G1326" s="17">
        <v>5</v>
      </c>
      <c r="H1326" s="17" t="s">
        <v>9</v>
      </c>
      <c r="I1326" s="30" t="s">
        <v>34</v>
      </c>
      <c r="J1326" s="22">
        <v>0.55000000000000004</v>
      </c>
      <c r="K1326" s="63">
        <v>0.5</v>
      </c>
      <c r="L1326" s="8">
        <f t="shared" si="1695"/>
        <v>5.0000000000000044E-2</v>
      </c>
      <c r="M1326" s="24">
        <f t="shared" si="1679"/>
        <v>1.0401497815685468E-3</v>
      </c>
      <c r="N1326" s="14"/>
    </row>
    <row r="1327" spans="1:14" x14ac:dyDescent="0.25">
      <c r="A1327" s="20">
        <v>44585</v>
      </c>
      <c r="B1327" s="1">
        <f t="shared" ref="B1327" si="1701">B1322</f>
        <v>111</v>
      </c>
      <c r="C1327" s="1" t="s">
        <v>424</v>
      </c>
      <c r="D1327" s="1" t="s">
        <v>23</v>
      </c>
      <c r="E1327" s="26" t="e">
        <f t="shared" ref="E1327:F1327" si="1702">+E1326</f>
        <v>#REF!</v>
      </c>
      <c r="F1327" s="26" t="e">
        <f t="shared" si="1702"/>
        <v>#REF!</v>
      </c>
      <c r="G1327" s="17">
        <v>6</v>
      </c>
      <c r="H1327" s="17" t="s">
        <v>9</v>
      </c>
      <c r="I1327" s="30" t="s">
        <v>35</v>
      </c>
      <c r="J1327" s="22"/>
      <c r="K1327" s="22"/>
      <c r="L1327" s="8">
        <f t="shared" si="1695"/>
        <v>0</v>
      </c>
      <c r="M1327" s="24">
        <f t="shared" si="1679"/>
        <v>0</v>
      </c>
      <c r="N1327" s="14"/>
    </row>
    <row r="1328" spans="1:14" x14ac:dyDescent="0.25">
      <c r="A1328" s="20">
        <v>44585</v>
      </c>
      <c r="B1328" s="1">
        <f t="shared" ref="B1328" si="1703">B1322</f>
        <v>111</v>
      </c>
      <c r="C1328" s="1" t="s">
        <v>424</v>
      </c>
      <c r="D1328" s="1" t="s">
        <v>23</v>
      </c>
      <c r="E1328" s="26" t="e">
        <f t="shared" ref="E1328:F1328" si="1704">+E1327</f>
        <v>#REF!</v>
      </c>
      <c r="F1328" s="26" t="e">
        <f t="shared" si="1704"/>
        <v>#REF!</v>
      </c>
      <c r="G1328" s="17">
        <v>7</v>
      </c>
      <c r="H1328" s="17" t="s">
        <v>9</v>
      </c>
      <c r="I1328" s="30" t="s">
        <v>36</v>
      </c>
      <c r="J1328" s="22"/>
      <c r="K1328" s="22"/>
      <c r="L1328" s="8">
        <f t="shared" si="1695"/>
        <v>0</v>
      </c>
      <c r="M1328" s="24">
        <f t="shared" si="1679"/>
        <v>0</v>
      </c>
      <c r="N1328" s="14"/>
    </row>
    <row r="1329" spans="1:14" x14ac:dyDescent="0.25">
      <c r="A1329" s="20">
        <v>44585</v>
      </c>
      <c r="B1329" s="1">
        <f t="shared" ref="B1329" si="1705">B1322</f>
        <v>111</v>
      </c>
      <c r="C1329" s="1" t="s">
        <v>424</v>
      </c>
      <c r="D1329" s="1" t="s">
        <v>23</v>
      </c>
      <c r="E1329" s="26" t="e">
        <f>+E1328</f>
        <v>#REF!</v>
      </c>
      <c r="F1329" s="26" t="e">
        <f>+F1328</f>
        <v>#REF!</v>
      </c>
      <c r="G1329" s="17">
        <v>8</v>
      </c>
      <c r="H1329" s="17" t="s">
        <v>9</v>
      </c>
      <c r="I1329" s="30" t="s">
        <v>59</v>
      </c>
      <c r="J1329" s="22">
        <v>2.65</v>
      </c>
      <c r="K1329" s="22">
        <v>0.5</v>
      </c>
      <c r="L1329" s="8">
        <f t="shared" si="1695"/>
        <v>2.15</v>
      </c>
      <c r="M1329" s="24">
        <f t="shared" si="1679"/>
        <v>4.4726440607447474E-2</v>
      </c>
      <c r="N1329" s="14"/>
    </row>
    <row r="1330" spans="1:14" x14ac:dyDescent="0.25">
      <c r="A1330" s="20">
        <v>44585</v>
      </c>
      <c r="B1330" s="1">
        <f t="shared" ref="B1330" si="1706">B1322</f>
        <v>111</v>
      </c>
      <c r="C1330" s="1" t="s">
        <v>424</v>
      </c>
      <c r="D1330" s="1" t="s">
        <v>23</v>
      </c>
      <c r="E1330" s="26" t="e">
        <f t="shared" ref="E1330:F1330" si="1707">+E1329</f>
        <v>#REF!</v>
      </c>
      <c r="F1330" s="26" t="e">
        <f t="shared" si="1707"/>
        <v>#REF!</v>
      </c>
      <c r="G1330" s="17">
        <v>9</v>
      </c>
      <c r="H1330" s="17" t="s">
        <v>9</v>
      </c>
      <c r="I1330" s="30" t="s">
        <v>38</v>
      </c>
      <c r="J1330" s="22"/>
      <c r="K1330" s="22"/>
      <c r="L1330" s="8">
        <f t="shared" si="1695"/>
        <v>0</v>
      </c>
      <c r="M1330" s="24">
        <f t="shared" si="1679"/>
        <v>0</v>
      </c>
      <c r="N1330" s="14"/>
    </row>
    <row r="1331" spans="1:14" x14ac:dyDescent="0.25">
      <c r="A1331" s="20">
        <v>44585</v>
      </c>
      <c r="B1331" s="1">
        <f t="shared" ref="B1331" si="1708">B1322</f>
        <v>111</v>
      </c>
      <c r="C1331" s="1" t="s">
        <v>424</v>
      </c>
      <c r="D1331" s="1" t="s">
        <v>23</v>
      </c>
      <c r="E1331" s="26" t="e">
        <f t="shared" ref="E1331:F1331" si="1709">+E1330</f>
        <v>#REF!</v>
      </c>
      <c r="F1331" s="26" t="e">
        <f t="shared" si="1709"/>
        <v>#REF!</v>
      </c>
      <c r="G1331" s="17">
        <v>10</v>
      </c>
      <c r="H1331" s="17" t="s">
        <v>9</v>
      </c>
      <c r="I1331" s="30" t="s">
        <v>23</v>
      </c>
      <c r="J1331" s="22">
        <f>18.1+21.5+11.75+14.6+20.05</f>
        <v>86</v>
      </c>
      <c r="K1331" s="22">
        <f>8.55+8.55+8.3+8.55+8.55</f>
        <v>42.5</v>
      </c>
      <c r="L1331" s="8">
        <f t="shared" si="1695"/>
        <v>43.5</v>
      </c>
      <c r="M1331" s="24">
        <f t="shared" si="1679"/>
        <v>0.90493030996463486</v>
      </c>
      <c r="N1331" s="14"/>
    </row>
    <row r="1332" spans="1:14" x14ac:dyDescent="0.25">
      <c r="A1332" s="20">
        <v>44585</v>
      </c>
      <c r="B1332" s="1">
        <f t="shared" ref="B1332" si="1710">B1322</f>
        <v>111</v>
      </c>
      <c r="C1332" s="1" t="s">
        <v>424</v>
      </c>
      <c r="D1332" s="1" t="s">
        <v>23</v>
      </c>
      <c r="E1332" s="26" t="e">
        <f t="shared" ref="E1332:F1332" si="1711">+E1331</f>
        <v>#REF!</v>
      </c>
      <c r="F1332" s="26" t="e">
        <f t="shared" si="1711"/>
        <v>#REF!</v>
      </c>
      <c r="G1332" s="17">
        <v>11</v>
      </c>
      <c r="H1332" s="17" t="s">
        <v>9</v>
      </c>
      <c r="I1332" s="30" t="s">
        <v>60</v>
      </c>
      <c r="J1332" s="22">
        <v>0.02</v>
      </c>
      <c r="K1332" s="22">
        <v>0</v>
      </c>
      <c r="L1332" s="8">
        <f t="shared" si="1695"/>
        <v>0.02</v>
      </c>
      <c r="M1332" s="24">
        <f t="shared" si="1679"/>
        <v>4.1605991262741833E-4</v>
      </c>
      <c r="N1332" s="14"/>
    </row>
    <row r="1333" spans="1:14" ht="15.75" thickBot="1" x14ac:dyDescent="0.3">
      <c r="A1333" s="20">
        <v>44585</v>
      </c>
      <c r="B1333" s="57">
        <f t="shared" ref="B1333" si="1712">B1322</f>
        <v>111</v>
      </c>
      <c r="C1333" s="1" t="s">
        <v>424</v>
      </c>
      <c r="D1333" s="1" t="s">
        <v>23</v>
      </c>
      <c r="E1333" s="26" t="e">
        <f t="shared" ref="E1333:F1333" si="1713">+E1332</f>
        <v>#REF!</v>
      </c>
      <c r="F1333" s="26" t="e">
        <f t="shared" si="1713"/>
        <v>#REF!</v>
      </c>
      <c r="G1333" s="18">
        <f>+G1332+1</f>
        <v>12</v>
      </c>
      <c r="H1333" s="18" t="s">
        <v>10</v>
      </c>
      <c r="I1333" s="46" t="s">
        <v>10</v>
      </c>
      <c r="J1333" s="22">
        <v>10.6</v>
      </c>
      <c r="K1333" s="63">
        <v>8.3000000000000007</v>
      </c>
      <c r="L1333" s="8">
        <f t="shared" si="1695"/>
        <v>2.2999999999999989</v>
      </c>
      <c r="M1333" s="24">
        <f t="shared" si="1679"/>
        <v>4.7846889952153089E-2</v>
      </c>
      <c r="N1333" s="14"/>
    </row>
    <row r="1334" spans="1:14" x14ac:dyDescent="0.25">
      <c r="A1334" s="19">
        <v>44585</v>
      </c>
      <c r="B1334" s="15">
        <f t="shared" ref="B1334" si="1714">B1322+1</f>
        <v>112</v>
      </c>
      <c r="C1334" s="15" t="s">
        <v>425</v>
      </c>
      <c r="D1334" s="15" t="s">
        <v>184</v>
      </c>
      <c r="E1334" s="25">
        <f>19.2-1.2</f>
        <v>18</v>
      </c>
      <c r="F1334" s="25">
        <f>+SUM(L1334:L1345)</f>
        <v>17.88</v>
      </c>
      <c r="G1334" s="16">
        <v>1</v>
      </c>
      <c r="H1334" s="16" t="s">
        <v>9</v>
      </c>
      <c r="I1334" s="59" t="s">
        <v>56</v>
      </c>
      <c r="J1334" s="21">
        <f>11.95+11.5+11.8+10.6+11.05+11.05</f>
        <v>67.95</v>
      </c>
      <c r="K1334" s="21">
        <f>8.55+8.55+8.5+8.5+8.3+8.55</f>
        <v>50.95</v>
      </c>
      <c r="L1334" s="12">
        <f>+J1334-K1334</f>
        <v>17</v>
      </c>
      <c r="M1334" s="23">
        <f t="shared" si="1679"/>
        <v>0.95078299776286357</v>
      </c>
      <c r="N1334" s="13"/>
    </row>
    <row r="1335" spans="1:14" x14ac:dyDescent="0.25">
      <c r="A1335" s="20">
        <v>44585</v>
      </c>
      <c r="B1335" s="1">
        <f t="shared" ref="B1335" si="1715">B1334</f>
        <v>112</v>
      </c>
      <c r="C1335" s="1" t="s">
        <v>425</v>
      </c>
      <c r="D1335" s="1" t="s">
        <v>184</v>
      </c>
      <c r="E1335" s="26">
        <f>+E1334</f>
        <v>18</v>
      </c>
      <c r="F1335" s="28">
        <f>+(F1334-E1334)/E1334</f>
        <v>-6.6666666666667217E-3</v>
      </c>
      <c r="G1335" s="17">
        <v>2</v>
      </c>
      <c r="H1335" s="17" t="s">
        <v>9</v>
      </c>
      <c r="I1335" s="30" t="s">
        <v>57</v>
      </c>
      <c r="J1335" s="22">
        <v>1.2</v>
      </c>
      <c r="K1335" s="22">
        <v>0.55000000000000004</v>
      </c>
      <c r="L1335" s="8">
        <f t="shared" ref="L1335:L1345" si="1716">+J1335-K1335</f>
        <v>0.64999999999999991</v>
      </c>
      <c r="M1335" s="24">
        <f t="shared" si="1679"/>
        <v>3.6353467561521247E-2</v>
      </c>
      <c r="N1335" s="14"/>
    </row>
    <row r="1336" spans="1:14" x14ac:dyDescent="0.25">
      <c r="A1336" s="20">
        <v>44585</v>
      </c>
      <c r="B1336" s="1">
        <f t="shared" ref="B1336" si="1717">B1334</f>
        <v>112</v>
      </c>
      <c r="C1336" s="1" t="s">
        <v>425</v>
      </c>
      <c r="D1336" s="1" t="s">
        <v>184</v>
      </c>
      <c r="E1336" s="26" t="e">
        <f>+#REF!</f>
        <v>#REF!</v>
      </c>
      <c r="F1336" s="26" t="e">
        <f>+#REF!</f>
        <v>#REF!</v>
      </c>
      <c r="G1336" s="17">
        <v>3</v>
      </c>
      <c r="H1336" s="17" t="s">
        <v>9</v>
      </c>
      <c r="I1336" s="30" t="s">
        <v>58</v>
      </c>
      <c r="J1336" s="22"/>
      <c r="K1336" s="22"/>
      <c r="L1336" s="8">
        <f t="shared" si="1716"/>
        <v>0</v>
      </c>
      <c r="M1336" s="24">
        <f t="shared" si="1679"/>
        <v>0</v>
      </c>
      <c r="N1336" s="14"/>
    </row>
    <row r="1337" spans="1:14" x14ac:dyDescent="0.25">
      <c r="A1337" s="20">
        <v>44585</v>
      </c>
      <c r="B1337" s="1">
        <f t="shared" ref="B1337" si="1718">B1334</f>
        <v>112</v>
      </c>
      <c r="C1337" s="1" t="s">
        <v>425</v>
      </c>
      <c r="D1337" s="1" t="s">
        <v>184</v>
      </c>
      <c r="E1337" s="26" t="e">
        <f t="shared" ref="E1337:F1337" si="1719">+E1336</f>
        <v>#REF!</v>
      </c>
      <c r="F1337" s="26" t="e">
        <f t="shared" si="1719"/>
        <v>#REF!</v>
      </c>
      <c r="G1337" s="17">
        <v>4</v>
      </c>
      <c r="H1337" s="17" t="s">
        <v>9</v>
      </c>
      <c r="I1337" s="30" t="s">
        <v>22</v>
      </c>
      <c r="J1337" s="22"/>
      <c r="K1337" s="22"/>
      <c r="L1337" s="8">
        <f t="shared" si="1716"/>
        <v>0</v>
      </c>
      <c r="M1337" s="24">
        <f t="shared" si="1679"/>
        <v>0</v>
      </c>
      <c r="N1337" s="14"/>
    </row>
    <row r="1338" spans="1:14" x14ac:dyDescent="0.25">
      <c r="A1338" s="20">
        <v>44585</v>
      </c>
      <c r="B1338" s="1">
        <f t="shared" ref="B1338" si="1720">B1334</f>
        <v>112</v>
      </c>
      <c r="C1338" s="1" t="s">
        <v>425</v>
      </c>
      <c r="D1338" s="1" t="s">
        <v>184</v>
      </c>
      <c r="E1338" s="26" t="e">
        <f t="shared" ref="E1338:F1338" si="1721">+E1337</f>
        <v>#REF!</v>
      </c>
      <c r="F1338" s="26" t="e">
        <f t="shared" si="1721"/>
        <v>#REF!</v>
      </c>
      <c r="G1338" s="17">
        <v>5</v>
      </c>
      <c r="H1338" s="17" t="s">
        <v>9</v>
      </c>
      <c r="I1338" s="30" t="s">
        <v>34</v>
      </c>
      <c r="J1338" s="22">
        <v>0.03</v>
      </c>
      <c r="K1338" s="63">
        <v>0</v>
      </c>
      <c r="L1338" s="8">
        <f t="shared" si="1716"/>
        <v>0.03</v>
      </c>
      <c r="M1338" s="24">
        <f t="shared" si="1679"/>
        <v>1.6778523489932886E-3</v>
      </c>
      <c r="N1338" s="14"/>
    </row>
    <row r="1339" spans="1:14" x14ac:dyDescent="0.25">
      <c r="A1339" s="20">
        <v>44585</v>
      </c>
      <c r="B1339" s="1">
        <f t="shared" ref="B1339" si="1722">B1334</f>
        <v>112</v>
      </c>
      <c r="C1339" s="1" t="s">
        <v>425</v>
      </c>
      <c r="D1339" s="1" t="s">
        <v>184</v>
      </c>
      <c r="E1339" s="26" t="e">
        <f t="shared" ref="E1339:F1339" si="1723">+E1338</f>
        <v>#REF!</v>
      </c>
      <c r="F1339" s="26" t="e">
        <f t="shared" si="1723"/>
        <v>#REF!</v>
      </c>
      <c r="G1339" s="17">
        <v>6</v>
      </c>
      <c r="H1339" s="17" t="s">
        <v>9</v>
      </c>
      <c r="I1339" s="30" t="s">
        <v>35</v>
      </c>
      <c r="J1339" s="22"/>
      <c r="K1339" s="22"/>
      <c r="L1339" s="8">
        <f t="shared" si="1716"/>
        <v>0</v>
      </c>
      <c r="M1339" s="24">
        <f t="shared" si="1679"/>
        <v>0</v>
      </c>
      <c r="N1339" s="14"/>
    </row>
    <row r="1340" spans="1:14" x14ac:dyDescent="0.25">
      <c r="A1340" s="20">
        <v>44585</v>
      </c>
      <c r="B1340" s="1">
        <f t="shared" ref="B1340" si="1724">B1334</f>
        <v>112</v>
      </c>
      <c r="C1340" s="1" t="s">
        <v>425</v>
      </c>
      <c r="D1340" s="1" t="s">
        <v>184</v>
      </c>
      <c r="E1340" s="26" t="e">
        <f t="shared" ref="E1340:F1340" si="1725">+E1339</f>
        <v>#REF!</v>
      </c>
      <c r="F1340" s="26" t="e">
        <f t="shared" si="1725"/>
        <v>#REF!</v>
      </c>
      <c r="G1340" s="17">
        <v>7</v>
      </c>
      <c r="H1340" s="17" t="s">
        <v>9</v>
      </c>
      <c r="I1340" s="30" t="s">
        <v>36</v>
      </c>
      <c r="J1340" s="22"/>
      <c r="K1340" s="22"/>
      <c r="L1340" s="8">
        <f t="shared" si="1716"/>
        <v>0</v>
      </c>
      <c r="M1340" s="24">
        <f t="shared" si="1679"/>
        <v>0</v>
      </c>
      <c r="N1340" s="14"/>
    </row>
    <row r="1341" spans="1:14" x14ac:dyDescent="0.25">
      <c r="A1341" s="20">
        <v>44585</v>
      </c>
      <c r="B1341" s="1">
        <f t="shared" ref="B1341" si="1726">B1334</f>
        <v>112</v>
      </c>
      <c r="C1341" s="1" t="s">
        <v>425</v>
      </c>
      <c r="D1341" s="1" t="s">
        <v>184</v>
      </c>
      <c r="E1341" s="26" t="e">
        <f>+E1340</f>
        <v>#REF!</v>
      </c>
      <c r="F1341" s="26" t="e">
        <f>+F1340</f>
        <v>#REF!</v>
      </c>
      <c r="G1341" s="17">
        <v>8</v>
      </c>
      <c r="H1341" s="17" t="s">
        <v>9</v>
      </c>
      <c r="I1341" s="30" t="s">
        <v>59</v>
      </c>
      <c r="J1341" s="22"/>
      <c r="K1341" s="22"/>
      <c r="L1341" s="8">
        <f t="shared" si="1716"/>
        <v>0</v>
      </c>
      <c r="M1341" s="24">
        <f t="shared" si="1679"/>
        <v>0</v>
      </c>
      <c r="N1341" s="14"/>
    </row>
    <row r="1342" spans="1:14" x14ac:dyDescent="0.25">
      <c r="A1342" s="20">
        <v>44585</v>
      </c>
      <c r="B1342" s="1">
        <f t="shared" ref="B1342" si="1727">B1334</f>
        <v>112</v>
      </c>
      <c r="C1342" s="1" t="s">
        <v>425</v>
      </c>
      <c r="D1342" s="1" t="s">
        <v>184</v>
      </c>
      <c r="E1342" s="26" t="e">
        <f t="shared" ref="E1342:F1342" si="1728">+E1341</f>
        <v>#REF!</v>
      </c>
      <c r="F1342" s="26" t="e">
        <f t="shared" si="1728"/>
        <v>#REF!</v>
      </c>
      <c r="G1342" s="17">
        <v>9</v>
      </c>
      <c r="H1342" s="17" t="s">
        <v>9</v>
      </c>
      <c r="I1342" s="30" t="s">
        <v>38</v>
      </c>
      <c r="J1342" s="22"/>
      <c r="K1342" s="22"/>
      <c r="L1342" s="8">
        <f t="shared" si="1716"/>
        <v>0</v>
      </c>
      <c r="M1342" s="24">
        <f t="shared" si="1679"/>
        <v>0</v>
      </c>
      <c r="N1342" s="14"/>
    </row>
    <row r="1343" spans="1:14" x14ac:dyDescent="0.25">
      <c r="A1343" s="20">
        <v>44585</v>
      </c>
      <c r="B1343" s="1">
        <f t="shared" ref="B1343" si="1729">B1334</f>
        <v>112</v>
      </c>
      <c r="C1343" s="1" t="s">
        <v>425</v>
      </c>
      <c r="D1343" s="1" t="s">
        <v>184</v>
      </c>
      <c r="E1343" s="26" t="e">
        <f t="shared" ref="E1343:F1343" si="1730">+E1342</f>
        <v>#REF!</v>
      </c>
      <c r="F1343" s="26" t="e">
        <f t="shared" si="1730"/>
        <v>#REF!</v>
      </c>
      <c r="G1343" s="17">
        <v>10</v>
      </c>
      <c r="H1343" s="17" t="s">
        <v>9</v>
      </c>
      <c r="I1343" s="30" t="s">
        <v>23</v>
      </c>
      <c r="J1343" s="22">
        <v>0.55000000000000004</v>
      </c>
      <c r="K1343" s="22">
        <v>0.5</v>
      </c>
      <c r="L1343" s="8">
        <f t="shared" si="1716"/>
        <v>5.0000000000000044E-2</v>
      </c>
      <c r="M1343" s="24">
        <f t="shared" si="1679"/>
        <v>2.7964205816554837E-3</v>
      </c>
      <c r="N1343" s="14"/>
    </row>
    <row r="1344" spans="1:14" x14ac:dyDescent="0.25">
      <c r="A1344" s="20">
        <v>44585</v>
      </c>
      <c r="B1344" s="1">
        <f t="shared" ref="B1344" si="1731">B1334</f>
        <v>112</v>
      </c>
      <c r="C1344" s="1" t="s">
        <v>425</v>
      </c>
      <c r="D1344" s="1" t="s">
        <v>184</v>
      </c>
      <c r="E1344" s="26" t="e">
        <f t="shared" ref="E1344:F1344" si="1732">+E1343</f>
        <v>#REF!</v>
      </c>
      <c r="F1344" s="26" t="e">
        <f t="shared" si="1732"/>
        <v>#REF!</v>
      </c>
      <c r="G1344" s="17">
        <v>11</v>
      </c>
      <c r="H1344" s="17" t="s">
        <v>9</v>
      </c>
      <c r="I1344" s="30" t="s">
        <v>60</v>
      </c>
      <c r="J1344" s="22"/>
      <c r="K1344" s="22"/>
      <c r="L1344" s="8">
        <f t="shared" si="1716"/>
        <v>0</v>
      </c>
      <c r="M1344" s="24">
        <f t="shared" si="1679"/>
        <v>0</v>
      </c>
      <c r="N1344" s="14"/>
    </row>
    <row r="1345" spans="1:15" ht="15.75" thickBot="1" x14ac:dyDescent="0.3">
      <c r="A1345" s="20">
        <v>44585</v>
      </c>
      <c r="B1345" s="57">
        <f t="shared" ref="B1345" si="1733">B1334</f>
        <v>112</v>
      </c>
      <c r="C1345" s="1" t="s">
        <v>425</v>
      </c>
      <c r="D1345" s="1" t="s">
        <v>184</v>
      </c>
      <c r="E1345" s="26" t="e">
        <f t="shared" ref="E1345:F1345" si="1734">+E1344</f>
        <v>#REF!</v>
      </c>
      <c r="F1345" s="26" t="e">
        <f t="shared" si="1734"/>
        <v>#REF!</v>
      </c>
      <c r="G1345" s="18">
        <f>+G1344+1</f>
        <v>12</v>
      </c>
      <c r="H1345" s="18" t="s">
        <v>10</v>
      </c>
      <c r="I1345" s="46" t="s">
        <v>10</v>
      </c>
      <c r="J1345" s="22">
        <v>0.7</v>
      </c>
      <c r="K1345" s="63">
        <v>0.55000000000000004</v>
      </c>
      <c r="L1345" s="8">
        <f t="shared" si="1716"/>
        <v>0.14999999999999991</v>
      </c>
      <c r="M1345" s="24">
        <f t="shared" si="1679"/>
        <v>8.3892617449664378E-3</v>
      </c>
      <c r="N1345" s="14"/>
    </row>
    <row r="1346" spans="1:15" x14ac:dyDescent="0.25">
      <c r="A1346" s="19">
        <v>44586</v>
      </c>
      <c r="B1346" s="15">
        <f t="shared" ref="B1346" si="1735">B1334+1</f>
        <v>113</v>
      </c>
      <c r="C1346" s="15" t="s">
        <v>426</v>
      </c>
      <c r="D1346" s="15" t="s">
        <v>184</v>
      </c>
      <c r="E1346" s="25">
        <f>17.6-1.2</f>
        <v>16.400000000000002</v>
      </c>
      <c r="F1346" s="25">
        <f>+SUM(L1346:L1357)</f>
        <v>16.349999999999987</v>
      </c>
      <c r="G1346" s="16">
        <v>1</v>
      </c>
      <c r="H1346" s="16" t="s">
        <v>9</v>
      </c>
      <c r="I1346" s="59" t="s">
        <v>56</v>
      </c>
      <c r="J1346" s="21">
        <f>11.15+11.9+11.25+11.8+11.25</f>
        <v>57.349999999999994</v>
      </c>
      <c r="K1346" s="21">
        <f>8.3+8.55+8.5+8.5+8.3</f>
        <v>42.150000000000006</v>
      </c>
      <c r="L1346" s="12">
        <f>+J1346-K1346</f>
        <v>15.199999999999989</v>
      </c>
      <c r="M1346" s="23">
        <f t="shared" si="1679"/>
        <v>0.92966360856269115</v>
      </c>
      <c r="N1346" s="13"/>
    </row>
    <row r="1347" spans="1:15" x14ac:dyDescent="0.25">
      <c r="A1347" s="20">
        <v>44586</v>
      </c>
      <c r="B1347" s="1">
        <f t="shared" ref="B1347" si="1736">B1346</f>
        <v>113</v>
      </c>
      <c r="C1347" s="1" t="s">
        <v>426</v>
      </c>
      <c r="D1347" s="1" t="s">
        <v>184</v>
      </c>
      <c r="E1347" s="26">
        <f>+E1346</f>
        <v>16.400000000000002</v>
      </c>
      <c r="F1347" s="28">
        <f>+(F1346-E1346)/E1346</f>
        <v>-3.0487804878057876E-3</v>
      </c>
      <c r="G1347" s="17">
        <v>2</v>
      </c>
      <c r="H1347" s="17" t="s">
        <v>9</v>
      </c>
      <c r="I1347" s="30" t="s">
        <v>57</v>
      </c>
      <c r="J1347" s="22">
        <v>1.75</v>
      </c>
      <c r="K1347" s="22">
        <f>0.55+0.5</f>
        <v>1.05</v>
      </c>
      <c r="L1347" s="8">
        <f t="shared" ref="L1347:L1357" si="1737">+J1347-K1347</f>
        <v>0.7</v>
      </c>
      <c r="M1347" s="24">
        <f t="shared" si="1679"/>
        <v>4.2813455657492387E-2</v>
      </c>
      <c r="N1347" s="14"/>
    </row>
    <row r="1348" spans="1:15" x14ac:dyDescent="0.25">
      <c r="A1348" s="20">
        <v>44586</v>
      </c>
      <c r="B1348" s="1">
        <f t="shared" ref="B1348" si="1738">B1346</f>
        <v>113</v>
      </c>
      <c r="C1348" s="1" t="s">
        <v>426</v>
      </c>
      <c r="D1348" s="1" t="s">
        <v>184</v>
      </c>
      <c r="E1348" s="26" t="e">
        <f>+#REF!</f>
        <v>#REF!</v>
      </c>
      <c r="F1348" s="26" t="e">
        <f>+#REF!</f>
        <v>#REF!</v>
      </c>
      <c r="G1348" s="17">
        <v>3</v>
      </c>
      <c r="H1348" s="17" t="s">
        <v>9</v>
      </c>
      <c r="I1348" s="30" t="s">
        <v>58</v>
      </c>
      <c r="J1348" s="22"/>
      <c r="K1348" s="22"/>
      <c r="L1348" s="8">
        <f t="shared" si="1737"/>
        <v>0</v>
      </c>
      <c r="M1348" s="24">
        <f t="shared" si="1679"/>
        <v>0</v>
      </c>
      <c r="N1348" s="14"/>
    </row>
    <row r="1349" spans="1:15" x14ac:dyDescent="0.25">
      <c r="A1349" s="20">
        <v>44586</v>
      </c>
      <c r="B1349" s="1">
        <f t="shared" ref="B1349" si="1739">B1346</f>
        <v>113</v>
      </c>
      <c r="C1349" s="1" t="s">
        <v>426</v>
      </c>
      <c r="D1349" s="1" t="s">
        <v>184</v>
      </c>
      <c r="E1349" s="26" t="e">
        <f t="shared" ref="E1349:F1349" si="1740">+E1348</f>
        <v>#REF!</v>
      </c>
      <c r="F1349" s="26" t="e">
        <f t="shared" si="1740"/>
        <v>#REF!</v>
      </c>
      <c r="G1349" s="17">
        <v>4</v>
      </c>
      <c r="H1349" s="17" t="s">
        <v>9</v>
      </c>
      <c r="I1349" s="30" t="s">
        <v>22</v>
      </c>
      <c r="J1349" s="22"/>
      <c r="K1349" s="22"/>
      <c r="L1349" s="8">
        <f t="shared" si="1737"/>
        <v>0</v>
      </c>
      <c r="M1349" s="24">
        <f t="shared" si="1679"/>
        <v>0</v>
      </c>
      <c r="N1349" s="14"/>
    </row>
    <row r="1350" spans="1:15" x14ac:dyDescent="0.25">
      <c r="A1350" s="20">
        <v>44586</v>
      </c>
      <c r="B1350" s="1">
        <f t="shared" ref="B1350" si="1741">B1346</f>
        <v>113</v>
      </c>
      <c r="C1350" s="1" t="s">
        <v>426</v>
      </c>
      <c r="D1350" s="1" t="s">
        <v>184</v>
      </c>
      <c r="E1350" s="26" t="e">
        <f t="shared" ref="E1350:F1350" si="1742">+E1349</f>
        <v>#REF!</v>
      </c>
      <c r="F1350" s="26" t="e">
        <f t="shared" si="1742"/>
        <v>#REF!</v>
      </c>
      <c r="G1350" s="17">
        <v>5</v>
      </c>
      <c r="H1350" s="17" t="s">
        <v>9</v>
      </c>
      <c r="I1350" s="30" t="s">
        <v>34</v>
      </c>
      <c r="J1350" s="22"/>
      <c r="K1350" s="63"/>
      <c r="L1350" s="8">
        <f t="shared" si="1737"/>
        <v>0</v>
      </c>
      <c r="M1350" s="24">
        <f t="shared" si="1679"/>
        <v>0</v>
      </c>
      <c r="N1350" s="14"/>
    </row>
    <row r="1351" spans="1:15" x14ac:dyDescent="0.25">
      <c r="A1351" s="20">
        <v>44586</v>
      </c>
      <c r="B1351" s="1">
        <f t="shared" ref="B1351" si="1743">B1346</f>
        <v>113</v>
      </c>
      <c r="C1351" s="1" t="s">
        <v>426</v>
      </c>
      <c r="D1351" s="1" t="s">
        <v>184</v>
      </c>
      <c r="E1351" s="26" t="e">
        <f t="shared" ref="E1351:F1351" si="1744">+E1350</f>
        <v>#REF!</v>
      </c>
      <c r="F1351" s="26" t="e">
        <f t="shared" si="1744"/>
        <v>#REF!</v>
      </c>
      <c r="G1351" s="17">
        <v>6</v>
      </c>
      <c r="H1351" s="17" t="s">
        <v>9</v>
      </c>
      <c r="I1351" s="30" t="s">
        <v>35</v>
      </c>
      <c r="J1351" s="22"/>
      <c r="K1351" s="22"/>
      <c r="L1351" s="8">
        <f t="shared" si="1737"/>
        <v>0</v>
      </c>
      <c r="M1351" s="24">
        <f t="shared" si="1679"/>
        <v>0</v>
      </c>
      <c r="N1351" s="14"/>
    </row>
    <row r="1352" spans="1:15" x14ac:dyDescent="0.25">
      <c r="A1352" s="20">
        <v>44586</v>
      </c>
      <c r="B1352" s="1">
        <f t="shared" ref="B1352" si="1745">B1346</f>
        <v>113</v>
      </c>
      <c r="C1352" s="1" t="s">
        <v>426</v>
      </c>
      <c r="D1352" s="1" t="s">
        <v>184</v>
      </c>
      <c r="E1352" s="26" t="e">
        <f t="shared" ref="E1352:F1352" si="1746">+E1351</f>
        <v>#REF!</v>
      </c>
      <c r="F1352" s="26" t="e">
        <f t="shared" si="1746"/>
        <v>#REF!</v>
      </c>
      <c r="G1352" s="17">
        <v>7</v>
      </c>
      <c r="H1352" s="17" t="s">
        <v>9</v>
      </c>
      <c r="I1352" s="30" t="s">
        <v>36</v>
      </c>
      <c r="J1352" s="22"/>
      <c r="K1352" s="22"/>
      <c r="L1352" s="8">
        <f t="shared" si="1737"/>
        <v>0</v>
      </c>
      <c r="M1352" s="24">
        <f t="shared" si="1679"/>
        <v>0</v>
      </c>
      <c r="N1352" s="14"/>
    </row>
    <row r="1353" spans="1:15" x14ac:dyDescent="0.25">
      <c r="A1353" s="20">
        <v>44586</v>
      </c>
      <c r="B1353" s="1">
        <f t="shared" ref="B1353" si="1747">B1346</f>
        <v>113</v>
      </c>
      <c r="C1353" s="1" t="s">
        <v>426</v>
      </c>
      <c r="D1353" s="1" t="s">
        <v>184</v>
      </c>
      <c r="E1353" s="26" t="e">
        <f>+E1352</f>
        <v>#REF!</v>
      </c>
      <c r="F1353" s="26" t="e">
        <f>+F1352</f>
        <v>#REF!</v>
      </c>
      <c r="G1353" s="17">
        <v>8</v>
      </c>
      <c r="H1353" s="17" t="s">
        <v>9</v>
      </c>
      <c r="I1353" s="30" t="s">
        <v>59</v>
      </c>
      <c r="J1353" s="22"/>
      <c r="K1353" s="22"/>
      <c r="L1353" s="8">
        <f t="shared" si="1737"/>
        <v>0</v>
      </c>
      <c r="M1353" s="24">
        <f t="shared" si="1679"/>
        <v>0</v>
      </c>
      <c r="N1353" s="14"/>
    </row>
    <row r="1354" spans="1:15" x14ac:dyDescent="0.25">
      <c r="A1354" s="20">
        <v>44586</v>
      </c>
      <c r="B1354" s="1">
        <f t="shared" ref="B1354" si="1748">B1346</f>
        <v>113</v>
      </c>
      <c r="C1354" s="1" t="s">
        <v>426</v>
      </c>
      <c r="D1354" s="1" t="s">
        <v>184</v>
      </c>
      <c r="E1354" s="26" t="e">
        <f t="shared" ref="E1354:F1354" si="1749">+E1353</f>
        <v>#REF!</v>
      </c>
      <c r="F1354" s="26" t="e">
        <f t="shared" si="1749"/>
        <v>#REF!</v>
      </c>
      <c r="G1354" s="17">
        <v>9</v>
      </c>
      <c r="H1354" s="17" t="s">
        <v>9</v>
      </c>
      <c r="I1354" s="30" t="s">
        <v>38</v>
      </c>
      <c r="J1354" s="22"/>
      <c r="K1354" s="22"/>
      <c r="L1354" s="8">
        <f t="shared" si="1737"/>
        <v>0</v>
      </c>
      <c r="M1354" s="24">
        <f t="shared" si="1679"/>
        <v>0</v>
      </c>
      <c r="N1354" s="14"/>
    </row>
    <row r="1355" spans="1:15" x14ac:dyDescent="0.25">
      <c r="A1355" s="20">
        <v>44586</v>
      </c>
      <c r="B1355" s="1">
        <f t="shared" ref="B1355" si="1750">B1346</f>
        <v>113</v>
      </c>
      <c r="C1355" s="1" t="s">
        <v>426</v>
      </c>
      <c r="D1355" s="1" t="s">
        <v>184</v>
      </c>
      <c r="E1355" s="26" t="e">
        <f t="shared" ref="E1355:F1355" si="1751">+E1354</f>
        <v>#REF!</v>
      </c>
      <c r="F1355" s="26" t="e">
        <f t="shared" si="1751"/>
        <v>#REF!</v>
      </c>
      <c r="G1355" s="17">
        <v>10</v>
      </c>
      <c r="H1355" s="17" t="s">
        <v>9</v>
      </c>
      <c r="I1355" s="30" t="s">
        <v>23</v>
      </c>
      <c r="J1355" s="22"/>
      <c r="K1355" s="22"/>
      <c r="L1355" s="8">
        <f t="shared" si="1737"/>
        <v>0</v>
      </c>
      <c r="M1355" s="24">
        <f t="shared" si="1679"/>
        <v>0</v>
      </c>
      <c r="N1355" s="14"/>
    </row>
    <row r="1356" spans="1:15" x14ac:dyDescent="0.25">
      <c r="A1356" s="20">
        <v>44586</v>
      </c>
      <c r="B1356" s="1">
        <f t="shared" ref="B1356" si="1752">B1346</f>
        <v>113</v>
      </c>
      <c r="C1356" s="1" t="s">
        <v>426</v>
      </c>
      <c r="D1356" s="1" t="s">
        <v>184</v>
      </c>
      <c r="E1356" s="26" t="e">
        <f t="shared" ref="E1356:F1356" si="1753">+E1355</f>
        <v>#REF!</v>
      </c>
      <c r="F1356" s="26" t="e">
        <f t="shared" si="1753"/>
        <v>#REF!</v>
      </c>
      <c r="G1356" s="17">
        <v>11</v>
      </c>
      <c r="H1356" s="17" t="s">
        <v>9</v>
      </c>
      <c r="I1356" s="30" t="s">
        <v>60</v>
      </c>
      <c r="J1356" s="22"/>
      <c r="K1356" s="22"/>
      <c r="L1356" s="8">
        <f t="shared" si="1737"/>
        <v>0</v>
      </c>
      <c r="M1356" s="24">
        <f t="shared" si="1679"/>
        <v>0</v>
      </c>
      <c r="N1356" s="14"/>
    </row>
    <row r="1357" spans="1:15" ht="15.75" thickBot="1" x14ac:dyDescent="0.3">
      <c r="A1357" s="20">
        <v>44586</v>
      </c>
      <c r="B1357" s="57">
        <f t="shared" ref="B1357" si="1754">B1346</f>
        <v>113</v>
      </c>
      <c r="C1357" s="1" t="s">
        <v>426</v>
      </c>
      <c r="D1357" s="1" t="s">
        <v>184</v>
      </c>
      <c r="E1357" s="26" t="e">
        <f t="shared" ref="E1357:F1357" si="1755">+E1356</f>
        <v>#REF!</v>
      </c>
      <c r="F1357" s="26" t="e">
        <f t="shared" si="1755"/>
        <v>#REF!</v>
      </c>
      <c r="G1357" s="18">
        <f>+G1356+1</f>
        <v>12</v>
      </c>
      <c r="H1357" s="18" t="s">
        <v>10</v>
      </c>
      <c r="I1357" s="46" t="s">
        <v>10</v>
      </c>
      <c r="J1357" s="22">
        <f>0.75+0.8</f>
        <v>1.55</v>
      </c>
      <c r="K1357" s="63">
        <f>0.55+0.55</f>
        <v>1.1000000000000001</v>
      </c>
      <c r="L1357" s="8">
        <f t="shared" si="1737"/>
        <v>0.44999999999999996</v>
      </c>
      <c r="M1357" s="24">
        <f t="shared" si="1679"/>
        <v>2.7522935779816533E-2</v>
      </c>
      <c r="N1357" s="14"/>
    </row>
    <row r="1358" spans="1:15" x14ac:dyDescent="0.25">
      <c r="A1358" s="19">
        <v>44586</v>
      </c>
      <c r="B1358" s="15">
        <f t="shared" ref="B1358" si="1756">B1346+1</f>
        <v>114</v>
      </c>
      <c r="C1358" s="15" t="s">
        <v>429</v>
      </c>
      <c r="D1358" s="15" t="s">
        <v>183</v>
      </c>
      <c r="E1358" s="25">
        <f>16.2-1.2</f>
        <v>15</v>
      </c>
      <c r="F1358" s="25">
        <f>+SUM(L1358:L1369)</f>
        <v>14.999999999999991</v>
      </c>
      <c r="G1358" s="16">
        <v>1</v>
      </c>
      <c r="H1358" s="16" t="s">
        <v>9</v>
      </c>
      <c r="I1358" s="59" t="s">
        <v>56</v>
      </c>
      <c r="J1358" s="21"/>
      <c r="K1358" s="21"/>
      <c r="L1358" s="12">
        <f>+J1358-K1358</f>
        <v>0</v>
      </c>
      <c r="M1358" s="23">
        <f t="shared" si="1679"/>
        <v>0</v>
      </c>
      <c r="N1358" s="13"/>
      <c r="O1358" s="100" t="s">
        <v>428</v>
      </c>
    </row>
    <row r="1359" spans="1:15" x14ac:dyDescent="0.25">
      <c r="A1359" s="20">
        <v>44586</v>
      </c>
      <c r="B1359" s="1">
        <f t="shared" ref="B1359" si="1757">B1358</f>
        <v>114</v>
      </c>
      <c r="C1359" s="1" t="s">
        <v>429</v>
      </c>
      <c r="D1359" s="1" t="s">
        <v>183</v>
      </c>
      <c r="E1359" s="26">
        <f>+E1358</f>
        <v>15</v>
      </c>
      <c r="F1359" s="28">
        <f>+(F1358-E1358)/E1358</f>
        <v>-5.9211894646675012E-16</v>
      </c>
      <c r="G1359" s="17">
        <v>2</v>
      </c>
      <c r="H1359" s="17" t="s">
        <v>9</v>
      </c>
      <c r="I1359" s="30" t="s">
        <v>57</v>
      </c>
      <c r="J1359" s="22">
        <v>0.6</v>
      </c>
      <c r="K1359" s="22">
        <v>0.5</v>
      </c>
      <c r="L1359" s="8">
        <f t="shared" ref="L1359:L1369" si="1758">+J1359-K1359</f>
        <v>9.9999999999999978E-2</v>
      </c>
      <c r="M1359" s="24">
        <f t="shared" si="1679"/>
        <v>6.6666666666666688E-3</v>
      </c>
      <c r="N1359" s="14"/>
    </row>
    <row r="1360" spans="1:15" x14ac:dyDescent="0.25">
      <c r="A1360" s="20">
        <v>44586</v>
      </c>
      <c r="B1360" s="1">
        <f t="shared" ref="B1360" si="1759">B1358</f>
        <v>114</v>
      </c>
      <c r="C1360" s="1" t="s">
        <v>429</v>
      </c>
      <c r="D1360" s="1" t="s">
        <v>183</v>
      </c>
      <c r="E1360" s="26" t="e">
        <f>+#REF!</f>
        <v>#REF!</v>
      </c>
      <c r="F1360" s="26" t="e">
        <f>+#REF!</f>
        <v>#REF!</v>
      </c>
      <c r="G1360" s="17">
        <v>3</v>
      </c>
      <c r="H1360" s="17" t="s">
        <v>9</v>
      </c>
      <c r="I1360" s="30" t="s">
        <v>58</v>
      </c>
      <c r="J1360" s="22"/>
      <c r="K1360" s="22"/>
      <c r="L1360" s="8">
        <f t="shared" si="1758"/>
        <v>0</v>
      </c>
      <c r="M1360" s="24">
        <f t="shared" si="1679"/>
        <v>0</v>
      </c>
      <c r="N1360" s="14"/>
    </row>
    <row r="1361" spans="1:14" x14ac:dyDescent="0.25">
      <c r="A1361" s="20">
        <v>44586</v>
      </c>
      <c r="B1361" s="1">
        <f t="shared" ref="B1361" si="1760">B1358</f>
        <v>114</v>
      </c>
      <c r="C1361" s="1" t="s">
        <v>429</v>
      </c>
      <c r="D1361" s="1" t="s">
        <v>183</v>
      </c>
      <c r="E1361" s="26" t="e">
        <f t="shared" ref="E1361:F1361" si="1761">+E1360</f>
        <v>#REF!</v>
      </c>
      <c r="F1361" s="26" t="e">
        <f t="shared" si="1761"/>
        <v>#REF!</v>
      </c>
      <c r="G1361" s="17">
        <v>4</v>
      </c>
      <c r="H1361" s="17" t="s">
        <v>9</v>
      </c>
      <c r="I1361" s="30" t="s">
        <v>22</v>
      </c>
      <c r="J1361" s="22"/>
      <c r="K1361" s="22"/>
      <c r="L1361" s="8">
        <f t="shared" si="1758"/>
        <v>0</v>
      </c>
      <c r="M1361" s="24">
        <f t="shared" si="1679"/>
        <v>0</v>
      </c>
      <c r="N1361" s="14"/>
    </row>
    <row r="1362" spans="1:14" x14ac:dyDescent="0.25">
      <c r="A1362" s="20">
        <v>44586</v>
      </c>
      <c r="B1362" s="1">
        <f t="shared" ref="B1362" si="1762">B1358</f>
        <v>114</v>
      </c>
      <c r="C1362" s="1" t="s">
        <v>429</v>
      </c>
      <c r="D1362" s="1" t="s">
        <v>183</v>
      </c>
      <c r="E1362" s="26" t="e">
        <f t="shared" ref="E1362:F1362" si="1763">+E1361</f>
        <v>#REF!</v>
      </c>
      <c r="F1362" s="26" t="e">
        <f t="shared" si="1763"/>
        <v>#REF!</v>
      </c>
      <c r="G1362" s="17">
        <v>5</v>
      </c>
      <c r="H1362" s="17" t="s">
        <v>9</v>
      </c>
      <c r="I1362" s="30" t="s">
        <v>34</v>
      </c>
      <c r="J1362" s="22"/>
      <c r="K1362" s="63"/>
      <c r="L1362" s="8">
        <f t="shared" si="1758"/>
        <v>0</v>
      </c>
      <c r="M1362" s="24">
        <f t="shared" si="1679"/>
        <v>0</v>
      </c>
      <c r="N1362" s="14"/>
    </row>
    <row r="1363" spans="1:14" x14ac:dyDescent="0.25">
      <c r="A1363" s="20">
        <v>44586</v>
      </c>
      <c r="B1363" s="1">
        <f t="shared" ref="B1363" si="1764">B1358</f>
        <v>114</v>
      </c>
      <c r="C1363" s="1" t="s">
        <v>429</v>
      </c>
      <c r="D1363" s="1" t="s">
        <v>183</v>
      </c>
      <c r="E1363" s="26" t="e">
        <f t="shared" ref="E1363:F1363" si="1765">+E1362</f>
        <v>#REF!</v>
      </c>
      <c r="F1363" s="26" t="e">
        <f t="shared" si="1765"/>
        <v>#REF!</v>
      </c>
      <c r="G1363" s="17">
        <v>6</v>
      </c>
      <c r="H1363" s="17" t="s">
        <v>9</v>
      </c>
      <c r="I1363" s="30" t="s">
        <v>35</v>
      </c>
      <c r="J1363" s="22"/>
      <c r="K1363" s="22"/>
      <c r="L1363" s="8">
        <f t="shared" si="1758"/>
        <v>0</v>
      </c>
      <c r="M1363" s="24">
        <f t="shared" si="1679"/>
        <v>0</v>
      </c>
      <c r="N1363" s="14"/>
    </row>
    <row r="1364" spans="1:14" x14ac:dyDescent="0.25">
      <c r="A1364" s="20">
        <v>44586</v>
      </c>
      <c r="B1364" s="1">
        <f t="shared" ref="B1364" si="1766">B1358</f>
        <v>114</v>
      </c>
      <c r="C1364" s="1" t="s">
        <v>429</v>
      </c>
      <c r="D1364" s="1" t="s">
        <v>183</v>
      </c>
      <c r="E1364" s="26" t="e">
        <f t="shared" ref="E1364:F1364" si="1767">+E1363</f>
        <v>#REF!</v>
      </c>
      <c r="F1364" s="26" t="e">
        <f t="shared" si="1767"/>
        <v>#REF!</v>
      </c>
      <c r="G1364" s="17">
        <v>7</v>
      </c>
      <c r="H1364" s="17" t="s">
        <v>9</v>
      </c>
      <c r="I1364" s="30" t="s">
        <v>36</v>
      </c>
      <c r="J1364" s="22"/>
      <c r="K1364" s="22"/>
      <c r="L1364" s="8">
        <f t="shared" si="1758"/>
        <v>0</v>
      </c>
      <c r="M1364" s="24">
        <f t="shared" si="1679"/>
        <v>0</v>
      </c>
      <c r="N1364" s="14"/>
    </row>
    <row r="1365" spans="1:14" x14ac:dyDescent="0.25">
      <c r="A1365" s="20">
        <v>44586</v>
      </c>
      <c r="B1365" s="1">
        <f t="shared" ref="B1365" si="1768">B1358</f>
        <v>114</v>
      </c>
      <c r="C1365" s="1" t="s">
        <v>429</v>
      </c>
      <c r="D1365" s="1" t="s">
        <v>183</v>
      </c>
      <c r="E1365" s="26" t="e">
        <f>+E1364</f>
        <v>#REF!</v>
      </c>
      <c r="F1365" s="26" t="e">
        <f>+F1364</f>
        <v>#REF!</v>
      </c>
      <c r="G1365" s="17">
        <v>8</v>
      </c>
      <c r="H1365" s="17" t="s">
        <v>9</v>
      </c>
      <c r="I1365" s="30" t="s">
        <v>59</v>
      </c>
      <c r="J1365" s="22">
        <v>0.55000000000000004</v>
      </c>
      <c r="K1365" s="22">
        <v>0.5</v>
      </c>
      <c r="L1365" s="8">
        <f t="shared" si="1758"/>
        <v>5.0000000000000044E-2</v>
      </c>
      <c r="M1365" s="24">
        <f t="shared" si="1679"/>
        <v>3.3333333333333383E-3</v>
      </c>
      <c r="N1365" s="14"/>
    </row>
    <row r="1366" spans="1:14" x14ac:dyDescent="0.25">
      <c r="A1366" s="20">
        <v>44586</v>
      </c>
      <c r="B1366" s="1">
        <f t="shared" ref="B1366" si="1769">B1358</f>
        <v>114</v>
      </c>
      <c r="C1366" s="1" t="s">
        <v>429</v>
      </c>
      <c r="D1366" s="1" t="s">
        <v>183</v>
      </c>
      <c r="E1366" s="26" t="e">
        <f t="shared" ref="E1366:F1366" si="1770">+E1365</f>
        <v>#REF!</v>
      </c>
      <c r="F1366" s="26" t="e">
        <f t="shared" si="1770"/>
        <v>#REF!</v>
      </c>
      <c r="G1366" s="17">
        <v>9</v>
      </c>
      <c r="H1366" s="17" t="s">
        <v>9</v>
      </c>
      <c r="I1366" s="30" t="s">
        <v>38</v>
      </c>
      <c r="J1366" s="22">
        <v>0.6</v>
      </c>
      <c r="K1366" s="22">
        <v>0.5</v>
      </c>
      <c r="L1366" s="8">
        <f t="shared" si="1758"/>
        <v>9.9999999999999978E-2</v>
      </c>
      <c r="M1366" s="24">
        <f t="shared" si="1679"/>
        <v>6.6666666666666688E-3</v>
      </c>
      <c r="N1366" s="14"/>
    </row>
    <row r="1367" spans="1:14" x14ac:dyDescent="0.25">
      <c r="A1367" s="20">
        <v>44586</v>
      </c>
      <c r="B1367" s="1">
        <f t="shared" ref="B1367" si="1771">B1358</f>
        <v>114</v>
      </c>
      <c r="C1367" s="1" t="s">
        <v>429</v>
      </c>
      <c r="D1367" s="1" t="s">
        <v>183</v>
      </c>
      <c r="E1367" s="26" t="e">
        <f t="shared" ref="E1367:F1367" si="1772">+E1366</f>
        <v>#REF!</v>
      </c>
      <c r="F1367" s="26" t="e">
        <f t="shared" si="1772"/>
        <v>#REF!</v>
      </c>
      <c r="G1367" s="17">
        <v>10</v>
      </c>
      <c r="H1367" s="17" t="s">
        <v>9</v>
      </c>
      <c r="I1367" s="30" t="s">
        <v>23</v>
      </c>
      <c r="J1367" s="22">
        <v>1.65</v>
      </c>
      <c r="K1367" s="22">
        <v>0.55000000000000004</v>
      </c>
      <c r="L1367" s="8">
        <f t="shared" si="1758"/>
        <v>1.0999999999999999</v>
      </c>
      <c r="M1367" s="24">
        <f t="shared" si="1679"/>
        <v>7.3333333333333361E-2</v>
      </c>
      <c r="N1367" s="14"/>
    </row>
    <row r="1368" spans="1:14" x14ac:dyDescent="0.25">
      <c r="A1368" s="20">
        <v>44586</v>
      </c>
      <c r="B1368" s="1">
        <f t="shared" ref="B1368" si="1773">B1358</f>
        <v>114</v>
      </c>
      <c r="C1368" s="1" t="s">
        <v>429</v>
      </c>
      <c r="D1368" s="1" t="s">
        <v>183</v>
      </c>
      <c r="E1368" s="26" t="e">
        <f t="shared" ref="E1368:F1368" si="1774">+E1367</f>
        <v>#REF!</v>
      </c>
      <c r="F1368" s="26" t="e">
        <f t="shared" si="1774"/>
        <v>#REF!</v>
      </c>
      <c r="G1368" s="17">
        <v>11</v>
      </c>
      <c r="H1368" s="17" t="s">
        <v>9</v>
      </c>
      <c r="I1368" s="30" t="s">
        <v>60</v>
      </c>
      <c r="J1368" s="22">
        <f>12.2+9.9+11.35+10.8</f>
        <v>44.25</v>
      </c>
      <c r="K1368" s="22">
        <f>8.55+8.3+8.5+8.3</f>
        <v>33.650000000000006</v>
      </c>
      <c r="L1368" s="8">
        <f t="shared" si="1758"/>
        <v>10.599999999999994</v>
      </c>
      <c r="M1368" s="24">
        <f t="shared" si="1679"/>
        <v>0.70666666666666667</v>
      </c>
      <c r="N1368" s="14"/>
    </row>
    <row r="1369" spans="1:14" ht="15.75" thickBot="1" x14ac:dyDescent="0.3">
      <c r="A1369" s="20">
        <v>44586</v>
      </c>
      <c r="B1369" s="57">
        <f t="shared" ref="B1369" si="1775">B1358</f>
        <v>114</v>
      </c>
      <c r="C1369" s="1" t="s">
        <v>429</v>
      </c>
      <c r="D1369" s="1" t="s">
        <v>183</v>
      </c>
      <c r="E1369" s="26" t="e">
        <f t="shared" ref="E1369:F1369" si="1776">+E1368</f>
        <v>#REF!</v>
      </c>
      <c r="F1369" s="26" t="e">
        <f t="shared" si="1776"/>
        <v>#REF!</v>
      </c>
      <c r="G1369" s="18">
        <f>+G1368+1</f>
        <v>12</v>
      </c>
      <c r="H1369" s="18" t="s">
        <v>10</v>
      </c>
      <c r="I1369" s="46" t="s">
        <v>10</v>
      </c>
      <c r="J1369" s="22">
        <f>9.7+10.45</f>
        <v>20.149999999999999</v>
      </c>
      <c r="K1369" s="63">
        <f>8.55+8.55</f>
        <v>17.100000000000001</v>
      </c>
      <c r="L1369" s="8">
        <f t="shared" si="1758"/>
        <v>3.0499999999999972</v>
      </c>
      <c r="M1369" s="24">
        <f t="shared" si="1679"/>
        <v>0.20333333333333325</v>
      </c>
      <c r="N1369" s="14" t="s">
        <v>427</v>
      </c>
    </row>
    <row r="1370" spans="1:14" x14ac:dyDescent="0.25">
      <c r="A1370" s="19">
        <v>44586</v>
      </c>
      <c r="B1370" s="15">
        <f t="shared" ref="B1370" si="1777">B1358+1</f>
        <v>115</v>
      </c>
      <c r="C1370" s="15" t="s">
        <v>430</v>
      </c>
      <c r="D1370" s="15" t="s">
        <v>183</v>
      </c>
      <c r="E1370" s="25">
        <f>14-1.2</f>
        <v>12.8</v>
      </c>
      <c r="F1370" s="25">
        <f>+SUM(L1370:L1381)</f>
        <v>12.749999999999993</v>
      </c>
      <c r="G1370" s="16">
        <v>1</v>
      </c>
      <c r="H1370" s="16" t="s">
        <v>9</v>
      </c>
      <c r="I1370" s="59" t="s">
        <v>56</v>
      </c>
      <c r="J1370" s="21">
        <v>0.6</v>
      </c>
      <c r="K1370" s="21">
        <v>0.55000000000000004</v>
      </c>
      <c r="L1370" s="12">
        <f>+J1370-K1370</f>
        <v>4.9999999999999933E-2</v>
      </c>
      <c r="M1370" s="23">
        <f t="shared" si="1679"/>
        <v>3.9215686274509777E-3</v>
      </c>
      <c r="N1370" s="13"/>
    </row>
    <row r="1371" spans="1:14" x14ac:dyDescent="0.25">
      <c r="A1371" s="20">
        <v>44586</v>
      </c>
      <c r="B1371" s="1">
        <f t="shared" ref="B1371" si="1778">B1370</f>
        <v>115</v>
      </c>
      <c r="C1371" s="1" t="s">
        <v>430</v>
      </c>
      <c r="D1371" s="1" t="s">
        <v>183</v>
      </c>
      <c r="E1371" s="26">
        <f>+E1370</f>
        <v>12.8</v>
      </c>
      <c r="F1371" s="28">
        <f>+(F1370-E1370)/E1370</f>
        <v>-3.9062500000006106E-3</v>
      </c>
      <c r="G1371" s="17">
        <v>2</v>
      </c>
      <c r="H1371" s="17" t="s">
        <v>9</v>
      </c>
      <c r="I1371" s="30" t="s">
        <v>57</v>
      </c>
      <c r="J1371" s="22">
        <v>2</v>
      </c>
      <c r="K1371" s="22">
        <f>0.55*2</f>
        <v>1.1000000000000001</v>
      </c>
      <c r="L1371" s="8">
        <f t="shared" ref="L1371:L1381" si="1779">+J1371-K1371</f>
        <v>0.89999999999999991</v>
      </c>
      <c r="M1371" s="24">
        <f t="shared" si="1679"/>
        <v>7.0588235294117674E-2</v>
      </c>
      <c r="N1371" s="14"/>
    </row>
    <row r="1372" spans="1:14" x14ac:dyDescent="0.25">
      <c r="A1372" s="20">
        <v>44586</v>
      </c>
      <c r="B1372" s="1">
        <f t="shared" ref="B1372" si="1780">B1370</f>
        <v>115</v>
      </c>
      <c r="C1372" s="1" t="s">
        <v>430</v>
      </c>
      <c r="D1372" s="1" t="s">
        <v>183</v>
      </c>
      <c r="E1372" s="26" t="e">
        <f>+#REF!</f>
        <v>#REF!</v>
      </c>
      <c r="F1372" s="26" t="e">
        <f>+#REF!</f>
        <v>#REF!</v>
      </c>
      <c r="G1372" s="17">
        <v>3</v>
      </c>
      <c r="H1372" s="17" t="s">
        <v>9</v>
      </c>
      <c r="I1372" s="30" t="s">
        <v>58</v>
      </c>
      <c r="J1372" s="22">
        <v>1.1000000000000001</v>
      </c>
      <c r="K1372" s="22">
        <v>0.5</v>
      </c>
      <c r="L1372" s="8">
        <f t="shared" si="1779"/>
        <v>0.60000000000000009</v>
      </c>
      <c r="M1372" s="24">
        <f t="shared" si="1679"/>
        <v>4.7058823529411799E-2</v>
      </c>
      <c r="N1372" s="14"/>
    </row>
    <row r="1373" spans="1:14" x14ac:dyDescent="0.25">
      <c r="A1373" s="20">
        <v>44586</v>
      </c>
      <c r="B1373" s="1">
        <f t="shared" ref="B1373" si="1781">B1370</f>
        <v>115</v>
      </c>
      <c r="C1373" s="1" t="s">
        <v>430</v>
      </c>
      <c r="D1373" s="1" t="s">
        <v>183</v>
      </c>
      <c r="E1373" s="26" t="e">
        <f t="shared" ref="E1373:F1373" si="1782">+E1372</f>
        <v>#REF!</v>
      </c>
      <c r="F1373" s="26" t="e">
        <f t="shared" si="1782"/>
        <v>#REF!</v>
      </c>
      <c r="G1373" s="17">
        <v>4</v>
      </c>
      <c r="H1373" s="17" t="s">
        <v>9</v>
      </c>
      <c r="I1373" s="30" t="s">
        <v>22</v>
      </c>
      <c r="J1373" s="22"/>
      <c r="K1373" s="22"/>
      <c r="L1373" s="8">
        <f t="shared" si="1779"/>
        <v>0</v>
      </c>
      <c r="M1373" s="24">
        <f t="shared" si="1679"/>
        <v>0</v>
      </c>
      <c r="N1373" s="14"/>
    </row>
    <row r="1374" spans="1:14" x14ac:dyDescent="0.25">
      <c r="A1374" s="20">
        <v>44586</v>
      </c>
      <c r="B1374" s="1">
        <f t="shared" ref="B1374" si="1783">B1370</f>
        <v>115</v>
      </c>
      <c r="C1374" s="1" t="s">
        <v>430</v>
      </c>
      <c r="D1374" s="1" t="s">
        <v>183</v>
      </c>
      <c r="E1374" s="26" t="e">
        <f t="shared" ref="E1374:F1374" si="1784">+E1373</f>
        <v>#REF!</v>
      </c>
      <c r="F1374" s="26" t="e">
        <f t="shared" si="1784"/>
        <v>#REF!</v>
      </c>
      <c r="G1374" s="17">
        <v>5</v>
      </c>
      <c r="H1374" s="17" t="s">
        <v>9</v>
      </c>
      <c r="I1374" s="30" t="s">
        <v>34</v>
      </c>
      <c r="J1374" s="22">
        <v>0.6</v>
      </c>
      <c r="K1374" s="63">
        <v>0.55000000000000004</v>
      </c>
      <c r="L1374" s="8">
        <f t="shared" si="1779"/>
        <v>4.9999999999999933E-2</v>
      </c>
      <c r="M1374" s="24">
        <f t="shared" si="1679"/>
        <v>3.9215686274509777E-3</v>
      </c>
      <c r="N1374" s="14"/>
    </row>
    <row r="1375" spans="1:14" x14ac:dyDescent="0.25">
      <c r="A1375" s="20">
        <v>44586</v>
      </c>
      <c r="B1375" s="1">
        <f t="shared" ref="B1375" si="1785">B1370</f>
        <v>115</v>
      </c>
      <c r="C1375" s="1" t="s">
        <v>430</v>
      </c>
      <c r="D1375" s="1" t="s">
        <v>183</v>
      </c>
      <c r="E1375" s="26" t="e">
        <f t="shared" ref="E1375:F1375" si="1786">+E1374</f>
        <v>#REF!</v>
      </c>
      <c r="F1375" s="26" t="e">
        <f t="shared" si="1786"/>
        <v>#REF!</v>
      </c>
      <c r="G1375" s="17">
        <v>6</v>
      </c>
      <c r="H1375" s="17" t="s">
        <v>9</v>
      </c>
      <c r="I1375" s="30" t="s">
        <v>35</v>
      </c>
      <c r="J1375" s="22"/>
      <c r="K1375" s="22"/>
      <c r="L1375" s="8">
        <f t="shared" si="1779"/>
        <v>0</v>
      </c>
      <c r="M1375" s="24">
        <f t="shared" si="1679"/>
        <v>0</v>
      </c>
      <c r="N1375" s="14"/>
    </row>
    <row r="1376" spans="1:14" x14ac:dyDescent="0.25">
      <c r="A1376" s="20">
        <v>44586</v>
      </c>
      <c r="B1376" s="1">
        <f t="shared" ref="B1376" si="1787">B1370</f>
        <v>115</v>
      </c>
      <c r="C1376" s="1" t="s">
        <v>430</v>
      </c>
      <c r="D1376" s="1" t="s">
        <v>183</v>
      </c>
      <c r="E1376" s="26" t="e">
        <f t="shared" ref="E1376:F1376" si="1788">+E1375</f>
        <v>#REF!</v>
      </c>
      <c r="F1376" s="26" t="e">
        <f t="shared" si="1788"/>
        <v>#REF!</v>
      </c>
      <c r="G1376" s="17">
        <v>7</v>
      </c>
      <c r="H1376" s="17" t="s">
        <v>9</v>
      </c>
      <c r="I1376" s="30" t="s">
        <v>36</v>
      </c>
      <c r="J1376" s="22"/>
      <c r="K1376" s="22"/>
      <c r="L1376" s="8">
        <f t="shared" si="1779"/>
        <v>0</v>
      </c>
      <c r="M1376" s="24">
        <f t="shared" si="1679"/>
        <v>0</v>
      </c>
      <c r="N1376" s="14"/>
    </row>
    <row r="1377" spans="1:14" x14ac:dyDescent="0.25">
      <c r="A1377" s="20">
        <v>44586</v>
      </c>
      <c r="B1377" s="1">
        <f t="shared" ref="B1377" si="1789">B1370</f>
        <v>115</v>
      </c>
      <c r="C1377" s="1" t="s">
        <v>430</v>
      </c>
      <c r="D1377" s="1" t="s">
        <v>183</v>
      </c>
      <c r="E1377" s="26" t="e">
        <f>+E1376</f>
        <v>#REF!</v>
      </c>
      <c r="F1377" s="26" t="e">
        <f>+F1376</f>
        <v>#REF!</v>
      </c>
      <c r="G1377" s="17">
        <v>8</v>
      </c>
      <c r="H1377" s="17" t="s">
        <v>9</v>
      </c>
      <c r="I1377" s="30" t="s">
        <v>59</v>
      </c>
      <c r="J1377" s="22">
        <v>0.6</v>
      </c>
      <c r="K1377" s="22">
        <v>0.55000000000000004</v>
      </c>
      <c r="L1377" s="8">
        <f t="shared" si="1779"/>
        <v>4.9999999999999933E-2</v>
      </c>
      <c r="M1377" s="24">
        <f t="shared" si="1679"/>
        <v>3.9215686274509777E-3</v>
      </c>
      <c r="N1377" s="14"/>
    </row>
    <row r="1378" spans="1:14" x14ac:dyDescent="0.25">
      <c r="A1378" s="20">
        <v>44586</v>
      </c>
      <c r="B1378" s="1">
        <f t="shared" ref="B1378" si="1790">B1370</f>
        <v>115</v>
      </c>
      <c r="C1378" s="1" t="s">
        <v>430</v>
      </c>
      <c r="D1378" s="1" t="s">
        <v>183</v>
      </c>
      <c r="E1378" s="26" t="e">
        <f t="shared" ref="E1378:F1378" si="1791">+E1377</f>
        <v>#REF!</v>
      </c>
      <c r="F1378" s="26" t="e">
        <f t="shared" si="1791"/>
        <v>#REF!</v>
      </c>
      <c r="G1378" s="17">
        <v>9</v>
      </c>
      <c r="H1378" s="17" t="s">
        <v>9</v>
      </c>
      <c r="I1378" s="30" t="s">
        <v>38</v>
      </c>
      <c r="J1378" s="22"/>
      <c r="K1378" s="22"/>
      <c r="L1378" s="8">
        <f t="shared" si="1779"/>
        <v>0</v>
      </c>
      <c r="M1378" s="24">
        <f t="shared" ref="M1378:M1405" si="1792">+L1378/SUMIF(C:C,C1378,L:L)</f>
        <v>0</v>
      </c>
      <c r="N1378" s="14"/>
    </row>
    <row r="1379" spans="1:14" x14ac:dyDescent="0.25">
      <c r="A1379" s="20">
        <v>44586</v>
      </c>
      <c r="B1379" s="1">
        <f t="shared" ref="B1379" si="1793">B1370</f>
        <v>115</v>
      </c>
      <c r="C1379" s="1" t="s">
        <v>430</v>
      </c>
      <c r="D1379" s="1" t="s">
        <v>183</v>
      </c>
      <c r="E1379" s="26" t="e">
        <f t="shared" ref="E1379:F1379" si="1794">+E1378</f>
        <v>#REF!</v>
      </c>
      <c r="F1379" s="26" t="e">
        <f t="shared" si="1794"/>
        <v>#REF!</v>
      </c>
      <c r="G1379" s="17">
        <v>10</v>
      </c>
      <c r="H1379" s="17" t="s">
        <v>9</v>
      </c>
      <c r="I1379" s="30" t="s">
        <v>23</v>
      </c>
      <c r="J1379" s="22">
        <v>0.8</v>
      </c>
      <c r="K1379" s="22">
        <v>0.55000000000000004</v>
      </c>
      <c r="L1379" s="8">
        <f t="shared" si="1779"/>
        <v>0.25</v>
      </c>
      <c r="M1379" s="24">
        <f t="shared" si="1792"/>
        <v>1.9607843137254912E-2</v>
      </c>
      <c r="N1379" s="14"/>
    </row>
    <row r="1380" spans="1:14" x14ac:dyDescent="0.25">
      <c r="A1380" s="20">
        <v>44586</v>
      </c>
      <c r="B1380" s="1">
        <f t="shared" ref="B1380" si="1795">B1370</f>
        <v>115</v>
      </c>
      <c r="C1380" s="1" t="s">
        <v>430</v>
      </c>
      <c r="D1380" s="1" t="s">
        <v>183</v>
      </c>
      <c r="E1380" s="26" t="e">
        <f t="shared" ref="E1380:F1380" si="1796">+E1379</f>
        <v>#REF!</v>
      </c>
      <c r="F1380" s="26" t="e">
        <f t="shared" si="1796"/>
        <v>#REF!</v>
      </c>
      <c r="G1380" s="17">
        <v>11</v>
      </c>
      <c r="H1380" s="17" t="s">
        <v>9</v>
      </c>
      <c r="I1380" s="30" t="s">
        <v>60</v>
      </c>
      <c r="J1380" s="22">
        <f>9.45+11.4+11.5+10.2</f>
        <v>42.55</v>
      </c>
      <c r="K1380" s="22">
        <f>8.55+8.55+8.55+8.3</f>
        <v>33.950000000000003</v>
      </c>
      <c r="L1380" s="8">
        <f t="shared" si="1779"/>
        <v>8.5999999999999943</v>
      </c>
      <c r="M1380" s="24">
        <f t="shared" si="1792"/>
        <v>0.67450980392156856</v>
      </c>
      <c r="N1380" s="14"/>
    </row>
    <row r="1381" spans="1:14" ht="15.75" thickBot="1" x14ac:dyDescent="0.3">
      <c r="A1381" s="20">
        <v>44586</v>
      </c>
      <c r="B1381" s="57">
        <f t="shared" ref="B1381" si="1797">B1370</f>
        <v>115</v>
      </c>
      <c r="C1381" s="1" t="s">
        <v>430</v>
      </c>
      <c r="D1381" s="1" t="s">
        <v>183</v>
      </c>
      <c r="E1381" s="26" t="e">
        <f t="shared" ref="E1381:F1381" si="1798">+E1380</f>
        <v>#REF!</v>
      </c>
      <c r="F1381" s="26" t="e">
        <f t="shared" si="1798"/>
        <v>#REF!</v>
      </c>
      <c r="G1381" s="18">
        <f>+G1380+1</f>
        <v>12</v>
      </c>
      <c r="H1381" s="18" t="s">
        <v>10</v>
      </c>
      <c r="I1381" s="46" t="s">
        <v>10</v>
      </c>
      <c r="J1381" s="22">
        <f>9.75+9.3</f>
        <v>19.05</v>
      </c>
      <c r="K1381" s="63">
        <f>8.5+8.3</f>
        <v>16.8</v>
      </c>
      <c r="L1381" s="8">
        <f t="shared" si="1779"/>
        <v>2.25</v>
      </c>
      <c r="M1381" s="24">
        <f t="shared" si="1792"/>
        <v>0.17647058823529421</v>
      </c>
      <c r="N1381" s="14"/>
    </row>
    <row r="1382" spans="1:14" x14ac:dyDescent="0.25">
      <c r="A1382" s="19">
        <v>44586</v>
      </c>
      <c r="B1382" s="15">
        <f t="shared" ref="B1382" si="1799">B1370+1</f>
        <v>116</v>
      </c>
      <c r="C1382" s="15" t="s">
        <v>431</v>
      </c>
      <c r="D1382" s="15" t="s">
        <v>22</v>
      </c>
      <c r="E1382" s="25">
        <f>32.2-1.2</f>
        <v>31.000000000000004</v>
      </c>
      <c r="F1382" s="25">
        <f>+SUM(L1382:L1393)</f>
        <v>31.55</v>
      </c>
      <c r="G1382" s="16">
        <v>1</v>
      </c>
      <c r="H1382" s="16" t="s">
        <v>9</v>
      </c>
      <c r="I1382" s="59" t="s">
        <v>56</v>
      </c>
      <c r="J1382" s="21"/>
      <c r="K1382" s="21"/>
      <c r="L1382" s="12">
        <f>+J1382-K1382</f>
        <v>0</v>
      </c>
      <c r="M1382" s="23">
        <f t="shared" si="1792"/>
        <v>0</v>
      </c>
      <c r="N1382" s="13"/>
    </row>
    <row r="1383" spans="1:14" x14ac:dyDescent="0.25">
      <c r="A1383" s="20">
        <v>44586</v>
      </c>
      <c r="B1383" s="1">
        <f t="shared" ref="B1383" si="1800">B1382</f>
        <v>116</v>
      </c>
      <c r="C1383" s="1" t="s">
        <v>431</v>
      </c>
      <c r="D1383" s="1" t="s">
        <v>22</v>
      </c>
      <c r="E1383" s="26">
        <f>+E1382</f>
        <v>31.000000000000004</v>
      </c>
      <c r="F1383" s="28">
        <f>+(F1382-E1382)/E1382</f>
        <v>1.7741935483870874E-2</v>
      </c>
      <c r="G1383" s="17">
        <v>2</v>
      </c>
      <c r="H1383" s="17" t="s">
        <v>9</v>
      </c>
      <c r="I1383" s="30" t="s">
        <v>57</v>
      </c>
      <c r="J1383" s="22">
        <v>0.95</v>
      </c>
      <c r="K1383" s="22">
        <v>0.55000000000000004</v>
      </c>
      <c r="L1383" s="8">
        <f t="shared" ref="L1383:L1393" si="1801">+J1383-K1383</f>
        <v>0.39999999999999991</v>
      </c>
      <c r="M1383" s="24">
        <f t="shared" si="1792"/>
        <v>1.2678288431061804E-2</v>
      </c>
      <c r="N1383" s="14"/>
    </row>
    <row r="1384" spans="1:14" x14ac:dyDescent="0.25">
      <c r="A1384" s="20">
        <v>44586</v>
      </c>
      <c r="B1384" s="1">
        <f t="shared" ref="B1384" si="1802">B1382</f>
        <v>116</v>
      </c>
      <c r="C1384" s="1" t="s">
        <v>431</v>
      </c>
      <c r="D1384" s="1" t="s">
        <v>22</v>
      </c>
      <c r="E1384" s="26" t="e">
        <f>+#REF!</f>
        <v>#REF!</v>
      </c>
      <c r="F1384" s="26" t="e">
        <f>+#REF!</f>
        <v>#REF!</v>
      </c>
      <c r="G1384" s="17">
        <v>3</v>
      </c>
      <c r="H1384" s="17" t="s">
        <v>9</v>
      </c>
      <c r="I1384" s="30" t="s">
        <v>58</v>
      </c>
      <c r="J1384" s="22">
        <f>0.7+0.7</f>
        <v>1.4</v>
      </c>
      <c r="K1384" s="22">
        <f>0.55+0.55</f>
        <v>1.1000000000000001</v>
      </c>
      <c r="L1384" s="8">
        <f t="shared" si="1801"/>
        <v>0.29999999999999982</v>
      </c>
      <c r="M1384" s="24">
        <f t="shared" si="1792"/>
        <v>9.5087163232963484E-3</v>
      </c>
      <c r="N1384" s="14"/>
    </row>
    <row r="1385" spans="1:14" x14ac:dyDescent="0.25">
      <c r="A1385" s="20">
        <v>44586</v>
      </c>
      <c r="B1385" s="1">
        <f t="shared" ref="B1385" si="1803">B1382</f>
        <v>116</v>
      </c>
      <c r="C1385" s="1" t="s">
        <v>431</v>
      </c>
      <c r="D1385" s="1" t="s">
        <v>22</v>
      </c>
      <c r="E1385" s="26" t="e">
        <f t="shared" ref="E1385:F1385" si="1804">+E1384</f>
        <v>#REF!</v>
      </c>
      <c r="F1385" s="26" t="e">
        <f t="shared" si="1804"/>
        <v>#REF!</v>
      </c>
      <c r="G1385" s="17">
        <v>4</v>
      </c>
      <c r="H1385" s="17" t="s">
        <v>9</v>
      </c>
      <c r="I1385" s="30" t="s">
        <v>22</v>
      </c>
      <c r="J1385" s="22">
        <f>17.65+16.75+14.85+13.2</f>
        <v>62.45</v>
      </c>
      <c r="K1385" s="22">
        <f>8.55+8.55+8.55+8.3</f>
        <v>33.950000000000003</v>
      </c>
      <c r="L1385" s="8">
        <f t="shared" si="1801"/>
        <v>28.5</v>
      </c>
      <c r="M1385" s="24">
        <f t="shared" si="1792"/>
        <v>0.9033280507131537</v>
      </c>
      <c r="N1385" s="14"/>
    </row>
    <row r="1386" spans="1:14" x14ac:dyDescent="0.25">
      <c r="A1386" s="20">
        <v>44586</v>
      </c>
      <c r="B1386" s="1">
        <f t="shared" ref="B1386" si="1805">B1382</f>
        <v>116</v>
      </c>
      <c r="C1386" s="1" t="s">
        <v>431</v>
      </c>
      <c r="D1386" s="1" t="s">
        <v>22</v>
      </c>
      <c r="E1386" s="26" t="e">
        <f t="shared" ref="E1386:F1386" si="1806">+E1385</f>
        <v>#REF!</v>
      </c>
      <c r="F1386" s="26" t="e">
        <f t="shared" si="1806"/>
        <v>#REF!</v>
      </c>
      <c r="G1386" s="17">
        <v>5</v>
      </c>
      <c r="H1386" s="17" t="s">
        <v>9</v>
      </c>
      <c r="I1386" s="30" t="s">
        <v>34</v>
      </c>
      <c r="J1386" s="22"/>
      <c r="K1386" s="63"/>
      <c r="L1386" s="8">
        <f t="shared" si="1801"/>
        <v>0</v>
      </c>
      <c r="M1386" s="24">
        <f t="shared" si="1792"/>
        <v>0</v>
      </c>
      <c r="N1386" s="14"/>
    </row>
    <row r="1387" spans="1:14" x14ac:dyDescent="0.25">
      <c r="A1387" s="20">
        <v>44586</v>
      </c>
      <c r="B1387" s="1">
        <f t="shared" ref="B1387" si="1807">B1382</f>
        <v>116</v>
      </c>
      <c r="C1387" s="1" t="s">
        <v>431</v>
      </c>
      <c r="D1387" s="1" t="s">
        <v>22</v>
      </c>
      <c r="E1387" s="26" t="e">
        <f t="shared" ref="E1387:F1387" si="1808">+E1386</f>
        <v>#REF!</v>
      </c>
      <c r="F1387" s="26" t="e">
        <f t="shared" si="1808"/>
        <v>#REF!</v>
      </c>
      <c r="G1387" s="17">
        <v>6</v>
      </c>
      <c r="H1387" s="17" t="s">
        <v>9</v>
      </c>
      <c r="I1387" s="30" t="s">
        <v>35</v>
      </c>
      <c r="J1387" s="22"/>
      <c r="K1387" s="22"/>
      <c r="L1387" s="8">
        <f t="shared" si="1801"/>
        <v>0</v>
      </c>
      <c r="M1387" s="24">
        <f t="shared" si="1792"/>
        <v>0</v>
      </c>
      <c r="N1387" s="14"/>
    </row>
    <row r="1388" spans="1:14" x14ac:dyDescent="0.25">
      <c r="A1388" s="20">
        <v>44586</v>
      </c>
      <c r="B1388" s="1">
        <f t="shared" ref="B1388" si="1809">B1382</f>
        <v>116</v>
      </c>
      <c r="C1388" s="1" t="s">
        <v>431</v>
      </c>
      <c r="D1388" s="1" t="s">
        <v>22</v>
      </c>
      <c r="E1388" s="26" t="e">
        <f t="shared" ref="E1388:F1388" si="1810">+E1387</f>
        <v>#REF!</v>
      </c>
      <c r="F1388" s="26" t="e">
        <f t="shared" si="1810"/>
        <v>#REF!</v>
      </c>
      <c r="G1388" s="17">
        <v>7</v>
      </c>
      <c r="H1388" s="17" t="s">
        <v>9</v>
      </c>
      <c r="I1388" s="30" t="s">
        <v>36</v>
      </c>
      <c r="J1388" s="22"/>
      <c r="K1388" s="22"/>
      <c r="L1388" s="8">
        <f t="shared" si="1801"/>
        <v>0</v>
      </c>
      <c r="M1388" s="24">
        <f t="shared" si="1792"/>
        <v>0</v>
      </c>
      <c r="N1388" s="14"/>
    </row>
    <row r="1389" spans="1:14" x14ac:dyDescent="0.25">
      <c r="A1389" s="20">
        <v>44586</v>
      </c>
      <c r="B1389" s="1">
        <f t="shared" ref="B1389" si="1811">B1382</f>
        <v>116</v>
      </c>
      <c r="C1389" s="1" t="s">
        <v>431</v>
      </c>
      <c r="D1389" s="1" t="s">
        <v>22</v>
      </c>
      <c r="E1389" s="26" t="e">
        <f>+E1388</f>
        <v>#REF!</v>
      </c>
      <c r="F1389" s="26" t="e">
        <f>+F1388</f>
        <v>#REF!</v>
      </c>
      <c r="G1389" s="17">
        <v>8</v>
      </c>
      <c r="H1389" s="17" t="s">
        <v>9</v>
      </c>
      <c r="I1389" s="30" t="s">
        <v>59</v>
      </c>
      <c r="J1389" s="22">
        <v>0.6</v>
      </c>
      <c r="K1389" s="22">
        <v>0.55000000000000004</v>
      </c>
      <c r="L1389" s="8">
        <f t="shared" si="1801"/>
        <v>4.9999999999999933E-2</v>
      </c>
      <c r="M1389" s="24">
        <f t="shared" si="1792"/>
        <v>1.5847860538827237E-3</v>
      </c>
      <c r="N1389" s="14"/>
    </row>
    <row r="1390" spans="1:14" x14ac:dyDescent="0.25">
      <c r="A1390" s="20">
        <v>44586</v>
      </c>
      <c r="B1390" s="1">
        <f t="shared" ref="B1390" si="1812">B1382</f>
        <v>116</v>
      </c>
      <c r="C1390" s="1" t="s">
        <v>431</v>
      </c>
      <c r="D1390" s="1" t="s">
        <v>22</v>
      </c>
      <c r="E1390" s="26" t="e">
        <f t="shared" ref="E1390:F1390" si="1813">+E1389</f>
        <v>#REF!</v>
      </c>
      <c r="F1390" s="26" t="e">
        <f t="shared" si="1813"/>
        <v>#REF!</v>
      </c>
      <c r="G1390" s="17">
        <v>9</v>
      </c>
      <c r="H1390" s="17" t="s">
        <v>9</v>
      </c>
      <c r="I1390" s="30" t="s">
        <v>38</v>
      </c>
      <c r="J1390" s="22"/>
      <c r="K1390" s="22"/>
      <c r="L1390" s="8">
        <f t="shared" si="1801"/>
        <v>0</v>
      </c>
      <c r="M1390" s="24">
        <f t="shared" si="1792"/>
        <v>0</v>
      </c>
      <c r="N1390" s="14"/>
    </row>
    <row r="1391" spans="1:14" x14ac:dyDescent="0.25">
      <c r="A1391" s="20">
        <v>44586</v>
      </c>
      <c r="B1391" s="1">
        <f t="shared" ref="B1391" si="1814">B1382</f>
        <v>116</v>
      </c>
      <c r="C1391" s="1" t="s">
        <v>431</v>
      </c>
      <c r="D1391" s="1" t="s">
        <v>22</v>
      </c>
      <c r="E1391" s="26" t="e">
        <f t="shared" ref="E1391:F1391" si="1815">+E1390</f>
        <v>#REF!</v>
      </c>
      <c r="F1391" s="26" t="e">
        <f t="shared" si="1815"/>
        <v>#REF!</v>
      </c>
      <c r="G1391" s="17">
        <v>10</v>
      </c>
      <c r="H1391" s="17" t="s">
        <v>9</v>
      </c>
      <c r="I1391" s="30" t="s">
        <v>23</v>
      </c>
      <c r="J1391" s="22">
        <f>1.15</f>
        <v>1.1499999999999999</v>
      </c>
      <c r="K1391" s="22">
        <f>0.55</f>
        <v>0.55000000000000004</v>
      </c>
      <c r="L1391" s="8">
        <f t="shared" si="1801"/>
        <v>0.59999999999999987</v>
      </c>
      <c r="M1391" s="24">
        <f t="shared" si="1792"/>
        <v>1.9017432646592704E-2</v>
      </c>
      <c r="N1391" s="14"/>
    </row>
    <row r="1392" spans="1:14" x14ac:dyDescent="0.25">
      <c r="A1392" s="20">
        <v>44586</v>
      </c>
      <c r="B1392" s="1">
        <f t="shared" ref="B1392" si="1816">B1382</f>
        <v>116</v>
      </c>
      <c r="C1392" s="1" t="s">
        <v>431</v>
      </c>
      <c r="D1392" s="1" t="s">
        <v>22</v>
      </c>
      <c r="E1392" s="26" t="e">
        <f t="shared" ref="E1392:F1392" si="1817">+E1391</f>
        <v>#REF!</v>
      </c>
      <c r="F1392" s="26" t="e">
        <f t="shared" si="1817"/>
        <v>#REF!</v>
      </c>
      <c r="G1392" s="17">
        <v>11</v>
      </c>
      <c r="H1392" s="17" t="s">
        <v>9</v>
      </c>
      <c r="I1392" s="30" t="s">
        <v>60</v>
      </c>
      <c r="J1392" s="22">
        <f>0.55</f>
        <v>0.55000000000000004</v>
      </c>
      <c r="K1392" s="22">
        <f>0.5</f>
        <v>0.5</v>
      </c>
      <c r="L1392" s="8">
        <f t="shared" si="1801"/>
        <v>5.0000000000000044E-2</v>
      </c>
      <c r="M1392" s="24">
        <f t="shared" si="1792"/>
        <v>1.5847860538827272E-3</v>
      </c>
      <c r="N1392" s="14"/>
    </row>
    <row r="1393" spans="1:14" ht="15.75" thickBot="1" x14ac:dyDescent="0.3">
      <c r="A1393" s="20">
        <v>44586</v>
      </c>
      <c r="B1393" s="57">
        <f t="shared" ref="B1393" si="1818">B1382</f>
        <v>116</v>
      </c>
      <c r="C1393" s="1" t="s">
        <v>431</v>
      </c>
      <c r="D1393" s="1" t="s">
        <v>22</v>
      </c>
      <c r="E1393" s="26" t="e">
        <f t="shared" ref="E1393:F1393" si="1819">+E1392</f>
        <v>#REF!</v>
      </c>
      <c r="F1393" s="26" t="e">
        <f t="shared" si="1819"/>
        <v>#REF!</v>
      </c>
      <c r="G1393" s="18">
        <f>+G1392+1</f>
        <v>12</v>
      </c>
      <c r="H1393" s="18" t="s">
        <v>10</v>
      </c>
      <c r="I1393" s="46" t="s">
        <v>10</v>
      </c>
      <c r="J1393" s="22">
        <v>9.9499999999999993</v>
      </c>
      <c r="K1393" s="63">
        <v>8.3000000000000007</v>
      </c>
      <c r="L1393" s="8">
        <f t="shared" si="1801"/>
        <v>1.6499999999999986</v>
      </c>
      <c r="M1393" s="24">
        <f t="shared" si="1792"/>
        <v>5.2297939778129909E-2</v>
      </c>
      <c r="N1393" s="14"/>
    </row>
    <row r="1394" spans="1:14" x14ac:dyDescent="0.25">
      <c r="A1394" s="19">
        <v>44586</v>
      </c>
      <c r="B1394" s="15">
        <f t="shared" ref="B1394" si="1820">B1382+1</f>
        <v>117</v>
      </c>
      <c r="C1394" s="15" t="s">
        <v>432</v>
      </c>
      <c r="D1394" s="15" t="s">
        <v>185</v>
      </c>
      <c r="E1394" s="25">
        <f>35.2-1.2</f>
        <v>34</v>
      </c>
      <c r="F1394" s="25">
        <f>+SUM(L1394:L1405)</f>
        <v>33.949999999999996</v>
      </c>
      <c r="G1394" s="16">
        <v>1</v>
      </c>
      <c r="H1394" s="16" t="s">
        <v>9</v>
      </c>
      <c r="I1394" s="59" t="s">
        <v>56</v>
      </c>
      <c r="J1394" s="21">
        <v>1</v>
      </c>
      <c r="K1394" s="21">
        <v>0.55000000000000004</v>
      </c>
      <c r="L1394" s="12">
        <f>+J1394-K1394</f>
        <v>0.44999999999999996</v>
      </c>
      <c r="M1394" s="23">
        <f t="shared" si="1792"/>
        <v>1.3254786450662739E-2</v>
      </c>
      <c r="N1394" s="13"/>
    </row>
    <row r="1395" spans="1:14" x14ac:dyDescent="0.25">
      <c r="A1395" s="20">
        <v>44586</v>
      </c>
      <c r="B1395" s="1">
        <f t="shared" ref="B1395" si="1821">B1394</f>
        <v>117</v>
      </c>
      <c r="C1395" s="1" t="s">
        <v>432</v>
      </c>
      <c r="D1395" s="1" t="s">
        <v>185</v>
      </c>
      <c r="E1395" s="26">
        <f>+E1394</f>
        <v>34</v>
      </c>
      <c r="F1395" s="28">
        <f>+(F1394-E1394)/E1394</f>
        <v>-1.470588235294243E-3</v>
      </c>
      <c r="G1395" s="17">
        <v>2</v>
      </c>
      <c r="H1395" s="17" t="s">
        <v>9</v>
      </c>
      <c r="I1395" s="30" t="s">
        <v>57</v>
      </c>
      <c r="J1395" s="22">
        <v>0.65</v>
      </c>
      <c r="K1395" s="22">
        <v>0.55000000000000004</v>
      </c>
      <c r="L1395" s="8">
        <f t="shared" ref="L1395:L1405" si="1822">+J1395-K1395</f>
        <v>9.9999999999999978E-2</v>
      </c>
      <c r="M1395" s="24">
        <f t="shared" si="1792"/>
        <v>2.9455081001472749E-3</v>
      </c>
      <c r="N1395" s="14"/>
    </row>
    <row r="1396" spans="1:14" x14ac:dyDescent="0.25">
      <c r="A1396" s="20">
        <v>44586</v>
      </c>
      <c r="B1396" s="1">
        <f t="shared" ref="B1396" si="1823">B1394</f>
        <v>117</v>
      </c>
      <c r="C1396" s="1" t="s">
        <v>432</v>
      </c>
      <c r="D1396" s="1" t="s">
        <v>185</v>
      </c>
      <c r="E1396" s="26" t="e">
        <f>+#REF!</f>
        <v>#REF!</v>
      </c>
      <c r="F1396" s="26" t="e">
        <f>+#REF!</f>
        <v>#REF!</v>
      </c>
      <c r="G1396" s="17">
        <v>3</v>
      </c>
      <c r="H1396" s="17" t="s">
        <v>9</v>
      </c>
      <c r="I1396" s="30" t="s">
        <v>58</v>
      </c>
      <c r="J1396" s="22">
        <v>1.25</v>
      </c>
      <c r="K1396" s="22">
        <v>0.55000000000000004</v>
      </c>
      <c r="L1396" s="8">
        <f t="shared" si="1822"/>
        <v>0.7</v>
      </c>
      <c r="M1396" s="24">
        <f t="shared" si="1792"/>
        <v>2.0618556701030927E-2</v>
      </c>
      <c r="N1396" s="14"/>
    </row>
    <row r="1397" spans="1:14" x14ac:dyDescent="0.25">
      <c r="A1397" s="20">
        <v>44586</v>
      </c>
      <c r="B1397" s="1">
        <f t="shared" ref="B1397" si="1824">B1394</f>
        <v>117</v>
      </c>
      <c r="C1397" s="1" t="s">
        <v>432</v>
      </c>
      <c r="D1397" s="1" t="s">
        <v>185</v>
      </c>
      <c r="E1397" s="26" t="e">
        <f t="shared" ref="E1397:F1397" si="1825">+E1396</f>
        <v>#REF!</v>
      </c>
      <c r="F1397" s="26" t="e">
        <f t="shared" si="1825"/>
        <v>#REF!</v>
      </c>
      <c r="G1397" s="17">
        <v>4</v>
      </c>
      <c r="H1397" s="17" t="s">
        <v>9</v>
      </c>
      <c r="I1397" s="30" t="s">
        <v>22</v>
      </c>
      <c r="J1397" s="22">
        <v>2.2000000000000002</v>
      </c>
      <c r="K1397" s="22">
        <v>0.5</v>
      </c>
      <c r="L1397" s="8">
        <f t="shared" si="1822"/>
        <v>1.7000000000000002</v>
      </c>
      <c r="M1397" s="24">
        <f t="shared" si="1792"/>
        <v>5.0073637702503691E-2</v>
      </c>
      <c r="N1397" s="14"/>
    </row>
    <row r="1398" spans="1:14" x14ac:dyDescent="0.25">
      <c r="A1398" s="20">
        <v>44586</v>
      </c>
      <c r="B1398" s="1">
        <f t="shared" ref="B1398" si="1826">B1394</f>
        <v>117</v>
      </c>
      <c r="C1398" s="1" t="s">
        <v>432</v>
      </c>
      <c r="D1398" s="1" t="s">
        <v>185</v>
      </c>
      <c r="E1398" s="26" t="e">
        <f t="shared" ref="E1398:F1398" si="1827">+E1397</f>
        <v>#REF!</v>
      </c>
      <c r="F1398" s="26" t="e">
        <f t="shared" si="1827"/>
        <v>#REF!</v>
      </c>
      <c r="G1398" s="17">
        <v>5</v>
      </c>
      <c r="H1398" s="17" t="s">
        <v>9</v>
      </c>
      <c r="I1398" s="30" t="s">
        <v>34</v>
      </c>
      <c r="J1398" s="22">
        <f>15.75+14.65+13.25+10.35+14.55</f>
        <v>68.55</v>
      </c>
      <c r="K1398" s="63">
        <f>8.55+8.3+8.55+8.3+8.5</f>
        <v>42.2</v>
      </c>
      <c r="L1398" s="8">
        <f t="shared" si="1822"/>
        <v>26.349999999999994</v>
      </c>
      <c r="M1398" s="24">
        <f t="shared" si="1792"/>
        <v>0.77614138438880698</v>
      </c>
      <c r="N1398" s="14"/>
    </row>
    <row r="1399" spans="1:14" x14ac:dyDescent="0.25">
      <c r="A1399" s="20">
        <v>44586</v>
      </c>
      <c r="B1399" s="1">
        <f t="shared" ref="B1399" si="1828">B1394</f>
        <v>117</v>
      </c>
      <c r="C1399" s="1" t="s">
        <v>432</v>
      </c>
      <c r="D1399" s="1" t="s">
        <v>185</v>
      </c>
      <c r="E1399" s="26" t="e">
        <f t="shared" ref="E1399:F1399" si="1829">+E1398</f>
        <v>#REF!</v>
      </c>
      <c r="F1399" s="26" t="e">
        <f t="shared" si="1829"/>
        <v>#REF!</v>
      </c>
      <c r="G1399" s="17">
        <v>6</v>
      </c>
      <c r="H1399" s="17" t="s">
        <v>9</v>
      </c>
      <c r="I1399" s="30" t="s">
        <v>35</v>
      </c>
      <c r="J1399" s="22">
        <v>0.6</v>
      </c>
      <c r="K1399" s="22">
        <v>0.5</v>
      </c>
      <c r="L1399" s="8">
        <f t="shared" si="1822"/>
        <v>9.9999999999999978E-2</v>
      </c>
      <c r="M1399" s="24">
        <f t="shared" si="1792"/>
        <v>2.9455081001472749E-3</v>
      </c>
      <c r="N1399" s="14"/>
    </row>
    <row r="1400" spans="1:14" x14ac:dyDescent="0.25">
      <c r="A1400" s="20">
        <v>44586</v>
      </c>
      <c r="B1400" s="1">
        <f t="shared" ref="B1400" si="1830">B1394</f>
        <v>117</v>
      </c>
      <c r="C1400" s="1" t="s">
        <v>432</v>
      </c>
      <c r="D1400" s="1" t="s">
        <v>185</v>
      </c>
      <c r="E1400" s="26" t="e">
        <f t="shared" ref="E1400:F1400" si="1831">+E1399</f>
        <v>#REF!</v>
      </c>
      <c r="F1400" s="26" t="e">
        <f t="shared" si="1831"/>
        <v>#REF!</v>
      </c>
      <c r="G1400" s="17">
        <v>7</v>
      </c>
      <c r="H1400" s="17" t="s">
        <v>9</v>
      </c>
      <c r="I1400" s="30" t="s">
        <v>36</v>
      </c>
      <c r="J1400" s="22"/>
      <c r="K1400" s="22"/>
      <c r="L1400" s="8">
        <f t="shared" si="1822"/>
        <v>0</v>
      </c>
      <c r="M1400" s="24">
        <f t="shared" si="1792"/>
        <v>0</v>
      </c>
      <c r="N1400" s="14"/>
    </row>
    <row r="1401" spans="1:14" x14ac:dyDescent="0.25">
      <c r="A1401" s="20">
        <v>44586</v>
      </c>
      <c r="B1401" s="1">
        <f t="shared" ref="B1401" si="1832">B1394</f>
        <v>117</v>
      </c>
      <c r="C1401" s="1" t="s">
        <v>432</v>
      </c>
      <c r="D1401" s="1" t="s">
        <v>185</v>
      </c>
      <c r="E1401" s="26" t="e">
        <f>+E1400</f>
        <v>#REF!</v>
      </c>
      <c r="F1401" s="26" t="e">
        <f>+F1400</f>
        <v>#REF!</v>
      </c>
      <c r="G1401" s="17">
        <v>8</v>
      </c>
      <c r="H1401" s="17" t="s">
        <v>9</v>
      </c>
      <c r="I1401" s="30" t="s">
        <v>59</v>
      </c>
      <c r="J1401" s="22">
        <v>0.7</v>
      </c>
      <c r="K1401" s="22">
        <v>0.5</v>
      </c>
      <c r="L1401" s="8">
        <f t="shared" si="1822"/>
        <v>0.19999999999999996</v>
      </c>
      <c r="M1401" s="24">
        <f t="shared" si="1792"/>
        <v>5.8910162002945498E-3</v>
      </c>
      <c r="N1401" s="14"/>
    </row>
    <row r="1402" spans="1:14" x14ac:dyDescent="0.25">
      <c r="A1402" s="20">
        <v>44586</v>
      </c>
      <c r="B1402" s="1">
        <f t="shared" ref="B1402" si="1833">B1394</f>
        <v>117</v>
      </c>
      <c r="C1402" s="1" t="s">
        <v>432</v>
      </c>
      <c r="D1402" s="1" t="s">
        <v>185</v>
      </c>
      <c r="E1402" s="26" t="e">
        <f t="shared" ref="E1402:F1402" si="1834">+E1401</f>
        <v>#REF!</v>
      </c>
      <c r="F1402" s="26" t="e">
        <f t="shared" si="1834"/>
        <v>#REF!</v>
      </c>
      <c r="G1402" s="17">
        <v>9</v>
      </c>
      <c r="H1402" s="17" t="s">
        <v>9</v>
      </c>
      <c r="I1402" s="30" t="s">
        <v>38</v>
      </c>
      <c r="J1402" s="22"/>
      <c r="K1402" s="22"/>
      <c r="L1402" s="8">
        <f t="shared" si="1822"/>
        <v>0</v>
      </c>
      <c r="M1402" s="24">
        <f t="shared" si="1792"/>
        <v>0</v>
      </c>
      <c r="N1402" s="14"/>
    </row>
    <row r="1403" spans="1:14" x14ac:dyDescent="0.25">
      <c r="A1403" s="20">
        <v>44586</v>
      </c>
      <c r="B1403" s="1">
        <f t="shared" ref="B1403" si="1835">B1394</f>
        <v>117</v>
      </c>
      <c r="C1403" s="1" t="s">
        <v>432</v>
      </c>
      <c r="D1403" s="1" t="s">
        <v>185</v>
      </c>
      <c r="E1403" s="26" t="e">
        <f t="shared" ref="E1403:F1403" si="1836">+E1402</f>
        <v>#REF!</v>
      </c>
      <c r="F1403" s="26" t="e">
        <f t="shared" si="1836"/>
        <v>#REF!</v>
      </c>
      <c r="G1403" s="17">
        <v>10</v>
      </c>
      <c r="H1403" s="17" t="s">
        <v>9</v>
      </c>
      <c r="I1403" s="30" t="s">
        <v>23</v>
      </c>
      <c r="J1403" s="22">
        <v>1.65</v>
      </c>
      <c r="K1403" s="22">
        <v>0.55000000000000004</v>
      </c>
      <c r="L1403" s="8">
        <f t="shared" si="1822"/>
        <v>1.0999999999999999</v>
      </c>
      <c r="M1403" s="24">
        <f t="shared" si="1792"/>
        <v>3.2400589101620032E-2</v>
      </c>
      <c r="N1403" s="14"/>
    </row>
    <row r="1404" spans="1:14" x14ac:dyDescent="0.25">
      <c r="A1404" s="20">
        <v>44586</v>
      </c>
      <c r="B1404" s="1">
        <f t="shared" ref="B1404" si="1837">B1394</f>
        <v>117</v>
      </c>
      <c r="C1404" s="1" t="s">
        <v>432</v>
      </c>
      <c r="D1404" s="1" t="s">
        <v>185</v>
      </c>
      <c r="E1404" s="26" t="e">
        <f t="shared" ref="E1404:F1404" si="1838">+E1403</f>
        <v>#REF!</v>
      </c>
      <c r="F1404" s="26" t="e">
        <f t="shared" si="1838"/>
        <v>#REF!</v>
      </c>
      <c r="G1404" s="17">
        <v>11</v>
      </c>
      <c r="H1404" s="17" t="s">
        <v>9</v>
      </c>
      <c r="I1404" s="30" t="s">
        <v>60</v>
      </c>
      <c r="J1404" s="22">
        <v>0.6</v>
      </c>
      <c r="K1404" s="22">
        <v>0.55000000000000004</v>
      </c>
      <c r="L1404" s="8">
        <f t="shared" si="1822"/>
        <v>4.9999999999999933E-2</v>
      </c>
      <c r="M1404" s="24">
        <f t="shared" si="1792"/>
        <v>1.4727540500736359E-3</v>
      </c>
      <c r="N1404" s="14"/>
    </row>
    <row r="1405" spans="1:14" ht="15.75" thickBot="1" x14ac:dyDescent="0.3">
      <c r="A1405" s="20">
        <v>44586</v>
      </c>
      <c r="B1405" s="57">
        <f t="shared" ref="B1405" si="1839">B1394</f>
        <v>117</v>
      </c>
      <c r="C1405" s="1" t="s">
        <v>432</v>
      </c>
      <c r="D1405" s="1" t="s">
        <v>185</v>
      </c>
      <c r="E1405" s="26" t="e">
        <f t="shared" ref="E1405:F1405" si="1840">+E1404</f>
        <v>#REF!</v>
      </c>
      <c r="F1405" s="26" t="e">
        <f t="shared" si="1840"/>
        <v>#REF!</v>
      </c>
      <c r="G1405" s="18">
        <f>+G1404+1</f>
        <v>12</v>
      </c>
      <c r="H1405" s="18" t="s">
        <v>10</v>
      </c>
      <c r="I1405" s="46" t="s">
        <v>10</v>
      </c>
      <c r="J1405" s="22">
        <f>9.9+2.15</f>
        <v>12.05</v>
      </c>
      <c r="K1405" s="63">
        <f>8.3+0.55</f>
        <v>8.8500000000000014</v>
      </c>
      <c r="L1405" s="8">
        <f t="shared" si="1822"/>
        <v>3.1999999999999993</v>
      </c>
      <c r="M1405" s="24">
        <f t="shared" si="1792"/>
        <v>9.4256259204712797E-2</v>
      </c>
      <c r="N1405" s="14"/>
    </row>
    <row r="1406" spans="1:14" x14ac:dyDescent="0.25">
      <c r="A1406" s="19">
        <v>44586</v>
      </c>
      <c r="B1406" s="15">
        <f t="shared" ref="B1406" si="1841">B1394+1</f>
        <v>118</v>
      </c>
      <c r="C1406" s="15" t="s">
        <v>433</v>
      </c>
      <c r="D1406" s="15" t="s">
        <v>58</v>
      </c>
      <c r="E1406" s="25">
        <f>34-1.2</f>
        <v>32.799999999999997</v>
      </c>
      <c r="F1406" s="25">
        <f>+SUM(L1406:L1417)</f>
        <v>33.15</v>
      </c>
      <c r="G1406" s="16">
        <v>1</v>
      </c>
      <c r="H1406" s="16" t="s">
        <v>9</v>
      </c>
      <c r="I1406" s="59" t="s">
        <v>56</v>
      </c>
      <c r="J1406" s="21">
        <v>0.7</v>
      </c>
      <c r="K1406" s="21">
        <v>0.5</v>
      </c>
      <c r="L1406" s="12">
        <f>+J1406-K1406</f>
        <v>0.19999999999999996</v>
      </c>
      <c r="M1406" s="23">
        <f t="shared" ref="M1406:M1469" si="1842">+L1406/SUMIF(C:C,C1406,L:L)</f>
        <v>6.0331825037707376E-3</v>
      </c>
      <c r="N1406" s="13"/>
    </row>
    <row r="1407" spans="1:14" x14ac:dyDescent="0.25">
      <c r="A1407" s="20">
        <v>44586</v>
      </c>
      <c r="B1407" s="1">
        <f t="shared" ref="B1407" si="1843">B1406</f>
        <v>118</v>
      </c>
      <c r="C1407" s="1" t="s">
        <v>433</v>
      </c>
      <c r="D1407" s="1" t="s">
        <v>58</v>
      </c>
      <c r="E1407" s="26">
        <f>+E1406</f>
        <v>32.799999999999997</v>
      </c>
      <c r="F1407" s="28">
        <f>+(F1406-E1406)/E1406</f>
        <v>1.0670731707317117E-2</v>
      </c>
      <c r="G1407" s="17">
        <v>2</v>
      </c>
      <c r="H1407" s="17" t="s">
        <v>9</v>
      </c>
      <c r="I1407" s="30" t="s">
        <v>57</v>
      </c>
      <c r="J1407" s="22">
        <v>1.35</v>
      </c>
      <c r="K1407" s="22">
        <v>0.55000000000000004</v>
      </c>
      <c r="L1407" s="8">
        <f t="shared" ref="L1407:L1417" si="1844">+J1407-K1407</f>
        <v>0.8</v>
      </c>
      <c r="M1407" s="24">
        <f t="shared" si="1842"/>
        <v>2.4132730015082957E-2</v>
      </c>
      <c r="N1407" s="14"/>
    </row>
    <row r="1408" spans="1:14" x14ac:dyDescent="0.25">
      <c r="A1408" s="20">
        <v>44586</v>
      </c>
      <c r="B1408" s="1">
        <f t="shared" ref="B1408" si="1845">B1406</f>
        <v>118</v>
      </c>
      <c r="C1408" s="1" t="s">
        <v>433</v>
      </c>
      <c r="D1408" s="1" t="s">
        <v>58</v>
      </c>
      <c r="E1408" s="26" t="e">
        <f>+#REF!</f>
        <v>#REF!</v>
      </c>
      <c r="F1408" s="26" t="e">
        <f>+#REF!</f>
        <v>#REF!</v>
      </c>
      <c r="G1408" s="17">
        <v>3</v>
      </c>
      <c r="H1408" s="17" t="s">
        <v>9</v>
      </c>
      <c r="I1408" s="30" t="s">
        <v>58</v>
      </c>
      <c r="J1408" s="22">
        <f>12.65+12.75+13.2+12.9+13+12.45+12.35</f>
        <v>89.3</v>
      </c>
      <c r="K1408" s="22">
        <f>8.3+8.55+8.55+8.3+8.5+8.3+8.3</f>
        <v>58.8</v>
      </c>
      <c r="L1408" s="8">
        <f t="shared" si="1844"/>
        <v>30.5</v>
      </c>
      <c r="M1408" s="24">
        <f t="shared" si="1842"/>
        <v>0.92006033182503777</v>
      </c>
      <c r="N1408" s="14"/>
    </row>
    <row r="1409" spans="1:14" x14ac:dyDescent="0.25">
      <c r="A1409" s="20">
        <v>44586</v>
      </c>
      <c r="B1409" s="1">
        <f t="shared" ref="B1409" si="1846">B1406</f>
        <v>118</v>
      </c>
      <c r="C1409" s="1" t="s">
        <v>433</v>
      </c>
      <c r="D1409" s="1" t="s">
        <v>58</v>
      </c>
      <c r="E1409" s="26" t="e">
        <f t="shared" ref="E1409:F1409" si="1847">+E1408</f>
        <v>#REF!</v>
      </c>
      <c r="F1409" s="26" t="e">
        <f t="shared" si="1847"/>
        <v>#REF!</v>
      </c>
      <c r="G1409" s="17">
        <v>4</v>
      </c>
      <c r="H1409" s="17" t="s">
        <v>9</v>
      </c>
      <c r="I1409" s="30" t="s">
        <v>22</v>
      </c>
      <c r="J1409" s="22">
        <v>0.1</v>
      </c>
      <c r="K1409" s="22">
        <v>0</v>
      </c>
      <c r="L1409" s="8">
        <f t="shared" si="1844"/>
        <v>0.1</v>
      </c>
      <c r="M1409" s="24">
        <f t="shared" si="1842"/>
        <v>3.0165912518853697E-3</v>
      </c>
      <c r="N1409" s="14"/>
    </row>
    <row r="1410" spans="1:14" x14ac:dyDescent="0.25">
      <c r="A1410" s="20">
        <v>44586</v>
      </c>
      <c r="B1410" s="1">
        <f t="shared" ref="B1410" si="1848">B1406</f>
        <v>118</v>
      </c>
      <c r="C1410" s="1" t="s">
        <v>433</v>
      </c>
      <c r="D1410" s="1" t="s">
        <v>58</v>
      </c>
      <c r="E1410" s="26" t="e">
        <f t="shared" ref="E1410:F1410" si="1849">+E1409</f>
        <v>#REF!</v>
      </c>
      <c r="F1410" s="26" t="e">
        <f t="shared" si="1849"/>
        <v>#REF!</v>
      </c>
      <c r="G1410" s="17">
        <v>5</v>
      </c>
      <c r="H1410" s="17" t="s">
        <v>9</v>
      </c>
      <c r="I1410" s="30" t="s">
        <v>34</v>
      </c>
      <c r="J1410" s="22">
        <v>0.6</v>
      </c>
      <c r="K1410" s="63">
        <v>0.55000000000000004</v>
      </c>
      <c r="L1410" s="8">
        <f t="shared" si="1844"/>
        <v>4.9999999999999933E-2</v>
      </c>
      <c r="M1410" s="24">
        <f t="shared" si="1842"/>
        <v>1.5082956259426829E-3</v>
      </c>
      <c r="N1410" s="14"/>
    </row>
    <row r="1411" spans="1:14" x14ac:dyDescent="0.25">
      <c r="A1411" s="20">
        <v>44586</v>
      </c>
      <c r="B1411" s="1">
        <f t="shared" ref="B1411" si="1850">B1406</f>
        <v>118</v>
      </c>
      <c r="C1411" s="1" t="s">
        <v>433</v>
      </c>
      <c r="D1411" s="1" t="s">
        <v>58</v>
      </c>
      <c r="E1411" s="26" t="e">
        <f t="shared" ref="E1411:F1411" si="1851">+E1410</f>
        <v>#REF!</v>
      </c>
      <c r="F1411" s="26" t="e">
        <f t="shared" si="1851"/>
        <v>#REF!</v>
      </c>
      <c r="G1411" s="17">
        <v>6</v>
      </c>
      <c r="H1411" s="17" t="s">
        <v>9</v>
      </c>
      <c r="I1411" s="30" t="s">
        <v>35</v>
      </c>
      <c r="J1411" s="22"/>
      <c r="K1411" s="22"/>
      <c r="L1411" s="8">
        <f t="shared" si="1844"/>
        <v>0</v>
      </c>
      <c r="M1411" s="24">
        <f t="shared" si="1842"/>
        <v>0</v>
      </c>
      <c r="N1411" s="14"/>
    </row>
    <row r="1412" spans="1:14" x14ac:dyDescent="0.25">
      <c r="A1412" s="20">
        <v>44586</v>
      </c>
      <c r="B1412" s="1">
        <f t="shared" ref="B1412" si="1852">B1406</f>
        <v>118</v>
      </c>
      <c r="C1412" s="1" t="s">
        <v>433</v>
      </c>
      <c r="D1412" s="1" t="s">
        <v>58</v>
      </c>
      <c r="E1412" s="26" t="e">
        <f t="shared" ref="E1412:F1412" si="1853">+E1411</f>
        <v>#REF!</v>
      </c>
      <c r="F1412" s="26" t="e">
        <f t="shared" si="1853"/>
        <v>#REF!</v>
      </c>
      <c r="G1412" s="17">
        <v>7</v>
      </c>
      <c r="H1412" s="17" t="s">
        <v>9</v>
      </c>
      <c r="I1412" s="30" t="s">
        <v>36</v>
      </c>
      <c r="J1412" s="22"/>
      <c r="K1412" s="22"/>
      <c r="L1412" s="8">
        <f t="shared" si="1844"/>
        <v>0</v>
      </c>
      <c r="M1412" s="24">
        <f t="shared" si="1842"/>
        <v>0</v>
      </c>
      <c r="N1412" s="14"/>
    </row>
    <row r="1413" spans="1:14" x14ac:dyDescent="0.25">
      <c r="A1413" s="20">
        <v>44586</v>
      </c>
      <c r="B1413" s="1">
        <f t="shared" ref="B1413" si="1854">B1406</f>
        <v>118</v>
      </c>
      <c r="C1413" s="1" t="s">
        <v>433</v>
      </c>
      <c r="D1413" s="1" t="s">
        <v>58</v>
      </c>
      <c r="E1413" s="26" t="e">
        <f>+E1412</f>
        <v>#REF!</v>
      </c>
      <c r="F1413" s="26" t="e">
        <f>+F1412</f>
        <v>#REF!</v>
      </c>
      <c r="G1413" s="17">
        <v>8</v>
      </c>
      <c r="H1413" s="17" t="s">
        <v>9</v>
      </c>
      <c r="I1413" s="30" t="s">
        <v>59</v>
      </c>
      <c r="J1413" s="22"/>
      <c r="K1413" s="22"/>
      <c r="L1413" s="8">
        <f t="shared" si="1844"/>
        <v>0</v>
      </c>
      <c r="M1413" s="24">
        <f t="shared" si="1842"/>
        <v>0</v>
      </c>
      <c r="N1413" s="14"/>
    </row>
    <row r="1414" spans="1:14" x14ac:dyDescent="0.25">
      <c r="A1414" s="20">
        <v>44586</v>
      </c>
      <c r="B1414" s="1">
        <f t="shared" ref="B1414" si="1855">B1406</f>
        <v>118</v>
      </c>
      <c r="C1414" s="1" t="s">
        <v>433</v>
      </c>
      <c r="D1414" s="1" t="s">
        <v>58</v>
      </c>
      <c r="E1414" s="26" t="e">
        <f t="shared" ref="E1414:F1414" si="1856">+E1413</f>
        <v>#REF!</v>
      </c>
      <c r="F1414" s="26" t="e">
        <f t="shared" si="1856"/>
        <v>#REF!</v>
      </c>
      <c r="G1414" s="17">
        <v>9</v>
      </c>
      <c r="H1414" s="17" t="s">
        <v>9</v>
      </c>
      <c r="I1414" s="30" t="s">
        <v>38</v>
      </c>
      <c r="J1414" s="22"/>
      <c r="K1414" s="22"/>
      <c r="L1414" s="8">
        <f t="shared" si="1844"/>
        <v>0</v>
      </c>
      <c r="M1414" s="24">
        <f t="shared" si="1842"/>
        <v>0</v>
      </c>
      <c r="N1414" s="14"/>
    </row>
    <row r="1415" spans="1:14" x14ac:dyDescent="0.25">
      <c r="A1415" s="20">
        <v>44586</v>
      </c>
      <c r="B1415" s="1">
        <f t="shared" ref="B1415" si="1857">B1406</f>
        <v>118</v>
      </c>
      <c r="C1415" s="1" t="s">
        <v>433</v>
      </c>
      <c r="D1415" s="1" t="s">
        <v>58</v>
      </c>
      <c r="E1415" s="26" t="e">
        <f t="shared" ref="E1415:F1415" si="1858">+E1414</f>
        <v>#REF!</v>
      </c>
      <c r="F1415" s="26" t="e">
        <f t="shared" si="1858"/>
        <v>#REF!</v>
      </c>
      <c r="G1415" s="17">
        <v>10</v>
      </c>
      <c r="H1415" s="17" t="s">
        <v>9</v>
      </c>
      <c r="I1415" s="30" t="s">
        <v>23</v>
      </c>
      <c r="J1415" s="22">
        <v>0.75</v>
      </c>
      <c r="K1415" s="22">
        <v>0.55000000000000004</v>
      </c>
      <c r="L1415" s="8">
        <f t="shared" si="1844"/>
        <v>0.19999999999999996</v>
      </c>
      <c r="M1415" s="24">
        <f t="shared" si="1842"/>
        <v>6.0331825037707376E-3</v>
      </c>
      <c r="N1415" s="14"/>
    </row>
    <row r="1416" spans="1:14" x14ac:dyDescent="0.25">
      <c r="A1416" s="20">
        <v>44586</v>
      </c>
      <c r="B1416" s="1">
        <f t="shared" ref="B1416" si="1859">B1406</f>
        <v>118</v>
      </c>
      <c r="C1416" s="1" t="s">
        <v>433</v>
      </c>
      <c r="D1416" s="1" t="s">
        <v>58</v>
      </c>
      <c r="E1416" s="26" t="e">
        <f t="shared" ref="E1416:F1416" si="1860">+E1415</f>
        <v>#REF!</v>
      </c>
      <c r="F1416" s="26" t="e">
        <f t="shared" si="1860"/>
        <v>#REF!</v>
      </c>
      <c r="G1416" s="17">
        <v>11</v>
      </c>
      <c r="H1416" s="17" t="s">
        <v>9</v>
      </c>
      <c r="I1416" s="30" t="s">
        <v>60</v>
      </c>
      <c r="J1416" s="22"/>
      <c r="K1416" s="22"/>
      <c r="L1416" s="8">
        <f t="shared" si="1844"/>
        <v>0</v>
      </c>
      <c r="M1416" s="24">
        <f t="shared" si="1842"/>
        <v>0</v>
      </c>
      <c r="N1416" s="14"/>
    </row>
    <row r="1417" spans="1:14" ht="15.75" thickBot="1" x14ac:dyDescent="0.3">
      <c r="A1417" s="20">
        <v>44586</v>
      </c>
      <c r="B1417" s="57">
        <f t="shared" ref="B1417" si="1861">B1406</f>
        <v>118</v>
      </c>
      <c r="C1417" s="1" t="s">
        <v>433</v>
      </c>
      <c r="D1417" s="1" t="s">
        <v>58</v>
      </c>
      <c r="E1417" s="26" t="e">
        <f t="shared" ref="E1417:F1417" si="1862">+E1416</f>
        <v>#REF!</v>
      </c>
      <c r="F1417" s="26" t="e">
        <f t="shared" si="1862"/>
        <v>#REF!</v>
      </c>
      <c r="G1417" s="18">
        <f>+G1416+1</f>
        <v>12</v>
      </c>
      <c r="H1417" s="18" t="s">
        <v>10</v>
      </c>
      <c r="I1417" s="46" t="s">
        <v>10</v>
      </c>
      <c r="J1417" s="22">
        <v>2.4</v>
      </c>
      <c r="K1417" s="63">
        <f>0.55*2</f>
        <v>1.1000000000000001</v>
      </c>
      <c r="L1417" s="8">
        <f t="shared" si="1844"/>
        <v>1.2999999999999998</v>
      </c>
      <c r="M1417" s="24">
        <f t="shared" si="1842"/>
        <v>3.9215686274509803E-2</v>
      </c>
      <c r="N1417" s="14"/>
    </row>
    <row r="1418" spans="1:14" x14ac:dyDescent="0.25">
      <c r="A1418" s="19">
        <v>44586</v>
      </c>
      <c r="B1418" s="15">
        <f t="shared" ref="B1418" si="1863">B1406+1</f>
        <v>119</v>
      </c>
      <c r="C1418" s="15" t="s">
        <v>434</v>
      </c>
      <c r="D1418" s="15" t="s">
        <v>182</v>
      </c>
      <c r="E1418" s="25">
        <f>23.6-1.2</f>
        <v>22.400000000000002</v>
      </c>
      <c r="F1418" s="25">
        <f>+SUM(L1418:L1429)</f>
        <v>22.350000000000009</v>
      </c>
      <c r="G1418" s="16">
        <v>1</v>
      </c>
      <c r="H1418" s="16" t="s">
        <v>9</v>
      </c>
      <c r="I1418" s="59" t="s">
        <v>56</v>
      </c>
      <c r="J1418" s="21">
        <v>0.75</v>
      </c>
      <c r="K1418" s="21">
        <v>0.55000000000000004</v>
      </c>
      <c r="L1418" s="12">
        <f>+J1418-K1418</f>
        <v>0.19999999999999996</v>
      </c>
      <c r="M1418" s="23">
        <f t="shared" si="1842"/>
        <v>8.9485458612975338E-3</v>
      </c>
      <c r="N1418" s="13"/>
    </row>
    <row r="1419" spans="1:14" x14ac:dyDescent="0.25">
      <c r="A1419" s="20">
        <v>44586</v>
      </c>
      <c r="B1419" s="1">
        <f t="shared" ref="B1419" si="1864">B1418</f>
        <v>119</v>
      </c>
      <c r="C1419" s="1" t="s">
        <v>434</v>
      </c>
      <c r="D1419" s="1" t="s">
        <v>182</v>
      </c>
      <c r="E1419" s="26">
        <f>+E1418</f>
        <v>22.400000000000002</v>
      </c>
      <c r="F1419" s="28">
        <f>+(F1418-E1418)/E1418</f>
        <v>-2.2321428571425717E-3</v>
      </c>
      <c r="G1419" s="17">
        <v>2</v>
      </c>
      <c r="H1419" s="17" t="s">
        <v>9</v>
      </c>
      <c r="I1419" s="30" t="s">
        <v>57</v>
      </c>
      <c r="J1419" s="22">
        <f>11.4+11.85+11.6+11.75+11+9.1+11.25</f>
        <v>77.95</v>
      </c>
      <c r="K1419" s="22">
        <f>8.3+8.55+8.3+8.3+8.3+8.5+8.3</f>
        <v>58.55</v>
      </c>
      <c r="L1419" s="8">
        <f t="shared" ref="L1419:L1429" si="1865">+J1419-K1419</f>
        <v>19.400000000000006</v>
      </c>
      <c r="M1419" s="24">
        <f t="shared" si="1842"/>
        <v>0.86800894854586119</v>
      </c>
      <c r="N1419" s="14"/>
    </row>
    <row r="1420" spans="1:14" x14ac:dyDescent="0.25">
      <c r="A1420" s="20">
        <v>44586</v>
      </c>
      <c r="B1420" s="1">
        <f t="shared" ref="B1420" si="1866">B1418</f>
        <v>119</v>
      </c>
      <c r="C1420" s="1" t="s">
        <v>434</v>
      </c>
      <c r="D1420" s="1" t="s">
        <v>182</v>
      </c>
      <c r="E1420" s="26" t="e">
        <f>+#REF!</f>
        <v>#REF!</v>
      </c>
      <c r="F1420" s="26" t="e">
        <f>+#REF!</f>
        <v>#REF!</v>
      </c>
      <c r="G1420" s="17">
        <v>3</v>
      </c>
      <c r="H1420" s="17" t="s">
        <v>9</v>
      </c>
      <c r="I1420" s="30" t="s">
        <v>58</v>
      </c>
      <c r="J1420" s="22">
        <f>1.4</f>
        <v>1.4</v>
      </c>
      <c r="K1420" s="22">
        <f>0.55</f>
        <v>0.55000000000000004</v>
      </c>
      <c r="L1420" s="8">
        <f t="shared" si="1865"/>
        <v>0.84999999999999987</v>
      </c>
      <c r="M1420" s="24">
        <f t="shared" si="1842"/>
        <v>3.8031319910514519E-2</v>
      </c>
      <c r="N1420" s="14"/>
    </row>
    <row r="1421" spans="1:14" x14ac:dyDescent="0.25">
      <c r="A1421" s="20">
        <v>44586</v>
      </c>
      <c r="B1421" s="1">
        <f t="shared" ref="B1421" si="1867">B1418</f>
        <v>119</v>
      </c>
      <c r="C1421" s="1" t="s">
        <v>434</v>
      </c>
      <c r="D1421" s="1" t="s">
        <v>182</v>
      </c>
      <c r="E1421" s="26" t="e">
        <f t="shared" ref="E1421:F1421" si="1868">+E1420</f>
        <v>#REF!</v>
      </c>
      <c r="F1421" s="26" t="e">
        <f t="shared" si="1868"/>
        <v>#REF!</v>
      </c>
      <c r="G1421" s="17">
        <v>4</v>
      </c>
      <c r="H1421" s="17" t="s">
        <v>9</v>
      </c>
      <c r="I1421" s="30" t="s">
        <v>22</v>
      </c>
      <c r="J1421" s="22"/>
      <c r="K1421" s="22"/>
      <c r="L1421" s="8">
        <f t="shared" si="1865"/>
        <v>0</v>
      </c>
      <c r="M1421" s="24">
        <f t="shared" si="1842"/>
        <v>0</v>
      </c>
      <c r="N1421" s="14"/>
    </row>
    <row r="1422" spans="1:14" x14ac:dyDescent="0.25">
      <c r="A1422" s="20">
        <v>44586</v>
      </c>
      <c r="B1422" s="1">
        <f t="shared" ref="B1422" si="1869">B1418</f>
        <v>119</v>
      </c>
      <c r="C1422" s="1" t="s">
        <v>434</v>
      </c>
      <c r="D1422" s="1" t="s">
        <v>182</v>
      </c>
      <c r="E1422" s="26" t="e">
        <f t="shared" ref="E1422:F1422" si="1870">+E1421</f>
        <v>#REF!</v>
      </c>
      <c r="F1422" s="26" t="e">
        <f t="shared" si="1870"/>
        <v>#REF!</v>
      </c>
      <c r="G1422" s="17">
        <v>5</v>
      </c>
      <c r="H1422" s="17" t="s">
        <v>9</v>
      </c>
      <c r="I1422" s="30" t="s">
        <v>34</v>
      </c>
      <c r="J1422" s="22">
        <f>0.6</f>
        <v>0.6</v>
      </c>
      <c r="K1422" s="63">
        <v>0.55000000000000004</v>
      </c>
      <c r="L1422" s="8">
        <f t="shared" si="1865"/>
        <v>4.9999999999999933E-2</v>
      </c>
      <c r="M1422" s="24">
        <f t="shared" si="1842"/>
        <v>2.2371364653243808E-3</v>
      </c>
      <c r="N1422" s="14"/>
    </row>
    <row r="1423" spans="1:14" x14ac:dyDescent="0.25">
      <c r="A1423" s="20">
        <v>44586</v>
      </c>
      <c r="B1423" s="1">
        <f t="shared" ref="B1423" si="1871">B1418</f>
        <v>119</v>
      </c>
      <c r="C1423" s="1" t="s">
        <v>434</v>
      </c>
      <c r="D1423" s="1" t="s">
        <v>182</v>
      </c>
      <c r="E1423" s="26" t="e">
        <f t="shared" ref="E1423:F1423" si="1872">+E1422</f>
        <v>#REF!</v>
      </c>
      <c r="F1423" s="26" t="e">
        <f t="shared" si="1872"/>
        <v>#REF!</v>
      </c>
      <c r="G1423" s="17">
        <v>6</v>
      </c>
      <c r="H1423" s="17" t="s">
        <v>9</v>
      </c>
      <c r="I1423" s="30" t="s">
        <v>35</v>
      </c>
      <c r="J1423" s="22"/>
      <c r="K1423" s="22"/>
      <c r="L1423" s="8">
        <f t="shared" si="1865"/>
        <v>0</v>
      </c>
      <c r="M1423" s="24">
        <f t="shared" si="1842"/>
        <v>0</v>
      </c>
      <c r="N1423" s="14"/>
    </row>
    <row r="1424" spans="1:14" x14ac:dyDescent="0.25">
      <c r="A1424" s="20">
        <v>44586</v>
      </c>
      <c r="B1424" s="1">
        <f t="shared" ref="B1424" si="1873">B1418</f>
        <v>119</v>
      </c>
      <c r="C1424" s="1" t="s">
        <v>434</v>
      </c>
      <c r="D1424" s="1" t="s">
        <v>182</v>
      </c>
      <c r="E1424" s="26" t="e">
        <f t="shared" ref="E1424:F1424" si="1874">+E1423</f>
        <v>#REF!</v>
      </c>
      <c r="F1424" s="26" t="e">
        <f t="shared" si="1874"/>
        <v>#REF!</v>
      </c>
      <c r="G1424" s="17">
        <v>7</v>
      </c>
      <c r="H1424" s="17" t="s">
        <v>9</v>
      </c>
      <c r="I1424" s="30" t="s">
        <v>36</v>
      </c>
      <c r="J1424" s="22"/>
      <c r="K1424" s="22"/>
      <c r="L1424" s="8">
        <f t="shared" si="1865"/>
        <v>0</v>
      </c>
      <c r="M1424" s="24">
        <f t="shared" si="1842"/>
        <v>0</v>
      </c>
      <c r="N1424" s="14"/>
    </row>
    <row r="1425" spans="1:14" x14ac:dyDescent="0.25">
      <c r="A1425" s="20">
        <v>44586</v>
      </c>
      <c r="B1425" s="1">
        <f t="shared" ref="B1425" si="1875">B1418</f>
        <v>119</v>
      </c>
      <c r="C1425" s="1" t="s">
        <v>434</v>
      </c>
      <c r="D1425" s="1" t="s">
        <v>182</v>
      </c>
      <c r="E1425" s="26" t="e">
        <f>+E1424</f>
        <v>#REF!</v>
      </c>
      <c r="F1425" s="26" t="e">
        <f>+F1424</f>
        <v>#REF!</v>
      </c>
      <c r="G1425" s="17">
        <v>8</v>
      </c>
      <c r="H1425" s="17" t="s">
        <v>9</v>
      </c>
      <c r="I1425" s="30" t="s">
        <v>59</v>
      </c>
      <c r="J1425" s="22">
        <v>0.75</v>
      </c>
      <c r="K1425" s="22">
        <v>0.55000000000000004</v>
      </c>
      <c r="L1425" s="8">
        <f t="shared" si="1865"/>
        <v>0.19999999999999996</v>
      </c>
      <c r="M1425" s="24">
        <f t="shared" si="1842"/>
        <v>8.9485458612975338E-3</v>
      </c>
      <c r="N1425" s="14"/>
    </row>
    <row r="1426" spans="1:14" x14ac:dyDescent="0.25">
      <c r="A1426" s="20">
        <v>44586</v>
      </c>
      <c r="B1426" s="1">
        <f t="shared" ref="B1426" si="1876">B1418</f>
        <v>119</v>
      </c>
      <c r="C1426" s="1" t="s">
        <v>434</v>
      </c>
      <c r="D1426" s="1" t="s">
        <v>182</v>
      </c>
      <c r="E1426" s="26" t="e">
        <f t="shared" ref="E1426:F1426" si="1877">+E1425</f>
        <v>#REF!</v>
      </c>
      <c r="F1426" s="26" t="e">
        <f t="shared" si="1877"/>
        <v>#REF!</v>
      </c>
      <c r="G1426" s="17">
        <v>9</v>
      </c>
      <c r="H1426" s="17" t="s">
        <v>9</v>
      </c>
      <c r="I1426" s="30" t="s">
        <v>38</v>
      </c>
      <c r="J1426" s="22"/>
      <c r="K1426" s="22"/>
      <c r="L1426" s="8">
        <f t="shared" si="1865"/>
        <v>0</v>
      </c>
      <c r="M1426" s="24">
        <f t="shared" si="1842"/>
        <v>0</v>
      </c>
      <c r="N1426" s="14"/>
    </row>
    <row r="1427" spans="1:14" x14ac:dyDescent="0.25">
      <c r="A1427" s="20">
        <v>44586</v>
      </c>
      <c r="B1427" s="1">
        <f t="shared" ref="B1427" si="1878">B1418</f>
        <v>119</v>
      </c>
      <c r="C1427" s="1" t="s">
        <v>434</v>
      </c>
      <c r="D1427" s="1" t="s">
        <v>182</v>
      </c>
      <c r="E1427" s="26" t="e">
        <f t="shared" ref="E1427:F1427" si="1879">+E1426</f>
        <v>#REF!</v>
      </c>
      <c r="F1427" s="26" t="e">
        <f t="shared" si="1879"/>
        <v>#REF!</v>
      </c>
      <c r="G1427" s="17">
        <v>10</v>
      </c>
      <c r="H1427" s="17" t="s">
        <v>9</v>
      </c>
      <c r="I1427" s="30" t="s">
        <v>23</v>
      </c>
      <c r="J1427" s="22">
        <v>0.05</v>
      </c>
      <c r="K1427" s="22">
        <v>0</v>
      </c>
      <c r="L1427" s="8">
        <f t="shared" si="1865"/>
        <v>0.05</v>
      </c>
      <c r="M1427" s="24">
        <f t="shared" si="1842"/>
        <v>2.2371364653243839E-3</v>
      </c>
      <c r="N1427" s="14"/>
    </row>
    <row r="1428" spans="1:14" x14ac:dyDescent="0.25">
      <c r="A1428" s="20">
        <v>44586</v>
      </c>
      <c r="B1428" s="1">
        <f t="shared" ref="B1428" si="1880">B1418</f>
        <v>119</v>
      </c>
      <c r="C1428" s="1" t="s">
        <v>434</v>
      </c>
      <c r="D1428" s="1" t="s">
        <v>182</v>
      </c>
      <c r="E1428" s="26" t="e">
        <f t="shared" ref="E1428:F1428" si="1881">+E1427</f>
        <v>#REF!</v>
      </c>
      <c r="F1428" s="26" t="e">
        <f t="shared" si="1881"/>
        <v>#REF!</v>
      </c>
      <c r="G1428" s="17">
        <v>11</v>
      </c>
      <c r="H1428" s="17" t="s">
        <v>9</v>
      </c>
      <c r="I1428" s="30" t="s">
        <v>60</v>
      </c>
      <c r="J1428" s="22"/>
      <c r="K1428" s="22"/>
      <c r="L1428" s="8">
        <f t="shared" si="1865"/>
        <v>0</v>
      </c>
      <c r="M1428" s="24">
        <f t="shared" si="1842"/>
        <v>0</v>
      </c>
      <c r="N1428" s="14"/>
    </row>
    <row r="1429" spans="1:14" ht="15.75" thickBot="1" x14ac:dyDescent="0.3">
      <c r="A1429" s="20">
        <v>44586</v>
      </c>
      <c r="B1429" s="57">
        <f t="shared" ref="B1429" si="1882">B1418</f>
        <v>119</v>
      </c>
      <c r="C1429" s="1" t="s">
        <v>434</v>
      </c>
      <c r="D1429" s="1" t="s">
        <v>182</v>
      </c>
      <c r="E1429" s="26" t="e">
        <f t="shared" ref="E1429:F1429" si="1883">+E1428</f>
        <v>#REF!</v>
      </c>
      <c r="F1429" s="26" t="e">
        <f t="shared" si="1883"/>
        <v>#REF!</v>
      </c>
      <c r="G1429" s="18">
        <f>+G1428+1</f>
        <v>12</v>
      </c>
      <c r="H1429" s="18" t="s">
        <v>10</v>
      </c>
      <c r="I1429" s="46" t="s">
        <v>10</v>
      </c>
      <c r="J1429" s="22">
        <v>10.15</v>
      </c>
      <c r="K1429" s="63">
        <v>8.5500000000000007</v>
      </c>
      <c r="L1429" s="8">
        <f t="shared" si="1865"/>
        <v>1.5999999999999996</v>
      </c>
      <c r="M1429" s="24">
        <f t="shared" si="1842"/>
        <v>7.158836689038027E-2</v>
      </c>
      <c r="N1429" s="14"/>
    </row>
    <row r="1430" spans="1:14" x14ac:dyDescent="0.25">
      <c r="A1430" s="19">
        <v>44586</v>
      </c>
      <c r="B1430" s="15">
        <f t="shared" ref="B1430" si="1884">B1418+1</f>
        <v>120</v>
      </c>
      <c r="C1430" s="15" t="s">
        <v>435</v>
      </c>
      <c r="D1430" s="15" t="s">
        <v>179</v>
      </c>
      <c r="E1430" s="25">
        <f>42-1.2</f>
        <v>40.799999999999997</v>
      </c>
      <c r="F1430" s="25">
        <f>+SUM(L1430:L1441)</f>
        <v>40.03</v>
      </c>
      <c r="G1430" s="16">
        <v>1</v>
      </c>
      <c r="H1430" s="16" t="s">
        <v>9</v>
      </c>
      <c r="I1430" s="59" t="s">
        <v>56</v>
      </c>
      <c r="J1430" s="21"/>
      <c r="K1430" s="21"/>
      <c r="L1430" s="12">
        <f>+J1430-K1430</f>
        <v>0</v>
      </c>
      <c r="M1430" s="23">
        <f t="shared" si="1842"/>
        <v>0</v>
      </c>
      <c r="N1430" s="13"/>
    </row>
    <row r="1431" spans="1:14" x14ac:dyDescent="0.25">
      <c r="A1431" s="20">
        <v>44586</v>
      </c>
      <c r="B1431" s="1">
        <f t="shared" ref="B1431" si="1885">B1430</f>
        <v>120</v>
      </c>
      <c r="C1431" s="1" t="s">
        <v>435</v>
      </c>
      <c r="D1431" s="1" t="s">
        <v>179</v>
      </c>
      <c r="E1431" s="26">
        <f>+E1430</f>
        <v>40.799999999999997</v>
      </c>
      <c r="F1431" s="28">
        <f>+(F1430-E1430)/E1430</f>
        <v>-1.8872549019607748E-2</v>
      </c>
      <c r="G1431" s="17">
        <v>2</v>
      </c>
      <c r="H1431" s="17" t="s">
        <v>9</v>
      </c>
      <c r="I1431" s="30" t="s">
        <v>57</v>
      </c>
      <c r="J1431" s="22">
        <v>1.3</v>
      </c>
      <c r="K1431" s="22">
        <v>0.5</v>
      </c>
      <c r="L1431" s="8">
        <f t="shared" ref="L1431:L1441" si="1886">+J1431-K1431</f>
        <v>0.8</v>
      </c>
      <c r="M1431" s="24">
        <f t="shared" si="1842"/>
        <v>1.9985011241568824E-2</v>
      </c>
      <c r="N1431" s="14"/>
    </row>
    <row r="1432" spans="1:14" x14ac:dyDescent="0.25">
      <c r="A1432" s="20">
        <v>44586</v>
      </c>
      <c r="B1432" s="1">
        <f t="shared" ref="B1432" si="1887">B1430</f>
        <v>120</v>
      </c>
      <c r="C1432" s="1" t="s">
        <v>435</v>
      </c>
      <c r="D1432" s="1" t="s">
        <v>179</v>
      </c>
      <c r="E1432" s="26" t="e">
        <f>+#REF!</f>
        <v>#REF!</v>
      </c>
      <c r="F1432" s="26" t="e">
        <f>+#REF!</f>
        <v>#REF!</v>
      </c>
      <c r="G1432" s="17">
        <v>3</v>
      </c>
      <c r="H1432" s="17" t="s">
        <v>9</v>
      </c>
      <c r="I1432" s="30" t="s">
        <v>58</v>
      </c>
      <c r="J1432" s="22"/>
      <c r="K1432" s="22"/>
      <c r="L1432" s="8">
        <f t="shared" si="1886"/>
        <v>0</v>
      </c>
      <c r="M1432" s="24">
        <f t="shared" si="1842"/>
        <v>0</v>
      </c>
      <c r="N1432" s="14"/>
    </row>
    <row r="1433" spans="1:14" x14ac:dyDescent="0.25">
      <c r="A1433" s="20">
        <v>44586</v>
      </c>
      <c r="B1433" s="1">
        <f t="shared" ref="B1433" si="1888">B1430</f>
        <v>120</v>
      </c>
      <c r="C1433" s="1" t="s">
        <v>435</v>
      </c>
      <c r="D1433" s="1" t="s">
        <v>179</v>
      </c>
      <c r="E1433" s="26" t="e">
        <f t="shared" ref="E1433:F1433" si="1889">+E1432</f>
        <v>#REF!</v>
      </c>
      <c r="F1433" s="26" t="e">
        <f t="shared" si="1889"/>
        <v>#REF!</v>
      </c>
      <c r="G1433" s="17">
        <v>4</v>
      </c>
      <c r="H1433" s="17" t="s">
        <v>9</v>
      </c>
      <c r="I1433" s="30" t="s">
        <v>22</v>
      </c>
      <c r="J1433" s="22">
        <v>0.15</v>
      </c>
      <c r="K1433" s="22"/>
      <c r="L1433" s="8">
        <f t="shared" si="1886"/>
        <v>0.15</v>
      </c>
      <c r="M1433" s="24">
        <f t="shared" si="1842"/>
        <v>3.7471896077941541E-3</v>
      </c>
      <c r="N1433" s="14"/>
    </row>
    <row r="1434" spans="1:14" x14ac:dyDescent="0.25">
      <c r="A1434" s="20">
        <v>44586</v>
      </c>
      <c r="B1434" s="1">
        <f t="shared" ref="B1434" si="1890">B1430</f>
        <v>120</v>
      </c>
      <c r="C1434" s="1" t="s">
        <v>435</v>
      </c>
      <c r="D1434" s="1" t="s">
        <v>179</v>
      </c>
      <c r="E1434" s="26" t="e">
        <f t="shared" ref="E1434:F1434" si="1891">+E1433</f>
        <v>#REF!</v>
      </c>
      <c r="F1434" s="26" t="e">
        <f t="shared" si="1891"/>
        <v>#REF!</v>
      </c>
      <c r="G1434" s="17">
        <v>5</v>
      </c>
      <c r="H1434" s="17" t="s">
        <v>9</v>
      </c>
      <c r="I1434" s="30" t="s">
        <v>34</v>
      </c>
      <c r="J1434" s="22">
        <v>0.85</v>
      </c>
      <c r="K1434" s="63">
        <v>0.55000000000000004</v>
      </c>
      <c r="L1434" s="8">
        <f t="shared" si="1886"/>
        <v>0.29999999999999993</v>
      </c>
      <c r="M1434" s="24">
        <f t="shared" si="1842"/>
        <v>7.4943792155883066E-3</v>
      </c>
      <c r="N1434" s="14"/>
    </row>
    <row r="1435" spans="1:14" x14ac:dyDescent="0.25">
      <c r="A1435" s="20">
        <v>44586</v>
      </c>
      <c r="B1435" s="1">
        <f t="shared" ref="B1435" si="1892">B1430</f>
        <v>120</v>
      </c>
      <c r="C1435" s="1" t="s">
        <v>435</v>
      </c>
      <c r="D1435" s="1" t="s">
        <v>179</v>
      </c>
      <c r="E1435" s="26" t="e">
        <f t="shared" ref="E1435:F1435" si="1893">+E1434</f>
        <v>#REF!</v>
      </c>
      <c r="F1435" s="26" t="e">
        <f t="shared" si="1893"/>
        <v>#REF!</v>
      </c>
      <c r="G1435" s="17">
        <v>6</v>
      </c>
      <c r="H1435" s="17" t="s">
        <v>9</v>
      </c>
      <c r="I1435" s="30" t="s">
        <v>35</v>
      </c>
      <c r="J1435" s="22"/>
      <c r="K1435" s="22"/>
      <c r="L1435" s="8">
        <f t="shared" si="1886"/>
        <v>0</v>
      </c>
      <c r="M1435" s="24">
        <f t="shared" si="1842"/>
        <v>0</v>
      </c>
      <c r="N1435" s="14"/>
    </row>
    <row r="1436" spans="1:14" x14ac:dyDescent="0.25">
      <c r="A1436" s="20">
        <v>44586</v>
      </c>
      <c r="B1436" s="1">
        <f t="shared" ref="B1436" si="1894">B1430</f>
        <v>120</v>
      </c>
      <c r="C1436" s="1" t="s">
        <v>435</v>
      </c>
      <c r="D1436" s="1" t="s">
        <v>179</v>
      </c>
      <c r="E1436" s="26" t="e">
        <f t="shared" ref="E1436:F1436" si="1895">+E1435</f>
        <v>#REF!</v>
      </c>
      <c r="F1436" s="26" t="e">
        <f t="shared" si="1895"/>
        <v>#REF!</v>
      </c>
      <c r="G1436" s="17">
        <v>7</v>
      </c>
      <c r="H1436" s="17" t="s">
        <v>9</v>
      </c>
      <c r="I1436" s="30" t="s">
        <v>36</v>
      </c>
      <c r="J1436" s="22">
        <f>16.5+19.5</f>
        <v>36</v>
      </c>
      <c r="K1436" s="22">
        <f>6.05+6.05</f>
        <v>12.1</v>
      </c>
      <c r="L1436" s="8">
        <f t="shared" si="1886"/>
        <v>23.9</v>
      </c>
      <c r="M1436" s="24">
        <f t="shared" si="1842"/>
        <v>0.59705221084186855</v>
      </c>
      <c r="N1436" s="14"/>
    </row>
    <row r="1437" spans="1:14" x14ac:dyDescent="0.25">
      <c r="A1437" s="20">
        <v>44586</v>
      </c>
      <c r="B1437" s="1">
        <f t="shared" ref="B1437" si="1896">B1430</f>
        <v>120</v>
      </c>
      <c r="C1437" s="1" t="s">
        <v>435</v>
      </c>
      <c r="D1437" s="1" t="s">
        <v>179</v>
      </c>
      <c r="E1437" s="26" t="e">
        <f>+E1436</f>
        <v>#REF!</v>
      </c>
      <c r="F1437" s="26" t="e">
        <f>+F1436</f>
        <v>#REF!</v>
      </c>
      <c r="G1437" s="17">
        <v>8</v>
      </c>
      <c r="H1437" s="17" t="s">
        <v>9</v>
      </c>
      <c r="I1437" s="30" t="s">
        <v>59</v>
      </c>
      <c r="J1437" s="22">
        <v>0.65</v>
      </c>
      <c r="K1437" s="22">
        <v>0.55000000000000004</v>
      </c>
      <c r="L1437" s="8">
        <f t="shared" si="1886"/>
        <v>9.9999999999999978E-2</v>
      </c>
      <c r="M1437" s="24">
        <f t="shared" si="1842"/>
        <v>2.4981264051961022E-3</v>
      </c>
      <c r="N1437" s="14"/>
    </row>
    <row r="1438" spans="1:14" x14ac:dyDescent="0.25">
      <c r="A1438" s="20">
        <v>44586</v>
      </c>
      <c r="B1438" s="1">
        <f t="shared" ref="B1438" si="1897">B1430</f>
        <v>120</v>
      </c>
      <c r="C1438" s="1" t="s">
        <v>435</v>
      </c>
      <c r="D1438" s="1" t="s">
        <v>179</v>
      </c>
      <c r="E1438" s="26" t="e">
        <f t="shared" ref="E1438:F1438" si="1898">+E1437</f>
        <v>#REF!</v>
      </c>
      <c r="F1438" s="26" t="e">
        <f t="shared" si="1898"/>
        <v>#REF!</v>
      </c>
      <c r="G1438" s="17">
        <v>9</v>
      </c>
      <c r="H1438" s="17" t="s">
        <v>9</v>
      </c>
      <c r="I1438" s="30" t="s">
        <v>38</v>
      </c>
      <c r="J1438" s="22">
        <v>0.85</v>
      </c>
      <c r="K1438" s="22">
        <v>0.55000000000000004</v>
      </c>
      <c r="L1438" s="101">
        <f>+J1438-K1438</f>
        <v>0.29999999999999993</v>
      </c>
      <c r="M1438" s="24">
        <f t="shared" si="1842"/>
        <v>7.4943792155883066E-3</v>
      </c>
      <c r="N1438" s="14"/>
    </row>
    <row r="1439" spans="1:14" x14ac:dyDescent="0.25">
      <c r="A1439" s="20">
        <v>44586</v>
      </c>
      <c r="B1439" s="1">
        <f t="shared" ref="B1439" si="1899">B1430</f>
        <v>120</v>
      </c>
      <c r="C1439" s="1" t="s">
        <v>435</v>
      </c>
      <c r="D1439" s="1" t="s">
        <v>179</v>
      </c>
      <c r="E1439" s="26" t="e">
        <f t="shared" ref="E1439:F1439" si="1900">+E1438</f>
        <v>#REF!</v>
      </c>
      <c r="F1439" s="26" t="e">
        <f t="shared" si="1900"/>
        <v>#REF!</v>
      </c>
      <c r="G1439" s="17">
        <v>10</v>
      </c>
      <c r="H1439" s="17" t="s">
        <v>9</v>
      </c>
      <c r="I1439" s="30" t="s">
        <v>23</v>
      </c>
      <c r="J1439" s="22">
        <f>10.75+1</f>
        <v>11.75</v>
      </c>
      <c r="K1439" s="22">
        <f>8.3+0.5</f>
        <v>8.8000000000000007</v>
      </c>
      <c r="L1439" s="8">
        <f t="shared" si="1886"/>
        <v>2.9499999999999993</v>
      </c>
      <c r="M1439" s="24">
        <f t="shared" si="1842"/>
        <v>7.3694728953285021E-2</v>
      </c>
      <c r="N1439" s="14"/>
    </row>
    <row r="1440" spans="1:14" x14ac:dyDescent="0.25">
      <c r="A1440" s="20">
        <v>44586</v>
      </c>
      <c r="B1440" s="1">
        <f t="shared" ref="B1440" si="1901">B1430</f>
        <v>120</v>
      </c>
      <c r="C1440" s="1" t="s">
        <v>435</v>
      </c>
      <c r="D1440" s="1" t="s">
        <v>179</v>
      </c>
      <c r="E1440" s="26" t="e">
        <f t="shared" ref="E1440:F1440" si="1902">+E1439</f>
        <v>#REF!</v>
      </c>
      <c r="F1440" s="26" t="e">
        <f t="shared" si="1902"/>
        <v>#REF!</v>
      </c>
      <c r="G1440" s="17">
        <v>11</v>
      </c>
      <c r="H1440" s="17" t="s">
        <v>9</v>
      </c>
      <c r="I1440" s="30" t="s">
        <v>60</v>
      </c>
      <c r="J1440" s="22">
        <v>0.03</v>
      </c>
      <c r="K1440" s="22">
        <v>0</v>
      </c>
      <c r="L1440" s="8">
        <f t="shared" si="1886"/>
        <v>0.03</v>
      </c>
      <c r="M1440" s="24">
        <f t="shared" si="1842"/>
        <v>7.4943792155883081E-4</v>
      </c>
      <c r="N1440" s="14"/>
    </row>
    <row r="1441" spans="1:14" ht="15.75" thickBot="1" x14ac:dyDescent="0.3">
      <c r="A1441" s="20">
        <v>44586</v>
      </c>
      <c r="B1441" s="57">
        <f t="shared" ref="B1441" si="1903">B1430</f>
        <v>120</v>
      </c>
      <c r="C1441" s="1" t="s">
        <v>435</v>
      </c>
      <c r="D1441" s="1" t="s">
        <v>179</v>
      </c>
      <c r="E1441" s="26" t="e">
        <f t="shared" ref="E1441:F1441" si="1904">+E1440</f>
        <v>#REF!</v>
      </c>
      <c r="F1441" s="26" t="e">
        <f t="shared" si="1904"/>
        <v>#REF!</v>
      </c>
      <c r="G1441" s="18">
        <f>+G1440+1</f>
        <v>12</v>
      </c>
      <c r="H1441" s="18" t="s">
        <v>10</v>
      </c>
      <c r="I1441" s="46" t="s">
        <v>10</v>
      </c>
      <c r="J1441" s="22">
        <f>16.95+11.65</f>
        <v>28.6</v>
      </c>
      <c r="K1441" s="63">
        <f>8.55+8.55</f>
        <v>17.100000000000001</v>
      </c>
      <c r="L1441" s="8">
        <f t="shared" si="1886"/>
        <v>11.5</v>
      </c>
      <c r="M1441" s="24">
        <f t="shared" si="1842"/>
        <v>0.28728453659755182</v>
      </c>
      <c r="N1441" s="14"/>
    </row>
    <row r="1442" spans="1:14" x14ac:dyDescent="0.25">
      <c r="A1442" s="19">
        <v>44586</v>
      </c>
      <c r="B1442" s="15">
        <f t="shared" ref="B1442" si="1905">B1430+1</f>
        <v>121</v>
      </c>
      <c r="C1442" s="15" t="s">
        <v>436</v>
      </c>
      <c r="D1442" s="15" t="s">
        <v>38</v>
      </c>
      <c r="E1442" s="25">
        <f>32-1.2</f>
        <v>30.8</v>
      </c>
      <c r="F1442" s="25">
        <f>+SUM(L1442:L1453)</f>
        <v>30.499999999999993</v>
      </c>
      <c r="G1442" s="16">
        <v>1</v>
      </c>
      <c r="H1442" s="16" t="s">
        <v>9</v>
      </c>
      <c r="I1442" s="59" t="s">
        <v>56</v>
      </c>
      <c r="J1442" s="21">
        <v>0.65</v>
      </c>
      <c r="K1442" s="21">
        <v>0.55000000000000004</v>
      </c>
      <c r="L1442" s="12">
        <f>+J1442-K1442</f>
        <v>9.9999999999999978E-2</v>
      </c>
      <c r="M1442" s="23">
        <f t="shared" si="1842"/>
        <v>3.2786885245901639E-3</v>
      </c>
      <c r="N1442" s="13"/>
    </row>
    <row r="1443" spans="1:14" x14ac:dyDescent="0.25">
      <c r="A1443" s="20">
        <v>44586</v>
      </c>
      <c r="B1443" s="1">
        <f t="shared" ref="B1443" si="1906">B1442</f>
        <v>121</v>
      </c>
      <c r="C1443" s="1" t="s">
        <v>436</v>
      </c>
      <c r="D1443" s="1" t="s">
        <v>38</v>
      </c>
      <c r="E1443" s="26">
        <f>+E1442</f>
        <v>30.8</v>
      </c>
      <c r="F1443" s="28">
        <f>+(F1442-E1442)/E1442</f>
        <v>-9.7402597402599933E-3</v>
      </c>
      <c r="G1443" s="17">
        <v>2</v>
      </c>
      <c r="H1443" s="17" t="s">
        <v>9</v>
      </c>
      <c r="I1443" s="30" t="s">
        <v>57</v>
      </c>
      <c r="J1443" s="22">
        <v>0.65</v>
      </c>
      <c r="K1443" s="22">
        <v>0.55000000000000004</v>
      </c>
      <c r="L1443" s="8">
        <f t="shared" ref="L1443:L1453" si="1907">+J1443-K1443</f>
        <v>9.9999999999999978E-2</v>
      </c>
      <c r="M1443" s="24">
        <f t="shared" si="1842"/>
        <v>3.2786885245901639E-3</v>
      </c>
      <c r="N1443" s="14"/>
    </row>
    <row r="1444" spans="1:14" x14ac:dyDescent="0.25">
      <c r="A1444" s="20">
        <v>44586</v>
      </c>
      <c r="B1444" s="1">
        <f t="shared" ref="B1444" si="1908">B1442</f>
        <v>121</v>
      </c>
      <c r="C1444" s="1" t="s">
        <v>436</v>
      </c>
      <c r="D1444" s="1" t="s">
        <v>38</v>
      </c>
      <c r="E1444" s="26" t="e">
        <f>+#REF!</f>
        <v>#REF!</v>
      </c>
      <c r="F1444" s="26" t="e">
        <f>+#REF!</f>
        <v>#REF!</v>
      </c>
      <c r="G1444" s="17">
        <v>3</v>
      </c>
      <c r="H1444" s="17" t="s">
        <v>9</v>
      </c>
      <c r="I1444" s="30" t="s">
        <v>58</v>
      </c>
      <c r="J1444" s="22"/>
      <c r="K1444" s="22"/>
      <c r="L1444" s="8">
        <f t="shared" si="1907"/>
        <v>0</v>
      </c>
      <c r="M1444" s="24">
        <f t="shared" si="1842"/>
        <v>0</v>
      </c>
      <c r="N1444" s="14"/>
    </row>
    <row r="1445" spans="1:14" x14ac:dyDescent="0.25">
      <c r="A1445" s="20">
        <v>44586</v>
      </c>
      <c r="B1445" s="1">
        <f t="shared" ref="B1445" si="1909">B1442</f>
        <v>121</v>
      </c>
      <c r="C1445" s="1" t="s">
        <v>436</v>
      </c>
      <c r="D1445" s="1" t="s">
        <v>38</v>
      </c>
      <c r="E1445" s="26" t="e">
        <f t="shared" ref="E1445:F1445" si="1910">+E1444</f>
        <v>#REF!</v>
      </c>
      <c r="F1445" s="26" t="e">
        <f t="shared" si="1910"/>
        <v>#REF!</v>
      </c>
      <c r="G1445" s="17">
        <v>4</v>
      </c>
      <c r="H1445" s="17" t="s">
        <v>9</v>
      </c>
      <c r="I1445" s="30" t="s">
        <v>22</v>
      </c>
      <c r="J1445" s="22"/>
      <c r="K1445" s="22"/>
      <c r="L1445" s="8">
        <f t="shared" si="1907"/>
        <v>0</v>
      </c>
      <c r="M1445" s="24">
        <f t="shared" si="1842"/>
        <v>0</v>
      </c>
      <c r="N1445" s="14"/>
    </row>
    <row r="1446" spans="1:14" x14ac:dyDescent="0.25">
      <c r="A1446" s="20">
        <v>44586</v>
      </c>
      <c r="B1446" s="1">
        <f t="shared" ref="B1446" si="1911">B1442</f>
        <v>121</v>
      </c>
      <c r="C1446" s="1" t="s">
        <v>436</v>
      </c>
      <c r="D1446" s="1" t="s">
        <v>38</v>
      </c>
      <c r="E1446" s="26" t="e">
        <f t="shared" ref="E1446:F1446" si="1912">+E1445</f>
        <v>#REF!</v>
      </c>
      <c r="F1446" s="26" t="e">
        <f t="shared" si="1912"/>
        <v>#REF!</v>
      </c>
      <c r="G1446" s="17">
        <v>5</v>
      </c>
      <c r="H1446" s="17" t="s">
        <v>9</v>
      </c>
      <c r="I1446" s="30" t="s">
        <v>34</v>
      </c>
      <c r="J1446" s="22">
        <v>0.65</v>
      </c>
      <c r="K1446" s="63">
        <v>0.55000000000000004</v>
      </c>
      <c r="L1446" s="8">
        <f t="shared" si="1907"/>
        <v>9.9999999999999978E-2</v>
      </c>
      <c r="M1446" s="24">
        <f t="shared" si="1842"/>
        <v>3.2786885245901639E-3</v>
      </c>
      <c r="N1446" s="14"/>
    </row>
    <row r="1447" spans="1:14" x14ac:dyDescent="0.25">
      <c r="A1447" s="20">
        <v>44586</v>
      </c>
      <c r="B1447" s="1">
        <f t="shared" ref="B1447" si="1913">B1442</f>
        <v>121</v>
      </c>
      <c r="C1447" s="1" t="s">
        <v>436</v>
      </c>
      <c r="D1447" s="1" t="s">
        <v>38</v>
      </c>
      <c r="E1447" s="26" t="e">
        <f t="shared" ref="E1447:F1447" si="1914">+E1446</f>
        <v>#REF!</v>
      </c>
      <c r="F1447" s="26" t="e">
        <f t="shared" si="1914"/>
        <v>#REF!</v>
      </c>
      <c r="G1447" s="17">
        <v>6</v>
      </c>
      <c r="H1447" s="17" t="s">
        <v>9</v>
      </c>
      <c r="I1447" s="30" t="s">
        <v>35</v>
      </c>
      <c r="J1447" s="22"/>
      <c r="K1447" s="22"/>
      <c r="L1447" s="8">
        <f t="shared" si="1907"/>
        <v>0</v>
      </c>
      <c r="M1447" s="24">
        <f t="shared" si="1842"/>
        <v>0</v>
      </c>
      <c r="N1447" s="14"/>
    </row>
    <row r="1448" spans="1:14" x14ac:dyDescent="0.25">
      <c r="A1448" s="20">
        <v>44586</v>
      </c>
      <c r="B1448" s="1">
        <f t="shared" ref="B1448" si="1915">B1442</f>
        <v>121</v>
      </c>
      <c r="C1448" s="1" t="s">
        <v>436</v>
      </c>
      <c r="D1448" s="1" t="s">
        <v>38</v>
      </c>
      <c r="E1448" s="26" t="e">
        <f t="shared" ref="E1448:F1448" si="1916">+E1447</f>
        <v>#REF!</v>
      </c>
      <c r="F1448" s="26" t="e">
        <f t="shared" si="1916"/>
        <v>#REF!</v>
      </c>
      <c r="G1448" s="17">
        <v>7</v>
      </c>
      <c r="H1448" s="17" t="s">
        <v>9</v>
      </c>
      <c r="I1448" s="30" t="s">
        <v>36</v>
      </c>
      <c r="J1448" s="22"/>
      <c r="K1448" s="22"/>
      <c r="L1448" s="8">
        <f t="shared" si="1907"/>
        <v>0</v>
      </c>
      <c r="M1448" s="24">
        <f t="shared" si="1842"/>
        <v>0</v>
      </c>
      <c r="N1448" s="14"/>
    </row>
    <row r="1449" spans="1:14" x14ac:dyDescent="0.25">
      <c r="A1449" s="20">
        <v>44586</v>
      </c>
      <c r="B1449" s="1">
        <f t="shared" ref="B1449" si="1917">B1442</f>
        <v>121</v>
      </c>
      <c r="C1449" s="1" t="s">
        <v>436</v>
      </c>
      <c r="D1449" s="1" t="s">
        <v>38</v>
      </c>
      <c r="E1449" s="26" t="e">
        <f>+E1448</f>
        <v>#REF!</v>
      </c>
      <c r="F1449" s="26" t="e">
        <f>+F1448</f>
        <v>#REF!</v>
      </c>
      <c r="G1449" s="17">
        <v>8</v>
      </c>
      <c r="H1449" s="17" t="s">
        <v>9</v>
      </c>
      <c r="I1449" s="30" t="s">
        <v>59</v>
      </c>
      <c r="J1449" s="22">
        <v>0.6</v>
      </c>
      <c r="K1449" s="22">
        <v>0.5</v>
      </c>
      <c r="L1449" s="8">
        <f t="shared" si="1907"/>
        <v>9.9999999999999978E-2</v>
      </c>
      <c r="M1449" s="24">
        <f t="shared" si="1842"/>
        <v>3.2786885245901639E-3</v>
      </c>
      <c r="N1449" s="14"/>
    </row>
    <row r="1450" spans="1:14" x14ac:dyDescent="0.25">
      <c r="A1450" s="20">
        <v>44586</v>
      </c>
      <c r="B1450" s="1">
        <f t="shared" ref="B1450" si="1918">B1442</f>
        <v>121</v>
      </c>
      <c r="C1450" s="1" t="s">
        <v>436</v>
      </c>
      <c r="D1450" s="1" t="s">
        <v>38</v>
      </c>
      <c r="E1450" s="26" t="e">
        <f t="shared" ref="E1450:F1450" si="1919">+E1449</f>
        <v>#REF!</v>
      </c>
      <c r="F1450" s="26" t="e">
        <f t="shared" si="1919"/>
        <v>#REF!</v>
      </c>
      <c r="G1450" s="17">
        <v>9</v>
      </c>
      <c r="H1450" s="17" t="s">
        <v>9</v>
      </c>
      <c r="I1450" s="30" t="s">
        <v>38</v>
      </c>
      <c r="J1450" s="22">
        <f>12.7+17.45+14.6+16.8</f>
        <v>61.55</v>
      </c>
      <c r="K1450" s="22">
        <f>8.3+8.55+8.3+8.3</f>
        <v>33.450000000000003</v>
      </c>
      <c r="L1450" s="8">
        <f t="shared" si="1907"/>
        <v>28.099999999999994</v>
      </c>
      <c r="M1450" s="24">
        <f t="shared" si="1842"/>
        <v>0.92131147540983604</v>
      </c>
      <c r="N1450" s="14"/>
    </row>
    <row r="1451" spans="1:14" x14ac:dyDescent="0.25">
      <c r="A1451" s="20">
        <v>44586</v>
      </c>
      <c r="B1451" s="1">
        <f t="shared" ref="B1451" si="1920">B1442</f>
        <v>121</v>
      </c>
      <c r="C1451" s="1" t="s">
        <v>436</v>
      </c>
      <c r="D1451" s="1" t="s">
        <v>38</v>
      </c>
      <c r="E1451" s="26" t="e">
        <f t="shared" ref="E1451:F1451" si="1921">+E1450</f>
        <v>#REF!</v>
      </c>
      <c r="F1451" s="26" t="e">
        <f t="shared" si="1921"/>
        <v>#REF!</v>
      </c>
      <c r="G1451" s="17">
        <v>10</v>
      </c>
      <c r="H1451" s="17" t="s">
        <v>9</v>
      </c>
      <c r="I1451" s="30" t="s">
        <v>23</v>
      </c>
      <c r="J1451" s="22">
        <v>0.9</v>
      </c>
      <c r="K1451" s="22">
        <v>0.5</v>
      </c>
      <c r="L1451" s="8">
        <f t="shared" si="1907"/>
        <v>0.4</v>
      </c>
      <c r="M1451" s="24">
        <f t="shared" si="1842"/>
        <v>1.3114754098360659E-2</v>
      </c>
      <c r="N1451" s="14"/>
    </row>
    <row r="1452" spans="1:14" x14ac:dyDescent="0.25">
      <c r="A1452" s="20">
        <v>44586</v>
      </c>
      <c r="B1452" s="1">
        <f t="shared" ref="B1452" si="1922">B1442</f>
        <v>121</v>
      </c>
      <c r="C1452" s="1" t="s">
        <v>436</v>
      </c>
      <c r="D1452" s="1" t="s">
        <v>38</v>
      </c>
      <c r="E1452" s="26" t="e">
        <f t="shared" ref="E1452:F1452" si="1923">+E1451</f>
        <v>#REF!</v>
      </c>
      <c r="F1452" s="26" t="e">
        <f t="shared" si="1923"/>
        <v>#REF!</v>
      </c>
      <c r="G1452" s="17">
        <v>11</v>
      </c>
      <c r="H1452" s="17" t="s">
        <v>9</v>
      </c>
      <c r="I1452" s="30" t="s">
        <v>60</v>
      </c>
      <c r="J1452" s="22">
        <v>0.9</v>
      </c>
      <c r="K1452" s="22">
        <v>0.55000000000000004</v>
      </c>
      <c r="L1452" s="8">
        <f t="shared" si="1907"/>
        <v>0.35</v>
      </c>
      <c r="M1452" s="24">
        <f t="shared" si="1842"/>
        <v>1.1475409836065575E-2</v>
      </c>
      <c r="N1452" s="14"/>
    </row>
    <row r="1453" spans="1:14" ht="15.75" thickBot="1" x14ac:dyDescent="0.3">
      <c r="A1453" s="20">
        <v>44586</v>
      </c>
      <c r="B1453" s="57">
        <f t="shared" ref="B1453" si="1924">B1442</f>
        <v>121</v>
      </c>
      <c r="C1453" s="1" t="s">
        <v>436</v>
      </c>
      <c r="D1453" s="1" t="s">
        <v>38</v>
      </c>
      <c r="E1453" s="26" t="e">
        <f t="shared" ref="E1453:F1453" si="1925">+E1452</f>
        <v>#REF!</v>
      </c>
      <c r="F1453" s="26" t="e">
        <f t="shared" si="1925"/>
        <v>#REF!</v>
      </c>
      <c r="G1453" s="18">
        <f>+G1452+1</f>
        <v>12</v>
      </c>
      <c r="H1453" s="18" t="s">
        <v>10</v>
      </c>
      <c r="I1453" s="46" t="s">
        <v>10</v>
      </c>
      <c r="J1453" s="22">
        <v>1.75</v>
      </c>
      <c r="K1453" s="63">
        <v>0.5</v>
      </c>
      <c r="L1453" s="8">
        <f t="shared" si="1907"/>
        <v>1.25</v>
      </c>
      <c r="M1453" s="24">
        <f t="shared" si="1842"/>
        <v>4.098360655737706E-2</v>
      </c>
      <c r="N1453" s="14"/>
    </row>
    <row r="1454" spans="1:14" x14ac:dyDescent="0.25">
      <c r="A1454" s="19">
        <v>44586</v>
      </c>
      <c r="B1454" s="15">
        <f t="shared" ref="B1454" si="1926">B1442+1</f>
        <v>122</v>
      </c>
      <c r="C1454" s="15" t="s">
        <v>437</v>
      </c>
      <c r="D1454" s="15" t="s">
        <v>38</v>
      </c>
      <c r="E1454" s="25">
        <f>33.4-1.2</f>
        <v>32.199999999999996</v>
      </c>
      <c r="F1454" s="25">
        <f>+SUM(L1454:L1465)</f>
        <v>32.430000000000007</v>
      </c>
      <c r="G1454" s="16">
        <v>1</v>
      </c>
      <c r="H1454" s="16" t="s">
        <v>9</v>
      </c>
      <c r="I1454" s="59" t="s">
        <v>56</v>
      </c>
      <c r="J1454" s="21">
        <v>0.05</v>
      </c>
      <c r="K1454" s="21">
        <v>0</v>
      </c>
      <c r="L1454" s="12">
        <f>+J1454-K1454</f>
        <v>0.05</v>
      </c>
      <c r="M1454" s="23">
        <f t="shared" si="1842"/>
        <v>1.5417823003391919E-3</v>
      </c>
      <c r="N1454" s="13"/>
    </row>
    <row r="1455" spans="1:14" x14ac:dyDescent="0.25">
      <c r="A1455" s="20">
        <v>44586</v>
      </c>
      <c r="B1455" s="1">
        <f t="shared" ref="B1455" si="1927">B1454</f>
        <v>122</v>
      </c>
      <c r="C1455" s="1" t="s">
        <v>437</v>
      </c>
      <c r="D1455" s="1" t="s">
        <v>38</v>
      </c>
      <c r="E1455" s="26">
        <f>+E1454</f>
        <v>32.199999999999996</v>
      </c>
      <c r="F1455" s="28">
        <f>+(F1454-E1454)/E1454</f>
        <v>7.1428571428574878E-3</v>
      </c>
      <c r="G1455" s="17">
        <v>2</v>
      </c>
      <c r="H1455" s="17" t="s">
        <v>9</v>
      </c>
      <c r="I1455" s="30" t="s">
        <v>57</v>
      </c>
      <c r="J1455" s="22">
        <v>0.6</v>
      </c>
      <c r="K1455" s="22">
        <v>0.55000000000000004</v>
      </c>
      <c r="L1455" s="8">
        <f t="shared" ref="L1455:L1465" si="1928">+J1455-K1455</f>
        <v>4.9999999999999933E-2</v>
      </c>
      <c r="M1455" s="24">
        <f t="shared" si="1842"/>
        <v>1.5417823003391897E-3</v>
      </c>
      <c r="N1455" s="14"/>
    </row>
    <row r="1456" spans="1:14" x14ac:dyDescent="0.25">
      <c r="A1456" s="20">
        <v>44586</v>
      </c>
      <c r="B1456" s="1">
        <f t="shared" ref="B1456" si="1929">B1454</f>
        <v>122</v>
      </c>
      <c r="C1456" s="1" t="s">
        <v>437</v>
      </c>
      <c r="D1456" s="1" t="s">
        <v>38</v>
      </c>
      <c r="E1456" s="26" t="e">
        <f>+#REF!</f>
        <v>#REF!</v>
      </c>
      <c r="F1456" s="26" t="e">
        <f>+#REF!</f>
        <v>#REF!</v>
      </c>
      <c r="G1456" s="17">
        <v>3</v>
      </c>
      <c r="H1456" s="17" t="s">
        <v>9</v>
      </c>
      <c r="I1456" s="30" t="s">
        <v>58</v>
      </c>
      <c r="J1456" s="22">
        <v>0.05</v>
      </c>
      <c r="K1456" s="22">
        <v>0</v>
      </c>
      <c r="L1456" s="8">
        <f t="shared" si="1928"/>
        <v>0.05</v>
      </c>
      <c r="M1456" s="24">
        <f t="shared" si="1842"/>
        <v>1.5417823003391919E-3</v>
      </c>
      <c r="N1456" s="14"/>
    </row>
    <row r="1457" spans="1:14" x14ac:dyDescent="0.25">
      <c r="A1457" s="20">
        <v>44586</v>
      </c>
      <c r="B1457" s="1">
        <f t="shared" ref="B1457" si="1930">B1454</f>
        <v>122</v>
      </c>
      <c r="C1457" s="1" t="s">
        <v>437</v>
      </c>
      <c r="D1457" s="1" t="s">
        <v>38</v>
      </c>
      <c r="E1457" s="26" t="e">
        <f t="shared" ref="E1457:F1457" si="1931">+E1456</f>
        <v>#REF!</v>
      </c>
      <c r="F1457" s="26" t="e">
        <f t="shared" si="1931"/>
        <v>#REF!</v>
      </c>
      <c r="G1457" s="17">
        <v>4</v>
      </c>
      <c r="H1457" s="17" t="s">
        <v>9</v>
      </c>
      <c r="I1457" s="30" t="s">
        <v>22</v>
      </c>
      <c r="J1457" s="22">
        <v>0.03</v>
      </c>
      <c r="K1457" s="22">
        <v>0</v>
      </c>
      <c r="L1457" s="8">
        <f t="shared" si="1928"/>
        <v>0.03</v>
      </c>
      <c r="M1457" s="24">
        <f t="shared" si="1842"/>
        <v>9.2506938020351498E-4</v>
      </c>
      <c r="N1457" s="14"/>
    </row>
    <row r="1458" spans="1:14" x14ac:dyDescent="0.25">
      <c r="A1458" s="20">
        <v>44586</v>
      </c>
      <c r="B1458" s="1">
        <f t="shared" ref="B1458" si="1932">B1454</f>
        <v>122</v>
      </c>
      <c r="C1458" s="1" t="s">
        <v>437</v>
      </c>
      <c r="D1458" s="1" t="s">
        <v>38</v>
      </c>
      <c r="E1458" s="26" t="e">
        <f t="shared" ref="E1458:F1458" si="1933">+E1457</f>
        <v>#REF!</v>
      </c>
      <c r="F1458" s="26" t="e">
        <f t="shared" si="1933"/>
        <v>#REF!</v>
      </c>
      <c r="G1458" s="17">
        <v>5</v>
      </c>
      <c r="H1458" s="17" t="s">
        <v>9</v>
      </c>
      <c r="I1458" s="30" t="s">
        <v>34</v>
      </c>
      <c r="J1458" s="22">
        <v>0.05</v>
      </c>
      <c r="K1458" s="63">
        <v>0</v>
      </c>
      <c r="L1458" s="8">
        <f t="shared" si="1928"/>
        <v>0.05</v>
      </c>
      <c r="M1458" s="24">
        <f t="shared" si="1842"/>
        <v>1.5417823003391919E-3</v>
      </c>
      <c r="N1458" s="14"/>
    </row>
    <row r="1459" spans="1:14" x14ac:dyDescent="0.25">
      <c r="A1459" s="20">
        <v>44586</v>
      </c>
      <c r="B1459" s="1">
        <f t="shared" ref="B1459" si="1934">B1454</f>
        <v>122</v>
      </c>
      <c r="C1459" s="1" t="s">
        <v>437</v>
      </c>
      <c r="D1459" s="1" t="s">
        <v>38</v>
      </c>
      <c r="E1459" s="26" t="e">
        <f t="shared" ref="E1459:F1459" si="1935">+E1458</f>
        <v>#REF!</v>
      </c>
      <c r="F1459" s="26" t="e">
        <f t="shared" si="1935"/>
        <v>#REF!</v>
      </c>
      <c r="G1459" s="17">
        <v>6</v>
      </c>
      <c r="H1459" s="17" t="s">
        <v>9</v>
      </c>
      <c r="I1459" s="30" t="s">
        <v>35</v>
      </c>
      <c r="J1459" s="22"/>
      <c r="K1459" s="22"/>
      <c r="L1459" s="8">
        <f t="shared" si="1928"/>
        <v>0</v>
      </c>
      <c r="M1459" s="24">
        <f t="shared" si="1842"/>
        <v>0</v>
      </c>
      <c r="N1459" s="14"/>
    </row>
    <row r="1460" spans="1:14" x14ac:dyDescent="0.25">
      <c r="A1460" s="20">
        <v>44586</v>
      </c>
      <c r="B1460" s="1">
        <f t="shared" ref="B1460" si="1936">B1454</f>
        <v>122</v>
      </c>
      <c r="C1460" s="1" t="s">
        <v>437</v>
      </c>
      <c r="D1460" s="1" t="s">
        <v>38</v>
      </c>
      <c r="E1460" s="26" t="e">
        <f t="shared" ref="E1460:F1460" si="1937">+E1459</f>
        <v>#REF!</v>
      </c>
      <c r="F1460" s="26" t="e">
        <f t="shared" si="1937"/>
        <v>#REF!</v>
      </c>
      <c r="G1460" s="17">
        <v>7</v>
      </c>
      <c r="H1460" s="17" t="s">
        <v>9</v>
      </c>
      <c r="I1460" s="30" t="s">
        <v>36</v>
      </c>
      <c r="J1460" s="22"/>
      <c r="K1460" s="22"/>
      <c r="L1460" s="8">
        <f t="shared" si="1928"/>
        <v>0</v>
      </c>
      <c r="M1460" s="24">
        <f t="shared" si="1842"/>
        <v>0</v>
      </c>
      <c r="N1460" s="14"/>
    </row>
    <row r="1461" spans="1:14" x14ac:dyDescent="0.25">
      <c r="A1461" s="20">
        <v>44586</v>
      </c>
      <c r="B1461" s="1">
        <f t="shared" ref="B1461" si="1938">B1454</f>
        <v>122</v>
      </c>
      <c r="C1461" s="1" t="s">
        <v>437</v>
      </c>
      <c r="D1461" s="1" t="s">
        <v>38</v>
      </c>
      <c r="E1461" s="26" t="e">
        <f>+E1460</f>
        <v>#REF!</v>
      </c>
      <c r="F1461" s="26" t="e">
        <f>+F1460</f>
        <v>#REF!</v>
      </c>
      <c r="G1461" s="17">
        <v>8</v>
      </c>
      <c r="H1461" s="17" t="s">
        <v>9</v>
      </c>
      <c r="I1461" s="30" t="s">
        <v>59</v>
      </c>
      <c r="J1461" s="22"/>
      <c r="K1461" s="22"/>
      <c r="L1461" s="8">
        <f t="shared" si="1928"/>
        <v>0</v>
      </c>
      <c r="M1461" s="24">
        <f t="shared" si="1842"/>
        <v>0</v>
      </c>
      <c r="N1461" s="14"/>
    </row>
    <row r="1462" spans="1:14" x14ac:dyDescent="0.25">
      <c r="A1462" s="20">
        <v>44586</v>
      </c>
      <c r="B1462" s="1">
        <f t="shared" ref="B1462" si="1939">B1454</f>
        <v>122</v>
      </c>
      <c r="C1462" s="1" t="s">
        <v>437</v>
      </c>
      <c r="D1462" s="1" t="s">
        <v>38</v>
      </c>
      <c r="E1462" s="26" t="e">
        <f t="shared" ref="E1462:F1462" si="1940">+E1461</f>
        <v>#REF!</v>
      </c>
      <c r="F1462" s="26" t="e">
        <f t="shared" si="1940"/>
        <v>#REF!</v>
      </c>
      <c r="G1462" s="17">
        <v>9</v>
      </c>
      <c r="H1462" s="17" t="s">
        <v>9</v>
      </c>
      <c r="I1462" s="30" t="s">
        <v>38</v>
      </c>
      <c r="J1462" s="22">
        <f>17.3+16.1+11.8+17.6</f>
        <v>62.800000000000004</v>
      </c>
      <c r="K1462" s="22">
        <f>8.55+8.3+8.3+8.55</f>
        <v>33.700000000000003</v>
      </c>
      <c r="L1462" s="8">
        <f t="shared" si="1928"/>
        <v>29.1</v>
      </c>
      <c r="M1462" s="24">
        <f t="shared" si="1842"/>
        <v>0.89731729879740962</v>
      </c>
      <c r="N1462" s="14"/>
    </row>
    <row r="1463" spans="1:14" x14ac:dyDescent="0.25">
      <c r="A1463" s="20">
        <v>44586</v>
      </c>
      <c r="B1463" s="1">
        <f t="shared" ref="B1463" si="1941">B1454</f>
        <v>122</v>
      </c>
      <c r="C1463" s="1" t="s">
        <v>437</v>
      </c>
      <c r="D1463" s="1" t="s">
        <v>38</v>
      </c>
      <c r="E1463" s="26" t="e">
        <f t="shared" ref="E1463:F1463" si="1942">+E1462</f>
        <v>#REF!</v>
      </c>
      <c r="F1463" s="26" t="e">
        <f t="shared" si="1942"/>
        <v>#REF!</v>
      </c>
      <c r="G1463" s="17">
        <v>10</v>
      </c>
      <c r="H1463" s="17" t="s">
        <v>9</v>
      </c>
      <c r="I1463" s="30" t="s">
        <v>23</v>
      </c>
      <c r="J1463" s="22">
        <f>1.05</f>
        <v>1.05</v>
      </c>
      <c r="K1463" s="22">
        <f>0.55</f>
        <v>0.55000000000000004</v>
      </c>
      <c r="L1463" s="8">
        <f t="shared" si="1928"/>
        <v>0.5</v>
      </c>
      <c r="M1463" s="24">
        <f t="shared" si="1842"/>
        <v>1.5417823003391918E-2</v>
      </c>
      <c r="N1463" s="14"/>
    </row>
    <row r="1464" spans="1:14" x14ac:dyDescent="0.25">
      <c r="A1464" s="20">
        <v>44586</v>
      </c>
      <c r="B1464" s="1">
        <f t="shared" ref="B1464" si="1943">B1454</f>
        <v>122</v>
      </c>
      <c r="C1464" s="1" t="s">
        <v>437</v>
      </c>
      <c r="D1464" s="1" t="s">
        <v>38</v>
      </c>
      <c r="E1464" s="26" t="e">
        <f t="shared" ref="E1464:F1464" si="1944">+E1463</f>
        <v>#REF!</v>
      </c>
      <c r="F1464" s="26" t="e">
        <f t="shared" si="1944"/>
        <v>#REF!</v>
      </c>
      <c r="G1464" s="17">
        <v>11</v>
      </c>
      <c r="H1464" s="17" t="s">
        <v>9</v>
      </c>
      <c r="I1464" s="30" t="s">
        <v>60</v>
      </c>
      <c r="J1464" s="22">
        <v>0.85</v>
      </c>
      <c r="K1464" s="22">
        <v>0.5</v>
      </c>
      <c r="L1464" s="8">
        <f t="shared" si="1928"/>
        <v>0.35</v>
      </c>
      <c r="M1464" s="24">
        <f t="shared" si="1842"/>
        <v>1.0792476102374342E-2</v>
      </c>
      <c r="N1464" s="14"/>
    </row>
    <row r="1465" spans="1:14" ht="15.75" thickBot="1" x14ac:dyDescent="0.3">
      <c r="A1465" s="20">
        <v>44586</v>
      </c>
      <c r="B1465" s="57">
        <f t="shared" ref="B1465" si="1945">B1454</f>
        <v>122</v>
      </c>
      <c r="C1465" s="1" t="s">
        <v>437</v>
      </c>
      <c r="D1465" s="1" t="s">
        <v>38</v>
      </c>
      <c r="E1465" s="26" t="e">
        <f t="shared" ref="E1465:F1465" si="1946">+E1464</f>
        <v>#REF!</v>
      </c>
      <c r="F1465" s="26" t="e">
        <f t="shared" si="1946"/>
        <v>#REF!</v>
      </c>
      <c r="G1465" s="18">
        <f>+G1464+1</f>
        <v>12</v>
      </c>
      <c r="H1465" s="18" t="s">
        <v>10</v>
      </c>
      <c r="I1465" s="46" t="s">
        <v>10</v>
      </c>
      <c r="J1465" s="22">
        <v>10.8</v>
      </c>
      <c r="K1465" s="63">
        <v>8.5500000000000007</v>
      </c>
      <c r="L1465" s="8">
        <f t="shared" si="1928"/>
        <v>2.25</v>
      </c>
      <c r="M1465" s="24">
        <f t="shared" si="1842"/>
        <v>6.9380203515263625E-2</v>
      </c>
      <c r="N1465" s="14" t="s">
        <v>438</v>
      </c>
    </row>
    <row r="1466" spans="1:14" x14ac:dyDescent="0.25">
      <c r="A1466" s="19">
        <v>44586</v>
      </c>
      <c r="B1466" s="15">
        <f t="shared" ref="B1466" si="1947">B1454+1</f>
        <v>123</v>
      </c>
      <c r="C1466" s="15" t="s">
        <v>439</v>
      </c>
      <c r="D1466" s="15" t="s">
        <v>38</v>
      </c>
      <c r="E1466" s="25">
        <f>26.9-1.2</f>
        <v>25.7</v>
      </c>
      <c r="F1466" s="25">
        <f>+SUM(L1466:L1477)</f>
        <v>26.099999999999998</v>
      </c>
      <c r="G1466" s="16">
        <v>1</v>
      </c>
      <c r="H1466" s="16" t="s">
        <v>9</v>
      </c>
      <c r="I1466" s="59" t="s">
        <v>56</v>
      </c>
      <c r="J1466" s="21"/>
      <c r="K1466" s="21"/>
      <c r="L1466" s="12">
        <f>+J1466-K1466</f>
        <v>0</v>
      </c>
      <c r="M1466" s="23">
        <f t="shared" si="1842"/>
        <v>0</v>
      </c>
      <c r="N1466" s="13"/>
    </row>
    <row r="1467" spans="1:14" x14ac:dyDescent="0.25">
      <c r="A1467" s="20">
        <v>44586</v>
      </c>
      <c r="B1467" s="1">
        <f t="shared" ref="B1467" si="1948">B1466</f>
        <v>123</v>
      </c>
      <c r="C1467" s="1" t="s">
        <v>439</v>
      </c>
      <c r="D1467" s="1" t="s">
        <v>38</v>
      </c>
      <c r="E1467" s="26">
        <f>+E1466</f>
        <v>25.7</v>
      </c>
      <c r="F1467" s="28">
        <f>+(F1466-E1466)/E1466</f>
        <v>1.5564202334630295E-2</v>
      </c>
      <c r="G1467" s="17">
        <v>2</v>
      </c>
      <c r="H1467" s="17" t="s">
        <v>9</v>
      </c>
      <c r="I1467" s="30" t="s">
        <v>57</v>
      </c>
      <c r="J1467" s="22"/>
      <c r="K1467" s="22"/>
      <c r="L1467" s="8">
        <f t="shared" ref="L1467:L1477" si="1949">+J1467-K1467</f>
        <v>0</v>
      </c>
      <c r="M1467" s="24">
        <f t="shared" si="1842"/>
        <v>0</v>
      </c>
      <c r="N1467" s="14"/>
    </row>
    <row r="1468" spans="1:14" x14ac:dyDescent="0.25">
      <c r="A1468" s="20">
        <v>44586</v>
      </c>
      <c r="B1468" s="1">
        <f t="shared" ref="B1468" si="1950">B1466</f>
        <v>123</v>
      </c>
      <c r="C1468" s="1" t="s">
        <v>439</v>
      </c>
      <c r="D1468" s="1" t="s">
        <v>38</v>
      </c>
      <c r="E1468" s="26" t="e">
        <f>+#REF!</f>
        <v>#REF!</v>
      </c>
      <c r="F1468" s="26" t="e">
        <f>+#REF!</f>
        <v>#REF!</v>
      </c>
      <c r="G1468" s="17">
        <v>3</v>
      </c>
      <c r="H1468" s="17" t="s">
        <v>9</v>
      </c>
      <c r="I1468" s="30" t="s">
        <v>58</v>
      </c>
      <c r="J1468" s="22">
        <v>0.65</v>
      </c>
      <c r="K1468" s="22">
        <v>0.5</v>
      </c>
      <c r="L1468" s="8">
        <f t="shared" si="1949"/>
        <v>0.15000000000000002</v>
      </c>
      <c r="M1468" s="24">
        <f t="shared" si="1842"/>
        <v>5.7471264367816109E-3</v>
      </c>
      <c r="N1468" s="14"/>
    </row>
    <row r="1469" spans="1:14" x14ac:dyDescent="0.25">
      <c r="A1469" s="20">
        <v>44586</v>
      </c>
      <c r="B1469" s="1">
        <f t="shared" ref="B1469" si="1951">B1466</f>
        <v>123</v>
      </c>
      <c r="C1469" s="1" t="s">
        <v>439</v>
      </c>
      <c r="D1469" s="1" t="s">
        <v>38</v>
      </c>
      <c r="E1469" s="26" t="e">
        <f t="shared" ref="E1469:F1469" si="1952">+E1468</f>
        <v>#REF!</v>
      </c>
      <c r="F1469" s="26" t="e">
        <f t="shared" si="1952"/>
        <v>#REF!</v>
      </c>
      <c r="G1469" s="17">
        <v>4</v>
      </c>
      <c r="H1469" s="17" t="s">
        <v>9</v>
      </c>
      <c r="I1469" s="30" t="s">
        <v>22</v>
      </c>
      <c r="J1469" s="22">
        <v>0.6</v>
      </c>
      <c r="K1469" s="22">
        <v>0.55000000000000004</v>
      </c>
      <c r="L1469" s="8">
        <f t="shared" si="1949"/>
        <v>4.9999999999999933E-2</v>
      </c>
      <c r="M1469" s="24">
        <f t="shared" si="1842"/>
        <v>1.9157088122605339E-3</v>
      </c>
      <c r="N1469" s="14"/>
    </row>
    <row r="1470" spans="1:14" x14ac:dyDescent="0.25">
      <c r="A1470" s="20">
        <v>44586</v>
      </c>
      <c r="B1470" s="1">
        <f t="shared" ref="B1470" si="1953">B1466</f>
        <v>123</v>
      </c>
      <c r="C1470" s="1" t="s">
        <v>439</v>
      </c>
      <c r="D1470" s="1" t="s">
        <v>38</v>
      </c>
      <c r="E1470" s="26" t="e">
        <f t="shared" ref="E1470:F1470" si="1954">+E1469</f>
        <v>#REF!</v>
      </c>
      <c r="F1470" s="26" t="e">
        <f t="shared" si="1954"/>
        <v>#REF!</v>
      </c>
      <c r="G1470" s="17">
        <v>5</v>
      </c>
      <c r="H1470" s="17" t="s">
        <v>9</v>
      </c>
      <c r="I1470" s="30" t="s">
        <v>34</v>
      </c>
      <c r="J1470" s="22">
        <v>0.05</v>
      </c>
      <c r="K1470" s="63">
        <v>0</v>
      </c>
      <c r="L1470" s="8">
        <f t="shared" si="1949"/>
        <v>0.05</v>
      </c>
      <c r="M1470" s="24">
        <f t="shared" ref="M1470:M1533" si="1955">+L1470/SUMIF(C:C,C1470,L:L)</f>
        <v>1.9157088122605367E-3</v>
      </c>
      <c r="N1470" s="14"/>
    </row>
    <row r="1471" spans="1:14" x14ac:dyDescent="0.25">
      <c r="A1471" s="20">
        <v>44586</v>
      </c>
      <c r="B1471" s="1">
        <f t="shared" ref="B1471" si="1956">B1466</f>
        <v>123</v>
      </c>
      <c r="C1471" s="1" t="s">
        <v>439</v>
      </c>
      <c r="D1471" s="1" t="s">
        <v>38</v>
      </c>
      <c r="E1471" s="26" t="e">
        <f t="shared" ref="E1471:F1471" si="1957">+E1470</f>
        <v>#REF!</v>
      </c>
      <c r="F1471" s="26" t="e">
        <f t="shared" si="1957"/>
        <v>#REF!</v>
      </c>
      <c r="G1471" s="17">
        <v>6</v>
      </c>
      <c r="H1471" s="17" t="s">
        <v>9</v>
      </c>
      <c r="I1471" s="30" t="s">
        <v>35</v>
      </c>
      <c r="J1471" s="22"/>
      <c r="K1471" s="22"/>
      <c r="L1471" s="8">
        <f t="shared" si="1949"/>
        <v>0</v>
      </c>
      <c r="M1471" s="24">
        <f t="shared" si="1955"/>
        <v>0</v>
      </c>
      <c r="N1471" s="14"/>
    </row>
    <row r="1472" spans="1:14" x14ac:dyDescent="0.25">
      <c r="A1472" s="20">
        <v>44586</v>
      </c>
      <c r="B1472" s="1">
        <f t="shared" ref="B1472" si="1958">B1466</f>
        <v>123</v>
      </c>
      <c r="C1472" s="1" t="s">
        <v>439</v>
      </c>
      <c r="D1472" s="1" t="s">
        <v>38</v>
      </c>
      <c r="E1472" s="26" t="e">
        <f t="shared" ref="E1472:F1472" si="1959">+E1471</f>
        <v>#REF!</v>
      </c>
      <c r="F1472" s="26" t="e">
        <f t="shared" si="1959"/>
        <v>#REF!</v>
      </c>
      <c r="G1472" s="17">
        <v>7</v>
      </c>
      <c r="H1472" s="17" t="s">
        <v>9</v>
      </c>
      <c r="I1472" s="30" t="s">
        <v>36</v>
      </c>
      <c r="J1472" s="22"/>
      <c r="K1472" s="22"/>
      <c r="L1472" s="8">
        <f t="shared" si="1949"/>
        <v>0</v>
      </c>
      <c r="M1472" s="24">
        <f t="shared" si="1955"/>
        <v>0</v>
      </c>
      <c r="N1472" s="14"/>
    </row>
    <row r="1473" spans="1:14" x14ac:dyDescent="0.25">
      <c r="A1473" s="20">
        <v>44586</v>
      </c>
      <c r="B1473" s="1">
        <f t="shared" ref="B1473" si="1960">B1466</f>
        <v>123</v>
      </c>
      <c r="C1473" s="1" t="s">
        <v>439</v>
      </c>
      <c r="D1473" s="1" t="s">
        <v>38</v>
      </c>
      <c r="E1473" s="26" t="e">
        <f>+E1472</f>
        <v>#REF!</v>
      </c>
      <c r="F1473" s="26" t="e">
        <f>+F1472</f>
        <v>#REF!</v>
      </c>
      <c r="G1473" s="17">
        <v>8</v>
      </c>
      <c r="H1473" s="17" t="s">
        <v>9</v>
      </c>
      <c r="I1473" s="30" t="s">
        <v>59</v>
      </c>
      <c r="J1473" s="22"/>
      <c r="K1473" s="22"/>
      <c r="L1473" s="8">
        <f t="shared" si="1949"/>
        <v>0</v>
      </c>
      <c r="M1473" s="24">
        <f t="shared" si="1955"/>
        <v>0</v>
      </c>
      <c r="N1473" s="14"/>
    </row>
    <row r="1474" spans="1:14" x14ac:dyDescent="0.25">
      <c r="A1474" s="20">
        <v>44586</v>
      </c>
      <c r="B1474" s="1">
        <f t="shared" ref="B1474" si="1961">B1466</f>
        <v>123</v>
      </c>
      <c r="C1474" s="1" t="s">
        <v>439</v>
      </c>
      <c r="D1474" s="1" t="s">
        <v>38</v>
      </c>
      <c r="E1474" s="26" t="e">
        <f t="shared" ref="E1474:F1474" si="1962">+E1473</f>
        <v>#REF!</v>
      </c>
      <c r="F1474" s="26" t="e">
        <f t="shared" si="1962"/>
        <v>#REF!</v>
      </c>
      <c r="G1474" s="17">
        <v>9</v>
      </c>
      <c r="H1474" s="17" t="s">
        <v>9</v>
      </c>
      <c r="I1474" s="30" t="s">
        <v>38</v>
      </c>
      <c r="J1474" s="22">
        <f>17.75+12.9+11.75+15</f>
        <v>57.4</v>
      </c>
      <c r="K1474" s="22">
        <f>8.55+8.3+8.55+8.55</f>
        <v>33.950000000000003</v>
      </c>
      <c r="L1474" s="8">
        <f t="shared" si="1949"/>
        <v>23.449999999999996</v>
      </c>
      <c r="M1474" s="24">
        <f t="shared" si="1955"/>
        <v>0.89846743295019149</v>
      </c>
      <c r="N1474" s="14"/>
    </row>
    <row r="1475" spans="1:14" x14ac:dyDescent="0.25">
      <c r="A1475" s="20">
        <v>44586</v>
      </c>
      <c r="B1475" s="1">
        <f t="shared" ref="B1475" si="1963">B1466</f>
        <v>123</v>
      </c>
      <c r="C1475" s="1" t="s">
        <v>439</v>
      </c>
      <c r="D1475" s="1" t="s">
        <v>38</v>
      </c>
      <c r="E1475" s="26" t="e">
        <f t="shared" ref="E1475:F1475" si="1964">+E1474</f>
        <v>#REF!</v>
      </c>
      <c r="F1475" s="26" t="e">
        <f t="shared" si="1964"/>
        <v>#REF!</v>
      </c>
      <c r="G1475" s="17">
        <v>10</v>
      </c>
      <c r="H1475" s="17" t="s">
        <v>9</v>
      </c>
      <c r="I1475" s="30" t="s">
        <v>23</v>
      </c>
      <c r="J1475" s="22">
        <v>0.1</v>
      </c>
      <c r="K1475" s="22">
        <v>0</v>
      </c>
      <c r="L1475" s="8">
        <f t="shared" si="1949"/>
        <v>0.1</v>
      </c>
      <c r="M1475" s="24">
        <f t="shared" si="1955"/>
        <v>3.8314176245210735E-3</v>
      </c>
      <c r="N1475" s="14"/>
    </row>
    <row r="1476" spans="1:14" x14ac:dyDescent="0.25">
      <c r="A1476" s="20">
        <v>44586</v>
      </c>
      <c r="B1476" s="1">
        <f t="shared" ref="B1476" si="1965">B1466</f>
        <v>123</v>
      </c>
      <c r="C1476" s="1" t="s">
        <v>439</v>
      </c>
      <c r="D1476" s="1" t="s">
        <v>38</v>
      </c>
      <c r="E1476" s="26" t="e">
        <f t="shared" ref="E1476:F1476" si="1966">+E1475</f>
        <v>#REF!</v>
      </c>
      <c r="F1476" s="26" t="e">
        <f t="shared" si="1966"/>
        <v>#REF!</v>
      </c>
      <c r="G1476" s="17">
        <v>11</v>
      </c>
      <c r="H1476" s="17" t="s">
        <v>9</v>
      </c>
      <c r="I1476" s="30" t="s">
        <v>60</v>
      </c>
      <c r="J1476" s="22">
        <v>0.85</v>
      </c>
      <c r="K1476" s="22">
        <v>0.55000000000000004</v>
      </c>
      <c r="L1476" s="8">
        <f t="shared" si="1949"/>
        <v>0.29999999999999993</v>
      </c>
      <c r="M1476" s="24">
        <f t="shared" si="1955"/>
        <v>1.1494252873563216E-2</v>
      </c>
      <c r="N1476" s="14"/>
    </row>
    <row r="1477" spans="1:14" ht="15.75" thickBot="1" x14ac:dyDescent="0.3">
      <c r="A1477" s="20">
        <v>44586</v>
      </c>
      <c r="B1477" s="57">
        <f t="shared" ref="B1477" si="1967">B1466</f>
        <v>123</v>
      </c>
      <c r="C1477" s="1" t="s">
        <v>439</v>
      </c>
      <c r="D1477" s="1" t="s">
        <v>38</v>
      </c>
      <c r="E1477" s="26" t="e">
        <f t="shared" ref="E1477:F1477" si="1968">+E1476</f>
        <v>#REF!</v>
      </c>
      <c r="F1477" s="26" t="e">
        <f t="shared" si="1968"/>
        <v>#REF!</v>
      </c>
      <c r="G1477" s="18">
        <f>+G1476+1</f>
        <v>12</v>
      </c>
      <c r="H1477" s="18" t="s">
        <v>10</v>
      </c>
      <c r="I1477" s="46" t="s">
        <v>10</v>
      </c>
      <c r="J1477" s="22">
        <v>2.5499999999999998</v>
      </c>
      <c r="K1477" s="63">
        <v>0.55000000000000004</v>
      </c>
      <c r="L1477" s="8">
        <f t="shared" si="1949"/>
        <v>1.9999999999999998</v>
      </c>
      <c r="M1477" s="24">
        <f t="shared" si="1955"/>
        <v>7.662835249042145E-2</v>
      </c>
      <c r="N1477" s="14"/>
    </row>
    <row r="1478" spans="1:14" x14ac:dyDescent="0.25">
      <c r="A1478" s="19">
        <v>44586</v>
      </c>
      <c r="B1478" s="15">
        <f t="shared" ref="B1478" si="1969">B1466+1</f>
        <v>124</v>
      </c>
      <c r="C1478" s="1" t="s">
        <v>440</v>
      </c>
      <c r="D1478" s="15" t="s">
        <v>22</v>
      </c>
      <c r="E1478" s="25">
        <f>28-1.2</f>
        <v>26.8</v>
      </c>
      <c r="F1478" s="25">
        <f>+SUM(L1478:L1489)</f>
        <v>27.049999999999997</v>
      </c>
      <c r="G1478" s="16">
        <v>1</v>
      </c>
      <c r="H1478" s="16" t="s">
        <v>9</v>
      </c>
      <c r="I1478" s="59" t="s">
        <v>56</v>
      </c>
      <c r="J1478" s="21"/>
      <c r="K1478" s="21"/>
      <c r="L1478" s="12">
        <f>+J1478-K1478</f>
        <v>0</v>
      </c>
      <c r="M1478" s="23">
        <f t="shared" si="1955"/>
        <v>0</v>
      </c>
      <c r="N1478" s="13"/>
    </row>
    <row r="1479" spans="1:14" x14ac:dyDescent="0.25">
      <c r="A1479" s="20">
        <v>44586</v>
      </c>
      <c r="B1479" s="1">
        <f t="shared" ref="B1479" si="1970">B1478</f>
        <v>124</v>
      </c>
      <c r="C1479" s="1" t="s">
        <v>440</v>
      </c>
      <c r="D1479" s="1" t="s">
        <v>22</v>
      </c>
      <c r="E1479" s="26">
        <f>+E1478</f>
        <v>26.8</v>
      </c>
      <c r="F1479" s="28">
        <f>+(F1478-E1478)/E1478</f>
        <v>9.3283582089550912E-3</v>
      </c>
      <c r="G1479" s="17">
        <v>2</v>
      </c>
      <c r="H1479" s="17" t="s">
        <v>9</v>
      </c>
      <c r="I1479" s="30" t="s">
        <v>57</v>
      </c>
      <c r="J1479" s="22">
        <v>0.6</v>
      </c>
      <c r="K1479" s="22">
        <v>0.55000000000000004</v>
      </c>
      <c r="L1479" s="8">
        <f t="shared" ref="L1479:L1489" si="1971">+J1479-K1479</f>
        <v>4.9999999999999933E-2</v>
      </c>
      <c r="M1479" s="24">
        <f t="shared" si="1955"/>
        <v>1.8484288354898314E-3</v>
      </c>
      <c r="N1479" s="14"/>
    </row>
    <row r="1480" spans="1:14" x14ac:dyDescent="0.25">
      <c r="A1480" s="20">
        <v>44586</v>
      </c>
      <c r="B1480" s="1">
        <f t="shared" ref="B1480" si="1972">B1478</f>
        <v>124</v>
      </c>
      <c r="C1480" s="1" t="s">
        <v>440</v>
      </c>
      <c r="D1480" s="1" t="s">
        <v>22</v>
      </c>
      <c r="E1480" s="26" t="e">
        <f>+#REF!</f>
        <v>#REF!</v>
      </c>
      <c r="F1480" s="26" t="e">
        <f>+#REF!</f>
        <v>#REF!</v>
      </c>
      <c r="G1480" s="17">
        <v>3</v>
      </c>
      <c r="H1480" s="17" t="s">
        <v>9</v>
      </c>
      <c r="I1480" s="30" t="s">
        <v>58</v>
      </c>
      <c r="J1480" s="22">
        <v>0.8</v>
      </c>
      <c r="K1480" s="22">
        <v>0.55000000000000004</v>
      </c>
      <c r="L1480" s="8">
        <f t="shared" si="1971"/>
        <v>0.25</v>
      </c>
      <c r="M1480" s="24">
        <f t="shared" si="1955"/>
        <v>9.242144177449169E-3</v>
      </c>
      <c r="N1480" s="14"/>
    </row>
    <row r="1481" spans="1:14" x14ac:dyDescent="0.25">
      <c r="A1481" s="20">
        <v>44586</v>
      </c>
      <c r="B1481" s="1">
        <f t="shared" ref="B1481" si="1973">B1478</f>
        <v>124</v>
      </c>
      <c r="C1481" s="1" t="s">
        <v>440</v>
      </c>
      <c r="D1481" s="1" t="s">
        <v>22</v>
      </c>
      <c r="E1481" s="26" t="e">
        <f t="shared" ref="E1481:F1481" si="1974">+E1480</f>
        <v>#REF!</v>
      </c>
      <c r="F1481" s="26" t="e">
        <f t="shared" si="1974"/>
        <v>#REF!</v>
      </c>
      <c r="G1481" s="17">
        <v>4</v>
      </c>
      <c r="H1481" s="17" t="s">
        <v>9</v>
      </c>
      <c r="I1481" s="30" t="s">
        <v>22</v>
      </c>
      <c r="J1481" s="22">
        <f>16.8+14.85+14.5+12.35</f>
        <v>58.5</v>
      </c>
      <c r="K1481" s="22">
        <f>8.55+8.55+8.3+8.55</f>
        <v>33.950000000000003</v>
      </c>
      <c r="L1481" s="8">
        <f t="shared" si="1971"/>
        <v>24.549999999999997</v>
      </c>
      <c r="M1481" s="24">
        <f t="shared" si="1955"/>
        <v>0.90757855822550826</v>
      </c>
      <c r="N1481" s="14"/>
    </row>
    <row r="1482" spans="1:14" x14ac:dyDescent="0.25">
      <c r="A1482" s="20">
        <v>44586</v>
      </c>
      <c r="B1482" s="1">
        <f t="shared" ref="B1482" si="1975">B1478</f>
        <v>124</v>
      </c>
      <c r="C1482" s="1" t="s">
        <v>440</v>
      </c>
      <c r="D1482" s="1" t="s">
        <v>22</v>
      </c>
      <c r="E1482" s="26" t="e">
        <f t="shared" ref="E1482:F1482" si="1976">+E1481</f>
        <v>#REF!</v>
      </c>
      <c r="F1482" s="26" t="e">
        <f t="shared" si="1976"/>
        <v>#REF!</v>
      </c>
      <c r="G1482" s="17">
        <v>5</v>
      </c>
      <c r="H1482" s="17" t="s">
        <v>9</v>
      </c>
      <c r="I1482" s="30" t="s">
        <v>34</v>
      </c>
      <c r="J1482" s="22"/>
      <c r="K1482" s="63"/>
      <c r="L1482" s="8">
        <f t="shared" si="1971"/>
        <v>0</v>
      </c>
      <c r="M1482" s="24">
        <f t="shared" si="1955"/>
        <v>0</v>
      </c>
      <c r="N1482" s="14"/>
    </row>
    <row r="1483" spans="1:14" x14ac:dyDescent="0.25">
      <c r="A1483" s="20">
        <v>44586</v>
      </c>
      <c r="B1483" s="1">
        <f t="shared" ref="B1483" si="1977">B1478</f>
        <v>124</v>
      </c>
      <c r="C1483" s="1" t="s">
        <v>440</v>
      </c>
      <c r="D1483" s="1" t="s">
        <v>22</v>
      </c>
      <c r="E1483" s="26" t="e">
        <f t="shared" ref="E1483:F1483" si="1978">+E1482</f>
        <v>#REF!</v>
      </c>
      <c r="F1483" s="26" t="e">
        <f t="shared" si="1978"/>
        <v>#REF!</v>
      </c>
      <c r="G1483" s="17">
        <v>6</v>
      </c>
      <c r="H1483" s="17" t="s">
        <v>9</v>
      </c>
      <c r="I1483" s="30" t="s">
        <v>35</v>
      </c>
      <c r="J1483" s="22"/>
      <c r="K1483" s="22"/>
      <c r="L1483" s="8">
        <f t="shared" si="1971"/>
        <v>0</v>
      </c>
      <c r="M1483" s="24">
        <f t="shared" si="1955"/>
        <v>0</v>
      </c>
      <c r="N1483" s="14"/>
    </row>
    <row r="1484" spans="1:14" x14ac:dyDescent="0.25">
      <c r="A1484" s="20">
        <v>44586</v>
      </c>
      <c r="B1484" s="1">
        <f t="shared" ref="B1484" si="1979">B1478</f>
        <v>124</v>
      </c>
      <c r="C1484" s="1" t="s">
        <v>440</v>
      </c>
      <c r="D1484" s="1" t="s">
        <v>22</v>
      </c>
      <c r="E1484" s="26" t="e">
        <f t="shared" ref="E1484:F1484" si="1980">+E1483</f>
        <v>#REF!</v>
      </c>
      <c r="F1484" s="26" t="e">
        <f t="shared" si="1980"/>
        <v>#REF!</v>
      </c>
      <c r="G1484" s="17">
        <v>7</v>
      </c>
      <c r="H1484" s="17" t="s">
        <v>9</v>
      </c>
      <c r="I1484" s="30" t="s">
        <v>36</v>
      </c>
      <c r="J1484" s="22"/>
      <c r="K1484" s="22"/>
      <c r="L1484" s="8">
        <f t="shared" si="1971"/>
        <v>0</v>
      </c>
      <c r="M1484" s="24">
        <f t="shared" si="1955"/>
        <v>0</v>
      </c>
      <c r="N1484" s="14"/>
    </row>
    <row r="1485" spans="1:14" x14ac:dyDescent="0.25">
      <c r="A1485" s="20">
        <v>44586</v>
      </c>
      <c r="B1485" s="1">
        <f t="shared" ref="B1485" si="1981">B1478</f>
        <v>124</v>
      </c>
      <c r="C1485" s="1" t="s">
        <v>440</v>
      </c>
      <c r="D1485" s="1" t="s">
        <v>22</v>
      </c>
      <c r="E1485" s="26" t="e">
        <f>+E1484</f>
        <v>#REF!</v>
      </c>
      <c r="F1485" s="26" t="e">
        <f>+F1484</f>
        <v>#REF!</v>
      </c>
      <c r="G1485" s="17">
        <v>8</v>
      </c>
      <c r="H1485" s="17" t="s">
        <v>9</v>
      </c>
      <c r="I1485" s="30" t="s">
        <v>59</v>
      </c>
      <c r="J1485" s="22">
        <v>0.7</v>
      </c>
      <c r="K1485" s="22">
        <v>0.5</v>
      </c>
      <c r="L1485" s="8">
        <f t="shared" si="1971"/>
        <v>0.19999999999999996</v>
      </c>
      <c r="M1485" s="24">
        <f t="shared" si="1955"/>
        <v>7.3937153419593336E-3</v>
      </c>
      <c r="N1485" s="14"/>
    </row>
    <row r="1486" spans="1:14" x14ac:dyDescent="0.25">
      <c r="A1486" s="20">
        <v>44586</v>
      </c>
      <c r="B1486" s="1">
        <f t="shared" ref="B1486" si="1982">B1478</f>
        <v>124</v>
      </c>
      <c r="C1486" s="1" t="s">
        <v>440</v>
      </c>
      <c r="D1486" s="1" t="s">
        <v>22</v>
      </c>
      <c r="E1486" s="26" t="e">
        <f t="shared" ref="E1486:F1486" si="1983">+E1485</f>
        <v>#REF!</v>
      </c>
      <c r="F1486" s="26" t="e">
        <f t="shared" si="1983"/>
        <v>#REF!</v>
      </c>
      <c r="G1486" s="17">
        <v>9</v>
      </c>
      <c r="H1486" s="17" t="s">
        <v>9</v>
      </c>
      <c r="I1486" s="30" t="s">
        <v>38</v>
      </c>
      <c r="J1486" s="22"/>
      <c r="K1486" s="22"/>
      <c r="L1486" s="8">
        <f t="shared" si="1971"/>
        <v>0</v>
      </c>
      <c r="M1486" s="24">
        <f t="shared" si="1955"/>
        <v>0</v>
      </c>
      <c r="N1486" s="14"/>
    </row>
    <row r="1487" spans="1:14" x14ac:dyDescent="0.25">
      <c r="A1487" s="20">
        <v>44586</v>
      </c>
      <c r="B1487" s="1">
        <f t="shared" ref="B1487" si="1984">B1478</f>
        <v>124</v>
      </c>
      <c r="C1487" s="1" t="s">
        <v>440</v>
      </c>
      <c r="D1487" s="1" t="s">
        <v>22</v>
      </c>
      <c r="E1487" s="26" t="e">
        <f t="shared" ref="E1487:F1487" si="1985">+E1486</f>
        <v>#REF!</v>
      </c>
      <c r="F1487" s="26" t="e">
        <f t="shared" si="1985"/>
        <v>#REF!</v>
      </c>
      <c r="G1487" s="17">
        <v>10</v>
      </c>
      <c r="H1487" s="17" t="s">
        <v>9</v>
      </c>
      <c r="I1487" s="30" t="s">
        <v>23</v>
      </c>
      <c r="J1487" s="22">
        <v>1.7</v>
      </c>
      <c r="K1487" s="22">
        <v>0.55000000000000004</v>
      </c>
      <c r="L1487" s="8">
        <f t="shared" si="1971"/>
        <v>1.1499999999999999</v>
      </c>
      <c r="M1487" s="24">
        <f t="shared" si="1955"/>
        <v>4.2513863216266178E-2</v>
      </c>
      <c r="N1487" s="14"/>
    </row>
    <row r="1488" spans="1:14" x14ac:dyDescent="0.25">
      <c r="A1488" s="20">
        <v>44586</v>
      </c>
      <c r="B1488" s="1">
        <f t="shared" ref="B1488" si="1986">B1478</f>
        <v>124</v>
      </c>
      <c r="C1488" s="1" t="s">
        <v>440</v>
      </c>
      <c r="D1488" s="1" t="s">
        <v>22</v>
      </c>
      <c r="E1488" s="26" t="e">
        <f t="shared" ref="E1488:F1488" si="1987">+E1487</f>
        <v>#REF!</v>
      </c>
      <c r="F1488" s="26" t="e">
        <f t="shared" si="1987"/>
        <v>#REF!</v>
      </c>
      <c r="G1488" s="17">
        <v>11</v>
      </c>
      <c r="H1488" s="17" t="s">
        <v>9</v>
      </c>
      <c r="I1488" s="30" t="s">
        <v>60</v>
      </c>
      <c r="J1488" s="22"/>
      <c r="K1488" s="22"/>
      <c r="L1488" s="8">
        <f t="shared" si="1971"/>
        <v>0</v>
      </c>
      <c r="M1488" s="24">
        <f t="shared" si="1955"/>
        <v>0</v>
      </c>
      <c r="N1488" s="14"/>
    </row>
    <row r="1489" spans="1:14" ht="15.75" thickBot="1" x14ac:dyDescent="0.3">
      <c r="A1489" s="20">
        <v>44586</v>
      </c>
      <c r="B1489" s="57">
        <f t="shared" ref="B1489" si="1988">B1478</f>
        <v>124</v>
      </c>
      <c r="C1489" s="1" t="s">
        <v>440</v>
      </c>
      <c r="D1489" s="1" t="s">
        <v>22</v>
      </c>
      <c r="E1489" s="26" t="e">
        <f t="shared" ref="E1489:F1489" si="1989">+E1488</f>
        <v>#REF!</v>
      </c>
      <c r="F1489" s="26" t="e">
        <f t="shared" si="1989"/>
        <v>#REF!</v>
      </c>
      <c r="G1489" s="18">
        <f>+G1488+1</f>
        <v>12</v>
      </c>
      <c r="H1489" s="18" t="s">
        <v>10</v>
      </c>
      <c r="I1489" s="46" t="s">
        <v>10</v>
      </c>
      <c r="J1489" s="22">
        <v>9.15</v>
      </c>
      <c r="K1489" s="63">
        <v>8.3000000000000007</v>
      </c>
      <c r="L1489" s="8">
        <f t="shared" si="1971"/>
        <v>0.84999999999999964</v>
      </c>
      <c r="M1489" s="24">
        <f t="shared" si="1955"/>
        <v>3.142329020332716E-2</v>
      </c>
      <c r="N1489" s="14"/>
    </row>
    <row r="1490" spans="1:14" x14ac:dyDescent="0.25">
      <c r="A1490" s="19">
        <v>44586</v>
      </c>
      <c r="B1490" s="15">
        <f t="shared" ref="B1490" si="1990">B1478+1</f>
        <v>125</v>
      </c>
      <c r="C1490" s="15" t="s">
        <v>441</v>
      </c>
      <c r="D1490" s="15" t="s">
        <v>22</v>
      </c>
      <c r="E1490" s="25">
        <f>38.8-1.2</f>
        <v>37.599999999999994</v>
      </c>
      <c r="F1490" s="25">
        <f>+SUM(L1490:L1501)</f>
        <v>37.650000000000006</v>
      </c>
      <c r="G1490" s="16">
        <v>1</v>
      </c>
      <c r="H1490" s="16" t="s">
        <v>9</v>
      </c>
      <c r="I1490" s="59" t="s">
        <v>56</v>
      </c>
      <c r="J1490" s="21"/>
      <c r="K1490" s="21"/>
      <c r="L1490" s="12">
        <f>+J1490-K1490</f>
        <v>0</v>
      </c>
      <c r="M1490" s="23">
        <f t="shared" si="1955"/>
        <v>0</v>
      </c>
      <c r="N1490" s="13"/>
    </row>
    <row r="1491" spans="1:14" x14ac:dyDescent="0.25">
      <c r="A1491" s="20">
        <v>44586</v>
      </c>
      <c r="B1491" s="1">
        <f t="shared" ref="B1491" si="1991">B1490</f>
        <v>125</v>
      </c>
      <c r="C1491" s="1" t="s">
        <v>441</v>
      </c>
      <c r="D1491" s="1" t="s">
        <v>22</v>
      </c>
      <c r="E1491" s="26">
        <f>+E1490</f>
        <v>37.599999999999994</v>
      </c>
      <c r="F1491" s="28">
        <f>+(F1490-E1490)/E1490</f>
        <v>1.3297872340428557E-3</v>
      </c>
      <c r="G1491" s="17">
        <v>2</v>
      </c>
      <c r="H1491" s="17" t="s">
        <v>9</v>
      </c>
      <c r="I1491" s="30" t="s">
        <v>57</v>
      </c>
      <c r="J1491" s="22">
        <v>0.8</v>
      </c>
      <c r="K1491" s="22">
        <v>0.55000000000000004</v>
      </c>
      <c r="L1491" s="8">
        <f t="shared" ref="L1491:L1501" si="1992">+J1491-K1491</f>
        <v>0.25</v>
      </c>
      <c r="M1491" s="24">
        <f t="shared" si="1955"/>
        <v>6.6401062416998665E-3</v>
      </c>
      <c r="N1491" s="14"/>
    </row>
    <row r="1492" spans="1:14" x14ac:dyDescent="0.25">
      <c r="A1492" s="20">
        <v>44586</v>
      </c>
      <c r="B1492" s="1">
        <f t="shared" ref="B1492" si="1993">B1490</f>
        <v>125</v>
      </c>
      <c r="C1492" s="1" t="s">
        <v>441</v>
      </c>
      <c r="D1492" s="1" t="s">
        <v>22</v>
      </c>
      <c r="E1492" s="26" t="e">
        <f>+#REF!</f>
        <v>#REF!</v>
      </c>
      <c r="F1492" s="26" t="e">
        <f>+#REF!</f>
        <v>#REF!</v>
      </c>
      <c r="G1492" s="17">
        <v>3</v>
      </c>
      <c r="H1492" s="17" t="s">
        <v>9</v>
      </c>
      <c r="I1492" s="30" t="s">
        <v>58</v>
      </c>
      <c r="J1492" s="22">
        <v>1.05</v>
      </c>
      <c r="K1492" s="22">
        <v>0.55000000000000004</v>
      </c>
      <c r="L1492" s="8">
        <f t="shared" si="1992"/>
        <v>0.5</v>
      </c>
      <c r="M1492" s="24">
        <f t="shared" si="1955"/>
        <v>1.3280212483399733E-2</v>
      </c>
      <c r="N1492" s="14"/>
    </row>
    <row r="1493" spans="1:14" x14ac:dyDescent="0.25">
      <c r="A1493" s="20">
        <v>44586</v>
      </c>
      <c r="B1493" s="1">
        <f t="shared" ref="B1493" si="1994">B1490</f>
        <v>125</v>
      </c>
      <c r="C1493" s="1" t="s">
        <v>441</v>
      </c>
      <c r="D1493" s="1" t="s">
        <v>22</v>
      </c>
      <c r="E1493" s="26" t="e">
        <f t="shared" ref="E1493:F1493" si="1995">+E1492</f>
        <v>#REF!</v>
      </c>
      <c r="F1493" s="26" t="e">
        <f t="shared" si="1995"/>
        <v>#REF!</v>
      </c>
      <c r="G1493" s="17">
        <v>4</v>
      </c>
      <c r="H1493" s="17" t="s">
        <v>9</v>
      </c>
      <c r="I1493" s="30" t="s">
        <v>22</v>
      </c>
      <c r="J1493" s="22">
        <f>16.75+17.4+12.05+17.1+13.25</f>
        <v>76.550000000000011</v>
      </c>
      <c r="K1493" s="22">
        <f>8.55+8.55+8.5+8.5+8.3</f>
        <v>42.400000000000006</v>
      </c>
      <c r="L1493" s="8">
        <f t="shared" si="1992"/>
        <v>34.150000000000006</v>
      </c>
      <c r="M1493" s="24">
        <f t="shared" si="1955"/>
        <v>0.90703851261620183</v>
      </c>
      <c r="N1493" s="14"/>
    </row>
    <row r="1494" spans="1:14" x14ac:dyDescent="0.25">
      <c r="A1494" s="20">
        <v>44586</v>
      </c>
      <c r="B1494" s="1">
        <f t="shared" ref="B1494" si="1996">B1490</f>
        <v>125</v>
      </c>
      <c r="C1494" s="1" t="s">
        <v>441</v>
      </c>
      <c r="D1494" s="1" t="s">
        <v>22</v>
      </c>
      <c r="E1494" s="26" t="e">
        <f t="shared" ref="E1494:F1494" si="1997">+E1493</f>
        <v>#REF!</v>
      </c>
      <c r="F1494" s="26" t="e">
        <f t="shared" si="1997"/>
        <v>#REF!</v>
      </c>
      <c r="G1494" s="17">
        <v>5</v>
      </c>
      <c r="H1494" s="17" t="s">
        <v>9</v>
      </c>
      <c r="I1494" s="30" t="s">
        <v>34</v>
      </c>
      <c r="J1494" s="22">
        <v>0.6</v>
      </c>
      <c r="K1494" s="63">
        <v>0.55000000000000004</v>
      </c>
      <c r="L1494" s="8">
        <f t="shared" si="1992"/>
        <v>4.9999999999999933E-2</v>
      </c>
      <c r="M1494" s="24">
        <f t="shared" si="1955"/>
        <v>1.3280212483399714E-3</v>
      </c>
      <c r="N1494" s="14"/>
    </row>
    <row r="1495" spans="1:14" x14ac:dyDescent="0.25">
      <c r="A1495" s="20">
        <v>44586</v>
      </c>
      <c r="B1495" s="1">
        <f t="shared" ref="B1495" si="1998">B1490</f>
        <v>125</v>
      </c>
      <c r="C1495" s="1" t="s">
        <v>441</v>
      </c>
      <c r="D1495" s="1" t="s">
        <v>22</v>
      </c>
      <c r="E1495" s="26" t="e">
        <f t="shared" ref="E1495:F1495" si="1999">+E1494</f>
        <v>#REF!</v>
      </c>
      <c r="F1495" s="26" t="e">
        <f t="shared" si="1999"/>
        <v>#REF!</v>
      </c>
      <c r="G1495" s="17">
        <v>6</v>
      </c>
      <c r="H1495" s="17" t="s">
        <v>9</v>
      </c>
      <c r="I1495" s="30" t="s">
        <v>35</v>
      </c>
      <c r="J1495" s="22"/>
      <c r="K1495" s="22"/>
      <c r="L1495" s="8">
        <f t="shared" si="1992"/>
        <v>0</v>
      </c>
      <c r="M1495" s="24">
        <f t="shared" si="1955"/>
        <v>0</v>
      </c>
      <c r="N1495" s="14"/>
    </row>
    <row r="1496" spans="1:14" x14ac:dyDescent="0.25">
      <c r="A1496" s="20">
        <v>44586</v>
      </c>
      <c r="B1496" s="1">
        <f t="shared" ref="B1496" si="2000">B1490</f>
        <v>125</v>
      </c>
      <c r="C1496" s="1" t="s">
        <v>441</v>
      </c>
      <c r="D1496" s="1" t="s">
        <v>22</v>
      </c>
      <c r="E1496" s="26" t="e">
        <f t="shared" ref="E1496:F1496" si="2001">+E1495</f>
        <v>#REF!</v>
      </c>
      <c r="F1496" s="26" t="e">
        <f t="shared" si="2001"/>
        <v>#REF!</v>
      </c>
      <c r="G1496" s="17">
        <v>7</v>
      </c>
      <c r="H1496" s="17" t="s">
        <v>9</v>
      </c>
      <c r="I1496" s="30" t="s">
        <v>36</v>
      </c>
      <c r="J1496" s="22"/>
      <c r="K1496" s="22"/>
      <c r="L1496" s="8">
        <f t="shared" si="1992"/>
        <v>0</v>
      </c>
      <c r="M1496" s="24">
        <f t="shared" si="1955"/>
        <v>0</v>
      </c>
      <c r="N1496" s="14"/>
    </row>
    <row r="1497" spans="1:14" x14ac:dyDescent="0.25">
      <c r="A1497" s="20">
        <v>44586</v>
      </c>
      <c r="B1497" s="1">
        <f t="shared" ref="B1497" si="2002">B1490</f>
        <v>125</v>
      </c>
      <c r="C1497" s="1" t="s">
        <v>441</v>
      </c>
      <c r="D1497" s="1" t="s">
        <v>22</v>
      </c>
      <c r="E1497" s="26" t="e">
        <f>+E1496</f>
        <v>#REF!</v>
      </c>
      <c r="F1497" s="26" t="e">
        <f>+F1496</f>
        <v>#REF!</v>
      </c>
      <c r="G1497" s="17">
        <v>8</v>
      </c>
      <c r="H1497" s="17" t="s">
        <v>9</v>
      </c>
      <c r="I1497" s="30" t="s">
        <v>59</v>
      </c>
      <c r="J1497" s="22">
        <v>0.75</v>
      </c>
      <c r="K1497" s="22">
        <v>0.55000000000000004</v>
      </c>
      <c r="L1497" s="8">
        <f t="shared" si="1992"/>
        <v>0.19999999999999996</v>
      </c>
      <c r="M1497" s="24">
        <f t="shared" si="1955"/>
        <v>5.3120849933598916E-3</v>
      </c>
      <c r="N1497" s="14"/>
    </row>
    <row r="1498" spans="1:14" x14ac:dyDescent="0.25">
      <c r="A1498" s="20">
        <v>44586</v>
      </c>
      <c r="B1498" s="1">
        <f t="shared" ref="B1498" si="2003">B1490</f>
        <v>125</v>
      </c>
      <c r="C1498" s="1" t="s">
        <v>441</v>
      </c>
      <c r="D1498" s="1" t="s">
        <v>22</v>
      </c>
      <c r="E1498" s="26" t="e">
        <f t="shared" ref="E1498:F1498" si="2004">+E1497</f>
        <v>#REF!</v>
      </c>
      <c r="F1498" s="26" t="e">
        <f t="shared" si="2004"/>
        <v>#REF!</v>
      </c>
      <c r="G1498" s="17">
        <v>9</v>
      </c>
      <c r="H1498" s="17" t="s">
        <v>9</v>
      </c>
      <c r="I1498" s="30" t="s">
        <v>38</v>
      </c>
      <c r="J1498" s="22"/>
      <c r="K1498" s="22"/>
      <c r="L1498" s="8">
        <f t="shared" si="1992"/>
        <v>0</v>
      </c>
      <c r="M1498" s="24">
        <f t="shared" si="1955"/>
        <v>0</v>
      </c>
      <c r="N1498" s="14"/>
    </row>
    <row r="1499" spans="1:14" x14ac:dyDescent="0.25">
      <c r="A1499" s="20">
        <v>44586</v>
      </c>
      <c r="B1499" s="1">
        <f t="shared" ref="B1499" si="2005">B1490</f>
        <v>125</v>
      </c>
      <c r="C1499" s="1" t="s">
        <v>441</v>
      </c>
      <c r="D1499" s="1" t="s">
        <v>22</v>
      </c>
      <c r="E1499" s="26" t="e">
        <f t="shared" ref="E1499:F1499" si="2006">+E1498</f>
        <v>#REF!</v>
      </c>
      <c r="F1499" s="26" t="e">
        <f t="shared" si="2006"/>
        <v>#REF!</v>
      </c>
      <c r="G1499" s="17">
        <v>10</v>
      </c>
      <c r="H1499" s="17" t="s">
        <v>9</v>
      </c>
      <c r="I1499" s="30" t="s">
        <v>23</v>
      </c>
      <c r="J1499" s="22">
        <v>1.65</v>
      </c>
      <c r="K1499" s="22">
        <v>0.55000000000000004</v>
      </c>
      <c r="L1499" s="8">
        <f t="shared" si="1992"/>
        <v>1.0999999999999999</v>
      </c>
      <c r="M1499" s="24">
        <f t="shared" si="1955"/>
        <v>2.9216467463479407E-2</v>
      </c>
      <c r="N1499" s="14"/>
    </row>
    <row r="1500" spans="1:14" x14ac:dyDescent="0.25">
      <c r="A1500" s="20">
        <v>44586</v>
      </c>
      <c r="B1500" s="1">
        <f t="shared" ref="B1500" si="2007">B1490</f>
        <v>125</v>
      </c>
      <c r="C1500" s="1" t="s">
        <v>441</v>
      </c>
      <c r="D1500" s="1" t="s">
        <v>22</v>
      </c>
      <c r="E1500" s="26" t="e">
        <f t="shared" ref="E1500:F1500" si="2008">+E1499</f>
        <v>#REF!</v>
      </c>
      <c r="F1500" s="26" t="e">
        <f t="shared" si="2008"/>
        <v>#REF!</v>
      </c>
      <c r="G1500" s="17">
        <v>11</v>
      </c>
      <c r="H1500" s="17" t="s">
        <v>9</v>
      </c>
      <c r="I1500" s="30" t="s">
        <v>60</v>
      </c>
      <c r="J1500" s="22"/>
      <c r="K1500" s="22"/>
      <c r="L1500" s="8">
        <f t="shared" si="1992"/>
        <v>0</v>
      </c>
      <c r="M1500" s="24">
        <f t="shared" si="1955"/>
        <v>0</v>
      </c>
      <c r="N1500" s="14"/>
    </row>
    <row r="1501" spans="1:14" ht="15.75" thickBot="1" x14ac:dyDescent="0.3">
      <c r="A1501" s="20">
        <v>44586</v>
      </c>
      <c r="B1501" s="57">
        <f t="shared" ref="B1501" si="2009">B1490</f>
        <v>125</v>
      </c>
      <c r="C1501" s="1" t="s">
        <v>441</v>
      </c>
      <c r="D1501" s="1" t="s">
        <v>22</v>
      </c>
      <c r="E1501" s="26" t="e">
        <f t="shared" ref="E1501:F1501" si="2010">+E1500</f>
        <v>#REF!</v>
      </c>
      <c r="F1501" s="26" t="e">
        <f t="shared" si="2010"/>
        <v>#REF!</v>
      </c>
      <c r="G1501" s="18">
        <f>+G1500+1</f>
        <v>12</v>
      </c>
      <c r="H1501" s="18" t="s">
        <v>10</v>
      </c>
      <c r="I1501" s="46" t="s">
        <v>10</v>
      </c>
      <c r="J1501" s="22">
        <v>9.9499999999999993</v>
      </c>
      <c r="K1501" s="63">
        <v>8.5500000000000007</v>
      </c>
      <c r="L1501" s="8">
        <f t="shared" si="1992"/>
        <v>1.3999999999999986</v>
      </c>
      <c r="M1501" s="24">
        <f t="shared" si="1955"/>
        <v>3.7184594953519216E-2</v>
      </c>
      <c r="N1501" s="14"/>
    </row>
    <row r="1502" spans="1:14" x14ac:dyDescent="0.25">
      <c r="A1502" s="19">
        <v>44586</v>
      </c>
      <c r="B1502" s="15">
        <f t="shared" ref="B1502" si="2011">B1490+1</f>
        <v>126</v>
      </c>
      <c r="C1502" s="15" t="s">
        <v>442</v>
      </c>
      <c r="D1502" s="15" t="s">
        <v>182</v>
      </c>
      <c r="E1502" s="25">
        <f>24.6-1.2</f>
        <v>23.400000000000002</v>
      </c>
      <c r="F1502" s="25">
        <f>+SUM(L1502:L1513)</f>
        <v>23.850000000000009</v>
      </c>
      <c r="G1502" s="16">
        <v>1</v>
      </c>
      <c r="H1502" s="16" t="s">
        <v>9</v>
      </c>
      <c r="I1502" s="59" t="s">
        <v>56</v>
      </c>
      <c r="J1502" s="21">
        <v>3.1</v>
      </c>
      <c r="K1502" s="21">
        <f>0.55*2</f>
        <v>1.1000000000000001</v>
      </c>
      <c r="L1502" s="12">
        <f>+J1502-K1502</f>
        <v>2</v>
      </c>
      <c r="M1502" s="23">
        <f t="shared" si="1955"/>
        <v>8.3857442348008362E-2</v>
      </c>
      <c r="N1502" s="13"/>
    </row>
    <row r="1503" spans="1:14" x14ac:dyDescent="0.25">
      <c r="A1503" s="20">
        <v>44586</v>
      </c>
      <c r="B1503" s="1">
        <f t="shared" ref="B1503" si="2012">B1502</f>
        <v>126</v>
      </c>
      <c r="C1503" s="1" t="s">
        <v>442</v>
      </c>
      <c r="D1503" s="1" t="s">
        <v>182</v>
      </c>
      <c r="E1503" s="26">
        <f>+E1502</f>
        <v>23.400000000000002</v>
      </c>
      <c r="F1503" s="28">
        <f>+(F1502-E1502)/E1502</f>
        <v>1.9230769230769502E-2</v>
      </c>
      <c r="G1503" s="17">
        <v>2</v>
      </c>
      <c r="H1503" s="17" t="s">
        <v>9</v>
      </c>
      <c r="I1503" s="30" t="s">
        <v>57</v>
      </c>
      <c r="J1503" s="22">
        <f>12.95+12.55+12.65+9.9+10.6+10</f>
        <v>68.650000000000006</v>
      </c>
      <c r="K1503" s="22">
        <f>8.55+8.55+8.3+8.5+8.3+8.3</f>
        <v>50.5</v>
      </c>
      <c r="L1503" s="8">
        <f t="shared" ref="L1503:L1513" si="2013">+J1503-K1503</f>
        <v>18.150000000000006</v>
      </c>
      <c r="M1503" s="24">
        <f t="shared" si="1955"/>
        <v>0.76100628930817604</v>
      </c>
      <c r="N1503" s="14"/>
    </row>
    <row r="1504" spans="1:14" x14ac:dyDescent="0.25">
      <c r="A1504" s="20">
        <v>44586</v>
      </c>
      <c r="B1504" s="1">
        <f t="shared" ref="B1504" si="2014">B1502</f>
        <v>126</v>
      </c>
      <c r="C1504" s="1" t="s">
        <v>442</v>
      </c>
      <c r="D1504" s="1" t="s">
        <v>182</v>
      </c>
      <c r="E1504" s="26" t="e">
        <f>+#REF!</f>
        <v>#REF!</v>
      </c>
      <c r="F1504" s="26" t="e">
        <f>+#REF!</f>
        <v>#REF!</v>
      </c>
      <c r="G1504" s="17">
        <v>3</v>
      </c>
      <c r="H1504" s="17" t="s">
        <v>9</v>
      </c>
      <c r="I1504" s="30" t="s">
        <v>58</v>
      </c>
      <c r="J1504" s="22">
        <v>1.35</v>
      </c>
      <c r="K1504" s="22">
        <v>0.55000000000000004</v>
      </c>
      <c r="L1504" s="8">
        <f t="shared" si="2013"/>
        <v>0.8</v>
      </c>
      <c r="M1504" s="24">
        <f t="shared" si="1955"/>
        <v>3.3542976939203342E-2</v>
      </c>
      <c r="N1504" s="14"/>
    </row>
    <row r="1505" spans="1:14" x14ac:dyDescent="0.25">
      <c r="A1505" s="20">
        <v>44586</v>
      </c>
      <c r="B1505" s="1">
        <f t="shared" ref="B1505" si="2015">B1502</f>
        <v>126</v>
      </c>
      <c r="C1505" s="1" t="s">
        <v>442</v>
      </c>
      <c r="D1505" s="1" t="s">
        <v>182</v>
      </c>
      <c r="E1505" s="26" t="e">
        <f t="shared" ref="E1505:F1505" si="2016">+E1504</f>
        <v>#REF!</v>
      </c>
      <c r="F1505" s="26" t="e">
        <f t="shared" si="2016"/>
        <v>#REF!</v>
      </c>
      <c r="G1505" s="17">
        <v>4</v>
      </c>
      <c r="H1505" s="17" t="s">
        <v>9</v>
      </c>
      <c r="I1505" s="30" t="s">
        <v>22</v>
      </c>
      <c r="J1505" s="22">
        <v>0.05</v>
      </c>
      <c r="K1505" s="22">
        <v>0</v>
      </c>
      <c r="L1505" s="8">
        <f t="shared" si="2013"/>
        <v>0.05</v>
      </c>
      <c r="M1505" s="24">
        <f t="shared" si="1955"/>
        <v>2.0964360587002089E-3</v>
      </c>
      <c r="N1505" s="14"/>
    </row>
    <row r="1506" spans="1:14" x14ac:dyDescent="0.25">
      <c r="A1506" s="20">
        <v>44586</v>
      </c>
      <c r="B1506" s="1">
        <f t="shared" ref="B1506" si="2017">B1502</f>
        <v>126</v>
      </c>
      <c r="C1506" s="1" t="s">
        <v>442</v>
      </c>
      <c r="D1506" s="1" t="s">
        <v>182</v>
      </c>
      <c r="E1506" s="26" t="e">
        <f t="shared" ref="E1506:F1506" si="2018">+E1505</f>
        <v>#REF!</v>
      </c>
      <c r="F1506" s="26" t="e">
        <f t="shared" si="2018"/>
        <v>#REF!</v>
      </c>
      <c r="G1506" s="17">
        <v>5</v>
      </c>
      <c r="H1506" s="17" t="s">
        <v>9</v>
      </c>
      <c r="I1506" s="30" t="s">
        <v>34</v>
      </c>
      <c r="J1506" s="22">
        <v>0.8</v>
      </c>
      <c r="K1506" s="63">
        <v>0.5</v>
      </c>
      <c r="L1506" s="8">
        <f t="shared" si="2013"/>
        <v>0.30000000000000004</v>
      </c>
      <c r="M1506" s="24">
        <f t="shared" si="1955"/>
        <v>1.2578616352201255E-2</v>
      </c>
      <c r="N1506" s="14"/>
    </row>
    <row r="1507" spans="1:14" x14ac:dyDescent="0.25">
      <c r="A1507" s="20">
        <v>44586</v>
      </c>
      <c r="B1507" s="1">
        <f t="shared" ref="B1507" si="2019">B1502</f>
        <v>126</v>
      </c>
      <c r="C1507" s="1" t="s">
        <v>442</v>
      </c>
      <c r="D1507" s="1" t="s">
        <v>182</v>
      </c>
      <c r="E1507" s="26" t="e">
        <f t="shared" ref="E1507:F1507" si="2020">+E1506</f>
        <v>#REF!</v>
      </c>
      <c r="F1507" s="26" t="e">
        <f t="shared" si="2020"/>
        <v>#REF!</v>
      </c>
      <c r="G1507" s="17">
        <v>6</v>
      </c>
      <c r="H1507" s="17" t="s">
        <v>9</v>
      </c>
      <c r="I1507" s="30" t="s">
        <v>35</v>
      </c>
      <c r="J1507" s="22"/>
      <c r="K1507" s="22"/>
      <c r="L1507" s="8">
        <f t="shared" si="2013"/>
        <v>0</v>
      </c>
      <c r="M1507" s="24">
        <f t="shared" si="1955"/>
        <v>0</v>
      </c>
      <c r="N1507" s="14"/>
    </row>
    <row r="1508" spans="1:14" x14ac:dyDescent="0.25">
      <c r="A1508" s="20">
        <v>44586</v>
      </c>
      <c r="B1508" s="1">
        <f t="shared" ref="B1508" si="2021">B1502</f>
        <v>126</v>
      </c>
      <c r="C1508" s="1" t="s">
        <v>442</v>
      </c>
      <c r="D1508" s="1" t="s">
        <v>182</v>
      </c>
      <c r="E1508" s="26" t="e">
        <f t="shared" ref="E1508:F1508" si="2022">+E1507</f>
        <v>#REF!</v>
      </c>
      <c r="F1508" s="26" t="e">
        <f t="shared" si="2022"/>
        <v>#REF!</v>
      </c>
      <c r="G1508" s="17">
        <v>7</v>
      </c>
      <c r="H1508" s="17" t="s">
        <v>9</v>
      </c>
      <c r="I1508" s="30" t="s">
        <v>36</v>
      </c>
      <c r="J1508" s="22"/>
      <c r="K1508" s="22"/>
      <c r="L1508" s="8">
        <f t="shared" si="2013"/>
        <v>0</v>
      </c>
      <c r="M1508" s="24">
        <f t="shared" si="1955"/>
        <v>0</v>
      </c>
      <c r="N1508" s="14"/>
    </row>
    <row r="1509" spans="1:14" x14ac:dyDescent="0.25">
      <c r="A1509" s="20">
        <v>44586</v>
      </c>
      <c r="B1509" s="1">
        <f t="shared" ref="B1509" si="2023">B1502</f>
        <v>126</v>
      </c>
      <c r="C1509" s="1" t="s">
        <v>442</v>
      </c>
      <c r="D1509" s="1" t="s">
        <v>182</v>
      </c>
      <c r="E1509" s="26" t="e">
        <f>+E1508</f>
        <v>#REF!</v>
      </c>
      <c r="F1509" s="26" t="e">
        <f>+F1508</f>
        <v>#REF!</v>
      </c>
      <c r="G1509" s="17">
        <v>8</v>
      </c>
      <c r="H1509" s="17" t="s">
        <v>9</v>
      </c>
      <c r="I1509" s="30" t="s">
        <v>59</v>
      </c>
      <c r="J1509" s="22">
        <v>0.75</v>
      </c>
      <c r="K1509" s="22">
        <v>0.55000000000000004</v>
      </c>
      <c r="L1509" s="8">
        <f t="shared" si="2013"/>
        <v>0.19999999999999996</v>
      </c>
      <c r="M1509" s="24">
        <f t="shared" si="1955"/>
        <v>8.3857442348008338E-3</v>
      </c>
      <c r="N1509" s="14"/>
    </row>
    <row r="1510" spans="1:14" x14ac:dyDescent="0.25">
      <c r="A1510" s="20">
        <v>44586</v>
      </c>
      <c r="B1510" s="1">
        <f t="shared" ref="B1510" si="2024">B1502</f>
        <v>126</v>
      </c>
      <c r="C1510" s="1" t="s">
        <v>442</v>
      </c>
      <c r="D1510" s="1" t="s">
        <v>182</v>
      </c>
      <c r="E1510" s="26" t="e">
        <f t="shared" ref="E1510:F1510" si="2025">+E1509</f>
        <v>#REF!</v>
      </c>
      <c r="F1510" s="26" t="e">
        <f t="shared" si="2025"/>
        <v>#REF!</v>
      </c>
      <c r="G1510" s="17">
        <v>9</v>
      </c>
      <c r="H1510" s="17" t="s">
        <v>9</v>
      </c>
      <c r="I1510" s="30" t="s">
        <v>38</v>
      </c>
      <c r="J1510" s="22"/>
      <c r="K1510" s="22"/>
      <c r="L1510" s="8">
        <f t="shared" si="2013"/>
        <v>0</v>
      </c>
      <c r="M1510" s="24">
        <f t="shared" si="1955"/>
        <v>0</v>
      </c>
      <c r="N1510" s="14"/>
    </row>
    <row r="1511" spans="1:14" x14ac:dyDescent="0.25">
      <c r="A1511" s="20">
        <v>44586</v>
      </c>
      <c r="B1511" s="1">
        <f t="shared" ref="B1511" si="2026">B1502</f>
        <v>126</v>
      </c>
      <c r="C1511" s="1" t="s">
        <v>442</v>
      </c>
      <c r="D1511" s="1" t="s">
        <v>182</v>
      </c>
      <c r="E1511" s="26" t="e">
        <f t="shared" ref="E1511:F1511" si="2027">+E1510</f>
        <v>#REF!</v>
      </c>
      <c r="F1511" s="26" t="e">
        <f t="shared" si="2027"/>
        <v>#REF!</v>
      </c>
      <c r="G1511" s="17">
        <v>10</v>
      </c>
      <c r="H1511" s="17" t="s">
        <v>9</v>
      </c>
      <c r="I1511" s="30" t="s">
        <v>23</v>
      </c>
      <c r="J1511" s="22">
        <f>1</f>
        <v>1</v>
      </c>
      <c r="K1511" s="22">
        <f>0.55</f>
        <v>0.55000000000000004</v>
      </c>
      <c r="L1511" s="8">
        <f t="shared" si="2013"/>
        <v>0.44999999999999996</v>
      </c>
      <c r="M1511" s="24">
        <f t="shared" si="1955"/>
        <v>1.8867924528301879E-2</v>
      </c>
      <c r="N1511" s="14"/>
    </row>
    <row r="1512" spans="1:14" x14ac:dyDescent="0.25">
      <c r="A1512" s="20">
        <v>44586</v>
      </c>
      <c r="B1512" s="1">
        <f t="shared" ref="B1512" si="2028">B1502</f>
        <v>126</v>
      </c>
      <c r="C1512" s="1" t="s">
        <v>442</v>
      </c>
      <c r="D1512" s="1" t="s">
        <v>182</v>
      </c>
      <c r="E1512" s="26" t="e">
        <f t="shared" ref="E1512:F1512" si="2029">+E1511</f>
        <v>#REF!</v>
      </c>
      <c r="F1512" s="26" t="e">
        <f t="shared" si="2029"/>
        <v>#REF!</v>
      </c>
      <c r="G1512" s="17">
        <v>11</v>
      </c>
      <c r="H1512" s="17" t="s">
        <v>9</v>
      </c>
      <c r="I1512" s="30" t="s">
        <v>60</v>
      </c>
      <c r="J1512" s="22">
        <v>0.6</v>
      </c>
      <c r="K1512" s="22">
        <v>0.55000000000000004</v>
      </c>
      <c r="L1512" s="8">
        <f t="shared" si="2013"/>
        <v>4.9999999999999933E-2</v>
      </c>
      <c r="M1512" s="24">
        <f t="shared" si="1955"/>
        <v>2.0964360587002063E-3</v>
      </c>
      <c r="N1512" s="14"/>
    </row>
    <row r="1513" spans="1:14" ht="15.75" thickBot="1" x14ac:dyDescent="0.3">
      <c r="A1513" s="20">
        <v>44586</v>
      </c>
      <c r="B1513" s="57">
        <f t="shared" ref="B1513" si="2030">B1502</f>
        <v>126</v>
      </c>
      <c r="C1513" s="1" t="s">
        <v>442</v>
      </c>
      <c r="D1513" s="1" t="s">
        <v>182</v>
      </c>
      <c r="E1513" s="26" t="e">
        <f t="shared" ref="E1513:F1513" si="2031">+E1512</f>
        <v>#REF!</v>
      </c>
      <c r="F1513" s="26" t="e">
        <f t="shared" si="2031"/>
        <v>#REF!</v>
      </c>
      <c r="G1513" s="18">
        <f>+G1512+1</f>
        <v>12</v>
      </c>
      <c r="H1513" s="18" t="s">
        <v>10</v>
      </c>
      <c r="I1513" s="46" t="s">
        <v>10</v>
      </c>
      <c r="J1513" s="22">
        <v>10.4</v>
      </c>
      <c r="K1513" s="63">
        <v>8.5500000000000007</v>
      </c>
      <c r="L1513" s="8">
        <f t="shared" si="2013"/>
        <v>1.8499999999999996</v>
      </c>
      <c r="M1513" s="24">
        <f t="shared" si="1955"/>
        <v>7.7568134171907721E-2</v>
      </c>
      <c r="N1513" s="14"/>
    </row>
    <row r="1514" spans="1:14" x14ac:dyDescent="0.25">
      <c r="A1514" s="19">
        <v>44586</v>
      </c>
      <c r="B1514" s="15">
        <f t="shared" ref="B1514" si="2032">B1502+1</f>
        <v>127</v>
      </c>
      <c r="C1514" s="15" t="s">
        <v>443</v>
      </c>
      <c r="D1514" s="15" t="s">
        <v>182</v>
      </c>
      <c r="E1514" s="25">
        <f>23-1.2</f>
        <v>21.8</v>
      </c>
      <c r="F1514" s="25">
        <f>+SUM(L1514:L1525)</f>
        <v>21.849999999999994</v>
      </c>
      <c r="G1514" s="16">
        <v>1</v>
      </c>
      <c r="H1514" s="16" t="s">
        <v>9</v>
      </c>
      <c r="I1514" s="59" t="s">
        <v>56</v>
      </c>
      <c r="J1514" s="21">
        <v>11.4</v>
      </c>
      <c r="K1514" s="21">
        <v>8.5500000000000007</v>
      </c>
      <c r="L1514" s="12">
        <f>+J1514-K1514</f>
        <v>2.8499999999999996</v>
      </c>
      <c r="M1514" s="23">
        <f t="shared" si="1955"/>
        <v>0.13043478260869568</v>
      </c>
      <c r="N1514" s="13"/>
    </row>
    <row r="1515" spans="1:14" x14ac:dyDescent="0.25">
      <c r="A1515" s="20">
        <v>44586</v>
      </c>
      <c r="B1515" s="1">
        <f t="shared" ref="B1515" si="2033">B1514</f>
        <v>127</v>
      </c>
      <c r="C1515" s="1" t="s">
        <v>443</v>
      </c>
      <c r="D1515" s="1" t="s">
        <v>182</v>
      </c>
      <c r="E1515" s="26">
        <f>+E1514</f>
        <v>21.8</v>
      </c>
      <c r="F1515" s="28">
        <f>+(F1514-E1514)/E1514</f>
        <v>2.2935779816510827E-3</v>
      </c>
      <c r="G1515" s="17">
        <v>2</v>
      </c>
      <c r="H1515" s="17" t="s">
        <v>9</v>
      </c>
      <c r="I1515" s="30" t="s">
        <v>57</v>
      </c>
      <c r="J1515" s="22">
        <f>12.15+11.85+11.9+11.1+11.4</f>
        <v>58.4</v>
      </c>
      <c r="K1515" s="22">
        <f>8.55+8.55+8.5+8.5+8.3</f>
        <v>42.400000000000006</v>
      </c>
      <c r="L1515" s="8">
        <f t="shared" ref="L1515:L1525" si="2034">+J1515-K1515</f>
        <v>15.999999999999993</v>
      </c>
      <c r="M1515" s="24">
        <f t="shared" si="1955"/>
        <v>0.73226544622425616</v>
      </c>
      <c r="N1515" s="14"/>
    </row>
    <row r="1516" spans="1:14" x14ac:dyDescent="0.25">
      <c r="A1516" s="20">
        <v>44586</v>
      </c>
      <c r="B1516" s="1">
        <f t="shared" ref="B1516" si="2035">B1514</f>
        <v>127</v>
      </c>
      <c r="C1516" s="1" t="s">
        <v>443</v>
      </c>
      <c r="D1516" s="1" t="s">
        <v>182</v>
      </c>
      <c r="E1516" s="26" t="e">
        <f>+#REF!</f>
        <v>#REF!</v>
      </c>
      <c r="F1516" s="26" t="e">
        <f>+#REF!</f>
        <v>#REF!</v>
      </c>
      <c r="G1516" s="17">
        <v>3</v>
      </c>
      <c r="H1516" s="17" t="s">
        <v>9</v>
      </c>
      <c r="I1516" s="30" t="s">
        <v>58</v>
      </c>
      <c r="J1516" s="22">
        <v>1.25</v>
      </c>
      <c r="K1516" s="22">
        <v>0.55000000000000004</v>
      </c>
      <c r="L1516" s="8">
        <f t="shared" si="2034"/>
        <v>0.7</v>
      </c>
      <c r="M1516" s="24">
        <f t="shared" si="1955"/>
        <v>3.2036613272311221E-2</v>
      </c>
      <c r="N1516" s="14"/>
    </row>
    <row r="1517" spans="1:14" x14ac:dyDescent="0.25">
      <c r="A1517" s="20">
        <v>44586</v>
      </c>
      <c r="B1517" s="1">
        <f t="shared" ref="B1517" si="2036">B1514</f>
        <v>127</v>
      </c>
      <c r="C1517" s="1" t="s">
        <v>443</v>
      </c>
      <c r="D1517" s="1" t="s">
        <v>182</v>
      </c>
      <c r="E1517" s="26" t="e">
        <f t="shared" ref="E1517:F1517" si="2037">+E1516</f>
        <v>#REF!</v>
      </c>
      <c r="F1517" s="26" t="e">
        <f t="shared" si="2037"/>
        <v>#REF!</v>
      </c>
      <c r="G1517" s="17">
        <v>4</v>
      </c>
      <c r="H1517" s="17" t="s">
        <v>9</v>
      </c>
      <c r="I1517" s="30" t="s">
        <v>22</v>
      </c>
      <c r="J1517" s="22"/>
      <c r="K1517" s="22"/>
      <c r="L1517" s="8">
        <f t="shared" si="2034"/>
        <v>0</v>
      </c>
      <c r="M1517" s="24">
        <f t="shared" si="1955"/>
        <v>0</v>
      </c>
      <c r="N1517" s="14"/>
    </row>
    <row r="1518" spans="1:14" x14ac:dyDescent="0.25">
      <c r="A1518" s="20">
        <v>44586</v>
      </c>
      <c r="B1518" s="1">
        <f t="shared" ref="B1518" si="2038">B1514</f>
        <v>127</v>
      </c>
      <c r="C1518" s="1" t="s">
        <v>443</v>
      </c>
      <c r="D1518" s="1" t="s">
        <v>182</v>
      </c>
      <c r="E1518" s="26" t="e">
        <f t="shared" ref="E1518:F1518" si="2039">+E1517</f>
        <v>#REF!</v>
      </c>
      <c r="F1518" s="26" t="e">
        <f t="shared" si="2039"/>
        <v>#REF!</v>
      </c>
      <c r="G1518" s="17">
        <v>5</v>
      </c>
      <c r="H1518" s="17" t="s">
        <v>9</v>
      </c>
      <c r="I1518" s="30" t="s">
        <v>34</v>
      </c>
      <c r="J1518" s="22">
        <v>0.6</v>
      </c>
      <c r="K1518" s="63">
        <v>0.55000000000000004</v>
      </c>
      <c r="L1518" s="8">
        <f t="shared" si="2034"/>
        <v>4.9999999999999933E-2</v>
      </c>
      <c r="M1518" s="24">
        <f t="shared" si="1955"/>
        <v>2.2883295194507983E-3</v>
      </c>
      <c r="N1518" s="14"/>
    </row>
    <row r="1519" spans="1:14" x14ac:dyDescent="0.25">
      <c r="A1519" s="20">
        <v>44586</v>
      </c>
      <c r="B1519" s="1">
        <f t="shared" ref="B1519" si="2040">B1514</f>
        <v>127</v>
      </c>
      <c r="C1519" s="1" t="s">
        <v>443</v>
      </c>
      <c r="D1519" s="1" t="s">
        <v>182</v>
      </c>
      <c r="E1519" s="26" t="e">
        <f t="shared" ref="E1519:F1519" si="2041">+E1518</f>
        <v>#REF!</v>
      </c>
      <c r="F1519" s="26" t="e">
        <f t="shared" si="2041"/>
        <v>#REF!</v>
      </c>
      <c r="G1519" s="17">
        <v>6</v>
      </c>
      <c r="H1519" s="17" t="s">
        <v>9</v>
      </c>
      <c r="I1519" s="30" t="s">
        <v>35</v>
      </c>
      <c r="J1519" s="22"/>
      <c r="K1519" s="22"/>
      <c r="L1519" s="8">
        <f t="shared" si="2034"/>
        <v>0</v>
      </c>
      <c r="M1519" s="24">
        <f t="shared" si="1955"/>
        <v>0</v>
      </c>
      <c r="N1519" s="14"/>
    </row>
    <row r="1520" spans="1:14" x14ac:dyDescent="0.25">
      <c r="A1520" s="20">
        <v>44586</v>
      </c>
      <c r="B1520" s="1">
        <f t="shared" ref="B1520" si="2042">B1514</f>
        <v>127</v>
      </c>
      <c r="C1520" s="1" t="s">
        <v>443</v>
      </c>
      <c r="D1520" s="1" t="s">
        <v>182</v>
      </c>
      <c r="E1520" s="26" t="e">
        <f t="shared" ref="E1520:F1520" si="2043">+E1519</f>
        <v>#REF!</v>
      </c>
      <c r="F1520" s="26" t="e">
        <f t="shared" si="2043"/>
        <v>#REF!</v>
      </c>
      <c r="G1520" s="17">
        <v>7</v>
      </c>
      <c r="H1520" s="17" t="s">
        <v>9</v>
      </c>
      <c r="I1520" s="30" t="s">
        <v>36</v>
      </c>
      <c r="J1520" s="22"/>
      <c r="K1520" s="22"/>
      <c r="L1520" s="8">
        <f t="shared" si="2034"/>
        <v>0</v>
      </c>
      <c r="M1520" s="24">
        <f t="shared" si="1955"/>
        <v>0</v>
      </c>
      <c r="N1520" s="14"/>
    </row>
    <row r="1521" spans="1:14" x14ac:dyDescent="0.25">
      <c r="A1521" s="20">
        <v>44586</v>
      </c>
      <c r="B1521" s="1">
        <f t="shared" ref="B1521" si="2044">B1514</f>
        <v>127</v>
      </c>
      <c r="C1521" s="1" t="s">
        <v>443</v>
      </c>
      <c r="D1521" s="1" t="s">
        <v>182</v>
      </c>
      <c r="E1521" s="26" t="e">
        <f>+E1520</f>
        <v>#REF!</v>
      </c>
      <c r="F1521" s="26" t="e">
        <f>+F1520</f>
        <v>#REF!</v>
      </c>
      <c r="G1521" s="17">
        <v>8</v>
      </c>
      <c r="H1521" s="17" t="s">
        <v>9</v>
      </c>
      <c r="I1521" s="30" t="s">
        <v>59</v>
      </c>
      <c r="J1521" s="22">
        <v>0.65</v>
      </c>
      <c r="K1521" s="22">
        <v>0.55000000000000004</v>
      </c>
      <c r="L1521" s="8">
        <f t="shared" si="2034"/>
        <v>9.9999999999999978E-2</v>
      </c>
      <c r="M1521" s="24">
        <f t="shared" si="1955"/>
        <v>4.5766590389016018E-3</v>
      </c>
      <c r="N1521" s="14"/>
    </row>
    <row r="1522" spans="1:14" x14ac:dyDescent="0.25">
      <c r="A1522" s="20">
        <v>44586</v>
      </c>
      <c r="B1522" s="1">
        <f t="shared" ref="B1522" si="2045">B1514</f>
        <v>127</v>
      </c>
      <c r="C1522" s="1" t="s">
        <v>443</v>
      </c>
      <c r="D1522" s="1" t="s">
        <v>182</v>
      </c>
      <c r="E1522" s="26" t="e">
        <f t="shared" ref="E1522:F1522" si="2046">+E1521</f>
        <v>#REF!</v>
      </c>
      <c r="F1522" s="26" t="e">
        <f t="shared" si="2046"/>
        <v>#REF!</v>
      </c>
      <c r="G1522" s="17">
        <v>9</v>
      </c>
      <c r="H1522" s="17" t="s">
        <v>9</v>
      </c>
      <c r="I1522" s="30" t="s">
        <v>38</v>
      </c>
      <c r="J1522" s="22"/>
      <c r="K1522" s="22"/>
      <c r="L1522" s="8">
        <f t="shared" si="2034"/>
        <v>0</v>
      </c>
      <c r="M1522" s="24">
        <f t="shared" si="1955"/>
        <v>0</v>
      </c>
      <c r="N1522" s="14"/>
    </row>
    <row r="1523" spans="1:14" x14ac:dyDescent="0.25">
      <c r="A1523" s="20">
        <v>44586</v>
      </c>
      <c r="B1523" s="1">
        <f t="shared" ref="B1523" si="2047">B1514</f>
        <v>127</v>
      </c>
      <c r="C1523" s="1" t="s">
        <v>443</v>
      </c>
      <c r="D1523" s="1" t="s">
        <v>182</v>
      </c>
      <c r="E1523" s="26" t="e">
        <f t="shared" ref="E1523:F1523" si="2048">+E1522</f>
        <v>#REF!</v>
      </c>
      <c r="F1523" s="26" t="e">
        <f t="shared" si="2048"/>
        <v>#REF!</v>
      </c>
      <c r="G1523" s="17">
        <v>10</v>
      </c>
      <c r="H1523" s="17" t="s">
        <v>9</v>
      </c>
      <c r="I1523" s="30" t="s">
        <v>23</v>
      </c>
      <c r="J1523" s="22">
        <v>1.05</v>
      </c>
      <c r="K1523" s="22">
        <v>0.55000000000000004</v>
      </c>
      <c r="L1523" s="8">
        <f t="shared" si="2034"/>
        <v>0.5</v>
      </c>
      <c r="M1523" s="24">
        <f t="shared" si="1955"/>
        <v>2.2883295194508015E-2</v>
      </c>
      <c r="N1523" s="14"/>
    </row>
    <row r="1524" spans="1:14" x14ac:dyDescent="0.25">
      <c r="A1524" s="20">
        <v>44586</v>
      </c>
      <c r="B1524" s="1">
        <f t="shared" ref="B1524" si="2049">B1514</f>
        <v>127</v>
      </c>
      <c r="C1524" s="1" t="s">
        <v>443</v>
      </c>
      <c r="D1524" s="1" t="s">
        <v>182</v>
      </c>
      <c r="E1524" s="26" t="e">
        <f t="shared" ref="E1524:F1524" si="2050">+E1523</f>
        <v>#REF!</v>
      </c>
      <c r="F1524" s="26" t="e">
        <f t="shared" si="2050"/>
        <v>#REF!</v>
      </c>
      <c r="G1524" s="17">
        <v>11</v>
      </c>
      <c r="H1524" s="17" t="s">
        <v>9</v>
      </c>
      <c r="I1524" s="30" t="s">
        <v>60</v>
      </c>
      <c r="J1524" s="22">
        <v>0.55000000000000004</v>
      </c>
      <c r="K1524" s="22">
        <v>0.5</v>
      </c>
      <c r="L1524" s="8">
        <f t="shared" si="2034"/>
        <v>5.0000000000000044E-2</v>
      </c>
      <c r="M1524" s="24">
        <f t="shared" si="1955"/>
        <v>2.2883295194508035E-3</v>
      </c>
      <c r="N1524" s="14"/>
    </row>
    <row r="1525" spans="1:14" ht="15.75" thickBot="1" x14ac:dyDescent="0.3">
      <c r="A1525" s="20">
        <v>44586</v>
      </c>
      <c r="B1525" s="57">
        <f t="shared" ref="B1525" si="2051">B1514</f>
        <v>127</v>
      </c>
      <c r="C1525" s="1" t="s">
        <v>443</v>
      </c>
      <c r="D1525" s="1" t="s">
        <v>182</v>
      </c>
      <c r="E1525" s="26" t="e">
        <f t="shared" ref="E1525:F1525" si="2052">+E1524</f>
        <v>#REF!</v>
      </c>
      <c r="F1525" s="26" t="e">
        <f t="shared" si="2052"/>
        <v>#REF!</v>
      </c>
      <c r="G1525" s="18">
        <f>+G1524+1</f>
        <v>12</v>
      </c>
      <c r="H1525" s="18" t="s">
        <v>10</v>
      </c>
      <c r="I1525" s="46" t="s">
        <v>10</v>
      </c>
      <c r="J1525" s="22">
        <v>9.9</v>
      </c>
      <c r="K1525" s="63">
        <v>8.3000000000000007</v>
      </c>
      <c r="L1525" s="8">
        <f t="shared" si="2034"/>
        <v>1.5999999999999996</v>
      </c>
      <c r="M1525" s="24">
        <f t="shared" si="1955"/>
        <v>7.3226544622425629E-2</v>
      </c>
      <c r="N1525" s="14"/>
    </row>
    <row r="1526" spans="1:14" x14ac:dyDescent="0.25">
      <c r="A1526" s="19">
        <v>44586</v>
      </c>
      <c r="B1526" s="15">
        <f t="shared" ref="B1526" si="2053">B1514+1</f>
        <v>128</v>
      </c>
      <c r="C1526" s="15" t="s">
        <v>444</v>
      </c>
      <c r="D1526" s="15" t="s">
        <v>178</v>
      </c>
      <c r="E1526" s="25">
        <f>25-1.2</f>
        <v>23.8</v>
      </c>
      <c r="F1526" s="25">
        <f>+SUM(L1526:L1537)</f>
        <v>23.799999999999986</v>
      </c>
      <c r="G1526" s="16">
        <v>1</v>
      </c>
      <c r="H1526" s="16" t="s">
        <v>9</v>
      </c>
      <c r="I1526" s="59" t="s">
        <v>56</v>
      </c>
      <c r="J1526" s="21">
        <f>1.15</f>
        <v>1.1499999999999999</v>
      </c>
      <c r="K1526" s="21">
        <f>0.55</f>
        <v>0.55000000000000004</v>
      </c>
      <c r="L1526" s="12">
        <f>+J1526-K1526</f>
        <v>0.59999999999999987</v>
      </c>
      <c r="M1526" s="23">
        <f t="shared" si="1955"/>
        <v>2.5210084033613453E-2</v>
      </c>
      <c r="N1526" s="13"/>
    </row>
    <row r="1527" spans="1:14" x14ac:dyDescent="0.25">
      <c r="A1527" s="20">
        <v>44586</v>
      </c>
      <c r="B1527" s="1">
        <f t="shared" ref="B1527" si="2054">B1526</f>
        <v>128</v>
      </c>
      <c r="C1527" s="1" t="s">
        <v>444</v>
      </c>
      <c r="D1527" s="1" t="s">
        <v>178</v>
      </c>
      <c r="E1527" s="26">
        <f>+E1526</f>
        <v>23.8</v>
      </c>
      <c r="F1527" s="28">
        <f>+(F1526-E1526)/E1526</f>
        <v>-5.9709473593285725E-16</v>
      </c>
      <c r="G1527" s="17">
        <v>2</v>
      </c>
      <c r="H1527" s="17" t="s">
        <v>9</v>
      </c>
      <c r="I1527" s="30" t="s">
        <v>57</v>
      </c>
      <c r="J1527" s="22">
        <v>10.25</v>
      </c>
      <c r="K1527" s="22">
        <v>8.5500000000000007</v>
      </c>
      <c r="L1527" s="8">
        <f t="shared" ref="L1527:L1537" si="2055">+J1527-K1527</f>
        <v>1.6999999999999993</v>
      </c>
      <c r="M1527" s="24">
        <f t="shared" si="1955"/>
        <v>7.1428571428571438E-2</v>
      </c>
      <c r="N1527" s="14"/>
    </row>
    <row r="1528" spans="1:14" x14ac:dyDescent="0.25">
      <c r="A1528" s="20">
        <v>44586</v>
      </c>
      <c r="B1528" s="1">
        <f t="shared" ref="B1528" si="2056">B1526</f>
        <v>128</v>
      </c>
      <c r="C1528" s="1" t="s">
        <v>444</v>
      </c>
      <c r="D1528" s="1" t="s">
        <v>178</v>
      </c>
      <c r="E1528" s="26" t="e">
        <f>+#REF!</f>
        <v>#REF!</v>
      </c>
      <c r="F1528" s="26" t="e">
        <f>+#REF!</f>
        <v>#REF!</v>
      </c>
      <c r="G1528" s="17">
        <v>3</v>
      </c>
      <c r="H1528" s="17" t="s">
        <v>9</v>
      </c>
      <c r="I1528" s="30" t="s">
        <v>58</v>
      </c>
      <c r="J1528" s="22">
        <v>3.35</v>
      </c>
      <c r="K1528" s="22">
        <f>0.55*2</f>
        <v>1.1000000000000001</v>
      </c>
      <c r="L1528" s="8">
        <f t="shared" si="2055"/>
        <v>2.25</v>
      </c>
      <c r="M1528" s="24">
        <f t="shared" si="1955"/>
        <v>9.4537815126050473E-2</v>
      </c>
      <c r="N1528" s="14"/>
    </row>
    <row r="1529" spans="1:14" x14ac:dyDescent="0.25">
      <c r="A1529" s="20">
        <v>44586</v>
      </c>
      <c r="B1529" s="1">
        <f t="shared" ref="B1529" si="2057">B1526</f>
        <v>128</v>
      </c>
      <c r="C1529" s="1" t="s">
        <v>444</v>
      </c>
      <c r="D1529" s="1" t="s">
        <v>178</v>
      </c>
      <c r="E1529" s="26" t="e">
        <f t="shared" ref="E1529:F1529" si="2058">+E1528</f>
        <v>#REF!</v>
      </c>
      <c r="F1529" s="26" t="e">
        <f t="shared" si="2058"/>
        <v>#REF!</v>
      </c>
      <c r="G1529" s="17">
        <v>4</v>
      </c>
      <c r="H1529" s="17" t="s">
        <v>9</v>
      </c>
      <c r="I1529" s="30" t="s">
        <v>22</v>
      </c>
      <c r="J1529" s="22">
        <f>1.15+1.25</f>
        <v>2.4</v>
      </c>
      <c r="K1529" s="22">
        <f>0.55+0.55</f>
        <v>1.1000000000000001</v>
      </c>
      <c r="L1529" s="8">
        <f t="shared" si="2055"/>
        <v>1.2999999999999998</v>
      </c>
      <c r="M1529" s="24">
        <f t="shared" si="1955"/>
        <v>5.4621848739495819E-2</v>
      </c>
      <c r="N1529" s="14"/>
    </row>
    <row r="1530" spans="1:14" x14ac:dyDescent="0.25">
      <c r="A1530" s="20">
        <v>44586</v>
      </c>
      <c r="B1530" s="1">
        <f t="shared" ref="B1530" si="2059">B1526</f>
        <v>128</v>
      </c>
      <c r="C1530" s="1" t="s">
        <v>444</v>
      </c>
      <c r="D1530" s="1" t="s">
        <v>178</v>
      </c>
      <c r="E1530" s="26" t="e">
        <f t="shared" ref="E1530:F1530" si="2060">+E1529</f>
        <v>#REF!</v>
      </c>
      <c r="F1530" s="26" t="e">
        <f t="shared" si="2060"/>
        <v>#REF!</v>
      </c>
      <c r="G1530" s="17">
        <v>5</v>
      </c>
      <c r="H1530" s="17" t="s">
        <v>9</v>
      </c>
      <c r="I1530" s="30" t="s">
        <v>34</v>
      </c>
      <c r="J1530" s="22">
        <v>0.7</v>
      </c>
      <c r="K1530" s="63">
        <v>0.55000000000000004</v>
      </c>
      <c r="L1530" s="8">
        <f t="shared" si="2055"/>
        <v>0.14999999999999991</v>
      </c>
      <c r="M1530" s="24">
        <f t="shared" si="1955"/>
        <v>6.3025210084033615E-3</v>
      </c>
      <c r="N1530" s="14"/>
    </row>
    <row r="1531" spans="1:14" x14ac:dyDescent="0.25">
      <c r="A1531" s="20">
        <v>44586</v>
      </c>
      <c r="B1531" s="1">
        <f t="shared" ref="B1531" si="2061">B1526</f>
        <v>128</v>
      </c>
      <c r="C1531" s="1" t="s">
        <v>444</v>
      </c>
      <c r="D1531" s="1" t="s">
        <v>178</v>
      </c>
      <c r="E1531" s="26" t="e">
        <f t="shared" ref="E1531:F1531" si="2062">+E1530</f>
        <v>#REF!</v>
      </c>
      <c r="F1531" s="26" t="e">
        <f t="shared" si="2062"/>
        <v>#REF!</v>
      </c>
      <c r="G1531" s="17">
        <v>6</v>
      </c>
      <c r="H1531" s="17" t="s">
        <v>9</v>
      </c>
      <c r="I1531" s="30" t="s">
        <v>35</v>
      </c>
      <c r="J1531" s="22"/>
      <c r="K1531" s="22"/>
      <c r="L1531" s="8">
        <f t="shared" si="2055"/>
        <v>0</v>
      </c>
      <c r="M1531" s="24">
        <f t="shared" si="1955"/>
        <v>0</v>
      </c>
      <c r="N1531" s="14"/>
    </row>
    <row r="1532" spans="1:14" x14ac:dyDescent="0.25">
      <c r="A1532" s="20">
        <v>44586</v>
      </c>
      <c r="B1532" s="1">
        <f t="shared" ref="B1532" si="2063">B1526</f>
        <v>128</v>
      </c>
      <c r="C1532" s="1" t="s">
        <v>444</v>
      </c>
      <c r="D1532" s="1" t="s">
        <v>178</v>
      </c>
      <c r="E1532" s="26" t="e">
        <f t="shared" ref="E1532:F1532" si="2064">+E1531</f>
        <v>#REF!</v>
      </c>
      <c r="F1532" s="26" t="e">
        <f t="shared" si="2064"/>
        <v>#REF!</v>
      </c>
      <c r="G1532" s="17">
        <v>7</v>
      </c>
      <c r="H1532" s="17" t="s">
        <v>9</v>
      </c>
      <c r="I1532" s="30" t="s">
        <v>36</v>
      </c>
      <c r="J1532" s="22"/>
      <c r="K1532" s="22"/>
      <c r="L1532" s="8">
        <f t="shared" si="2055"/>
        <v>0</v>
      </c>
      <c r="M1532" s="24">
        <f t="shared" si="1955"/>
        <v>0</v>
      </c>
      <c r="N1532" s="14"/>
    </row>
    <row r="1533" spans="1:14" x14ac:dyDescent="0.25">
      <c r="A1533" s="20">
        <v>44586</v>
      </c>
      <c r="B1533" s="1">
        <f t="shared" ref="B1533" si="2065">B1526</f>
        <v>128</v>
      </c>
      <c r="C1533" s="1" t="s">
        <v>444</v>
      </c>
      <c r="D1533" s="1" t="s">
        <v>178</v>
      </c>
      <c r="E1533" s="26" t="e">
        <f>+E1532</f>
        <v>#REF!</v>
      </c>
      <c r="F1533" s="26" t="e">
        <f>+F1532</f>
        <v>#REF!</v>
      </c>
      <c r="G1533" s="17">
        <v>8</v>
      </c>
      <c r="H1533" s="17" t="s">
        <v>9</v>
      </c>
      <c r="I1533" s="30" t="s">
        <v>59</v>
      </c>
      <c r="J1533" s="22">
        <v>0.9</v>
      </c>
      <c r="K1533" s="22">
        <v>0.55000000000000004</v>
      </c>
      <c r="L1533" s="8">
        <f t="shared" si="2055"/>
        <v>0.35</v>
      </c>
      <c r="M1533" s="24">
        <f t="shared" si="1955"/>
        <v>1.4705882352941183E-2</v>
      </c>
      <c r="N1533" s="14"/>
    </row>
    <row r="1534" spans="1:14" x14ac:dyDescent="0.25">
      <c r="A1534" s="20">
        <v>44586</v>
      </c>
      <c r="B1534" s="1">
        <f t="shared" ref="B1534" si="2066">B1526</f>
        <v>128</v>
      </c>
      <c r="C1534" s="1" t="s">
        <v>444</v>
      </c>
      <c r="D1534" s="1" t="s">
        <v>178</v>
      </c>
      <c r="E1534" s="26" t="e">
        <f t="shared" ref="E1534:F1534" si="2067">+E1533</f>
        <v>#REF!</v>
      </c>
      <c r="F1534" s="26" t="e">
        <f t="shared" si="2067"/>
        <v>#REF!</v>
      </c>
      <c r="G1534" s="17">
        <v>9</v>
      </c>
      <c r="H1534" s="17" t="s">
        <v>9</v>
      </c>
      <c r="I1534" s="30" t="s">
        <v>38</v>
      </c>
      <c r="J1534" s="22"/>
      <c r="K1534" s="22"/>
      <c r="L1534" s="8">
        <f t="shared" si="2055"/>
        <v>0</v>
      </c>
      <c r="M1534" s="24">
        <f t="shared" ref="M1534:M1597" si="2068">+L1534/SUMIF(C:C,C1534,L:L)</f>
        <v>0</v>
      </c>
      <c r="N1534" s="14"/>
    </row>
    <row r="1535" spans="1:14" x14ac:dyDescent="0.25">
      <c r="A1535" s="20">
        <v>44586</v>
      </c>
      <c r="B1535" s="1">
        <f t="shared" ref="B1535" si="2069">B1526</f>
        <v>128</v>
      </c>
      <c r="C1535" s="1" t="s">
        <v>444</v>
      </c>
      <c r="D1535" s="1" t="s">
        <v>178</v>
      </c>
      <c r="E1535" s="26" t="e">
        <f t="shared" ref="E1535:F1535" si="2070">+E1534</f>
        <v>#REF!</v>
      </c>
      <c r="F1535" s="26" t="e">
        <f t="shared" si="2070"/>
        <v>#REF!</v>
      </c>
      <c r="G1535" s="17">
        <v>10</v>
      </c>
      <c r="H1535" s="17" t="s">
        <v>9</v>
      </c>
      <c r="I1535" s="30" t="s">
        <v>23</v>
      </c>
      <c r="J1535" s="22">
        <v>11.2</v>
      </c>
      <c r="K1535" s="22">
        <v>8.3000000000000007</v>
      </c>
      <c r="L1535" s="8">
        <f t="shared" si="2055"/>
        <v>2.8999999999999986</v>
      </c>
      <c r="M1535" s="24">
        <f t="shared" si="2068"/>
        <v>0.12184873949579833</v>
      </c>
      <c r="N1535" s="14"/>
    </row>
    <row r="1536" spans="1:14" x14ac:dyDescent="0.25">
      <c r="A1536" s="20">
        <v>44586</v>
      </c>
      <c r="B1536" s="1">
        <f t="shared" ref="B1536" si="2071">B1526</f>
        <v>128</v>
      </c>
      <c r="C1536" s="1" t="s">
        <v>444</v>
      </c>
      <c r="D1536" s="1" t="s">
        <v>178</v>
      </c>
      <c r="E1536" s="26" t="e">
        <f t="shared" ref="E1536:F1536" si="2072">+E1535</f>
        <v>#REF!</v>
      </c>
      <c r="F1536" s="26" t="e">
        <f t="shared" si="2072"/>
        <v>#REF!</v>
      </c>
      <c r="G1536" s="17">
        <v>11</v>
      </c>
      <c r="H1536" s="17" t="s">
        <v>9</v>
      </c>
      <c r="I1536" s="30" t="s">
        <v>60</v>
      </c>
      <c r="J1536" s="22">
        <f>0.6+0.95</f>
        <v>1.5499999999999998</v>
      </c>
      <c r="K1536" s="22">
        <f>0.5+0.55</f>
        <v>1.05</v>
      </c>
      <c r="L1536" s="8">
        <f t="shared" si="2055"/>
        <v>0.49999999999999978</v>
      </c>
      <c r="M1536" s="24">
        <f t="shared" si="2068"/>
        <v>2.100840336134454E-2</v>
      </c>
      <c r="N1536" s="14"/>
    </row>
    <row r="1537" spans="1:14" ht="15.75" thickBot="1" x14ac:dyDescent="0.3">
      <c r="A1537" s="20">
        <v>44586</v>
      </c>
      <c r="B1537" s="57">
        <f t="shared" ref="B1537" si="2073">B1526</f>
        <v>128</v>
      </c>
      <c r="C1537" s="1" t="s">
        <v>444</v>
      </c>
      <c r="D1537" s="1" t="s">
        <v>178</v>
      </c>
      <c r="E1537" s="26" t="e">
        <f t="shared" ref="E1537:F1537" si="2074">+E1536</f>
        <v>#REF!</v>
      </c>
      <c r="F1537" s="26" t="e">
        <f t="shared" si="2074"/>
        <v>#REF!</v>
      </c>
      <c r="G1537" s="18">
        <f>+G1536+1</f>
        <v>12</v>
      </c>
      <c r="H1537" s="18" t="s">
        <v>10</v>
      </c>
      <c r="I1537" s="46" t="s">
        <v>10</v>
      </c>
      <c r="J1537" s="22">
        <f>13.05+10.6+9.2+15.15</f>
        <v>47.999999999999993</v>
      </c>
      <c r="K1537" s="63">
        <f>8.55+8.3+8.55+8.55</f>
        <v>33.950000000000003</v>
      </c>
      <c r="L1537" s="8">
        <f t="shared" si="2055"/>
        <v>14.04999999999999</v>
      </c>
      <c r="M1537" s="24">
        <f t="shared" si="2068"/>
        <v>0.59033613445378141</v>
      </c>
      <c r="N1537" s="14"/>
    </row>
    <row r="1538" spans="1:14" x14ac:dyDescent="0.25">
      <c r="A1538" s="19">
        <v>44586</v>
      </c>
      <c r="B1538" s="15">
        <f t="shared" ref="B1538" si="2075">B1526+1</f>
        <v>129</v>
      </c>
      <c r="C1538" s="15" t="s">
        <v>445</v>
      </c>
      <c r="D1538" s="15" t="s">
        <v>178</v>
      </c>
      <c r="E1538" s="25">
        <f>29.6-1.2</f>
        <v>28.400000000000002</v>
      </c>
      <c r="F1538" s="25">
        <f>+SUM(L1538:L1549)</f>
        <v>28.499999999999993</v>
      </c>
      <c r="G1538" s="16">
        <v>1</v>
      </c>
      <c r="H1538" s="16" t="s">
        <v>9</v>
      </c>
      <c r="I1538" s="59" t="s">
        <v>56</v>
      </c>
      <c r="J1538" s="21">
        <v>1.2</v>
      </c>
      <c r="K1538" s="21">
        <v>0.55000000000000004</v>
      </c>
      <c r="L1538" s="12">
        <f>+J1538-K1538</f>
        <v>0.64999999999999991</v>
      </c>
      <c r="M1538" s="23">
        <f t="shared" si="2068"/>
        <v>2.2807017543859651E-2</v>
      </c>
      <c r="N1538" s="13"/>
    </row>
    <row r="1539" spans="1:14" x14ac:dyDescent="0.25">
      <c r="A1539" s="20">
        <v>44586</v>
      </c>
      <c r="B1539" s="1">
        <f t="shared" ref="B1539" si="2076">B1538</f>
        <v>129</v>
      </c>
      <c r="C1539" s="1" t="s">
        <v>445</v>
      </c>
      <c r="D1539" s="1" t="s">
        <v>178</v>
      </c>
      <c r="E1539" s="26">
        <f>+E1538</f>
        <v>28.400000000000002</v>
      </c>
      <c r="F1539" s="28">
        <f>+(F1538-E1538)/E1538</f>
        <v>3.5211267605630547E-3</v>
      </c>
      <c r="G1539" s="17">
        <v>2</v>
      </c>
      <c r="H1539" s="17" t="s">
        <v>9</v>
      </c>
      <c r="I1539" s="30" t="s">
        <v>57</v>
      </c>
      <c r="J1539" s="22">
        <v>10.35</v>
      </c>
      <c r="K1539" s="22">
        <v>8.3000000000000007</v>
      </c>
      <c r="L1539" s="8">
        <f t="shared" ref="L1539:L1549" si="2077">+J1539-K1539</f>
        <v>2.0499999999999989</v>
      </c>
      <c r="M1539" s="24">
        <f t="shared" si="2068"/>
        <v>7.1929824561403483E-2</v>
      </c>
      <c r="N1539" s="14"/>
    </row>
    <row r="1540" spans="1:14" x14ac:dyDescent="0.25">
      <c r="A1540" s="20">
        <v>44586</v>
      </c>
      <c r="B1540" s="1">
        <f t="shared" ref="B1540" si="2078">B1538</f>
        <v>129</v>
      </c>
      <c r="C1540" s="1" t="s">
        <v>445</v>
      </c>
      <c r="D1540" s="1" t="s">
        <v>178</v>
      </c>
      <c r="E1540" s="26" t="e">
        <f>+#REF!</f>
        <v>#REF!</v>
      </c>
      <c r="F1540" s="26" t="e">
        <f>+#REF!</f>
        <v>#REF!</v>
      </c>
      <c r="G1540" s="17">
        <v>3</v>
      </c>
      <c r="H1540" s="17" t="s">
        <v>9</v>
      </c>
      <c r="I1540" s="30" t="s">
        <v>58</v>
      </c>
      <c r="J1540" s="22">
        <v>11.1</v>
      </c>
      <c r="K1540" s="22">
        <v>8.5500000000000007</v>
      </c>
      <c r="L1540" s="8">
        <f t="shared" si="2077"/>
        <v>2.5499999999999989</v>
      </c>
      <c r="M1540" s="24">
        <f t="shared" si="2068"/>
        <v>8.9473684210526302E-2</v>
      </c>
      <c r="N1540" s="14"/>
    </row>
    <row r="1541" spans="1:14" x14ac:dyDescent="0.25">
      <c r="A1541" s="20">
        <v>44586</v>
      </c>
      <c r="B1541" s="1">
        <f t="shared" ref="B1541" si="2079">B1538</f>
        <v>129</v>
      </c>
      <c r="C1541" s="1" t="s">
        <v>445</v>
      </c>
      <c r="D1541" s="1" t="s">
        <v>178</v>
      </c>
      <c r="E1541" s="26" t="e">
        <f t="shared" ref="E1541:F1541" si="2080">+E1540</f>
        <v>#REF!</v>
      </c>
      <c r="F1541" s="26" t="e">
        <f t="shared" si="2080"/>
        <v>#REF!</v>
      </c>
      <c r="G1541" s="17">
        <v>4</v>
      </c>
      <c r="H1541" s="17" t="s">
        <v>9</v>
      </c>
      <c r="I1541" s="30" t="s">
        <v>22</v>
      </c>
      <c r="J1541" s="22">
        <v>2.1</v>
      </c>
      <c r="K1541" s="22">
        <v>1.05</v>
      </c>
      <c r="L1541" s="8">
        <f t="shared" si="2077"/>
        <v>1.05</v>
      </c>
      <c r="M1541" s="24">
        <f t="shared" si="2068"/>
        <v>3.6842105263157905E-2</v>
      </c>
      <c r="N1541" s="14"/>
    </row>
    <row r="1542" spans="1:14" x14ac:dyDescent="0.25">
      <c r="A1542" s="20">
        <v>44586</v>
      </c>
      <c r="B1542" s="1">
        <f t="shared" ref="B1542" si="2081">B1538</f>
        <v>129</v>
      </c>
      <c r="C1542" s="1" t="s">
        <v>445</v>
      </c>
      <c r="D1542" s="1" t="s">
        <v>178</v>
      </c>
      <c r="E1542" s="26" t="e">
        <f t="shared" ref="E1542:F1542" si="2082">+E1541</f>
        <v>#REF!</v>
      </c>
      <c r="F1542" s="26" t="e">
        <f t="shared" si="2082"/>
        <v>#REF!</v>
      </c>
      <c r="G1542" s="17">
        <v>5</v>
      </c>
      <c r="H1542" s="17" t="s">
        <v>9</v>
      </c>
      <c r="I1542" s="30" t="s">
        <v>34</v>
      </c>
      <c r="J1542" s="22">
        <v>1.4</v>
      </c>
      <c r="K1542" s="63">
        <v>0.55000000000000004</v>
      </c>
      <c r="L1542" s="8">
        <f t="shared" si="2077"/>
        <v>0.84999999999999987</v>
      </c>
      <c r="M1542" s="24">
        <f t="shared" si="2068"/>
        <v>2.9824561403508774E-2</v>
      </c>
      <c r="N1542" s="14"/>
    </row>
    <row r="1543" spans="1:14" x14ac:dyDescent="0.25">
      <c r="A1543" s="20">
        <v>44586</v>
      </c>
      <c r="B1543" s="1">
        <f t="shared" ref="B1543" si="2083">B1538</f>
        <v>129</v>
      </c>
      <c r="C1543" s="1" t="s">
        <v>445</v>
      </c>
      <c r="D1543" s="1" t="s">
        <v>178</v>
      </c>
      <c r="E1543" s="26" t="e">
        <f t="shared" ref="E1543:F1543" si="2084">+E1542</f>
        <v>#REF!</v>
      </c>
      <c r="F1543" s="26" t="e">
        <f t="shared" si="2084"/>
        <v>#REF!</v>
      </c>
      <c r="G1543" s="17">
        <v>6</v>
      </c>
      <c r="H1543" s="17" t="s">
        <v>9</v>
      </c>
      <c r="I1543" s="30" t="s">
        <v>35</v>
      </c>
      <c r="J1543" s="22"/>
      <c r="K1543" s="22"/>
      <c r="L1543" s="8">
        <f t="shared" si="2077"/>
        <v>0</v>
      </c>
      <c r="M1543" s="24">
        <f t="shared" si="2068"/>
        <v>0</v>
      </c>
      <c r="N1543" s="14"/>
    </row>
    <row r="1544" spans="1:14" x14ac:dyDescent="0.25">
      <c r="A1544" s="20">
        <v>44586</v>
      </c>
      <c r="B1544" s="1">
        <f t="shared" ref="B1544" si="2085">B1538</f>
        <v>129</v>
      </c>
      <c r="C1544" s="1" t="s">
        <v>445</v>
      </c>
      <c r="D1544" s="1" t="s">
        <v>178</v>
      </c>
      <c r="E1544" s="26" t="e">
        <f t="shared" ref="E1544:F1544" si="2086">+E1543</f>
        <v>#REF!</v>
      </c>
      <c r="F1544" s="26" t="e">
        <f t="shared" si="2086"/>
        <v>#REF!</v>
      </c>
      <c r="G1544" s="17">
        <v>7</v>
      </c>
      <c r="H1544" s="17" t="s">
        <v>9</v>
      </c>
      <c r="I1544" s="30" t="s">
        <v>36</v>
      </c>
      <c r="J1544" s="22"/>
      <c r="K1544" s="22"/>
      <c r="L1544" s="8">
        <f t="shared" si="2077"/>
        <v>0</v>
      </c>
      <c r="M1544" s="24">
        <f t="shared" si="2068"/>
        <v>0</v>
      </c>
      <c r="N1544" s="14"/>
    </row>
    <row r="1545" spans="1:14" x14ac:dyDescent="0.25">
      <c r="A1545" s="20">
        <v>44586</v>
      </c>
      <c r="B1545" s="1">
        <f t="shared" ref="B1545" si="2087">B1538</f>
        <v>129</v>
      </c>
      <c r="C1545" s="1" t="s">
        <v>445</v>
      </c>
      <c r="D1545" s="1" t="s">
        <v>178</v>
      </c>
      <c r="E1545" s="26" t="e">
        <f>+E1544</f>
        <v>#REF!</v>
      </c>
      <c r="F1545" s="26" t="e">
        <f>+F1544</f>
        <v>#REF!</v>
      </c>
      <c r="G1545" s="17">
        <v>8</v>
      </c>
      <c r="H1545" s="17" t="s">
        <v>9</v>
      </c>
      <c r="I1545" s="30" t="s">
        <v>59</v>
      </c>
      <c r="J1545" s="22">
        <v>1.45</v>
      </c>
      <c r="K1545" s="22">
        <v>0.55000000000000004</v>
      </c>
      <c r="L1545" s="8">
        <f t="shared" si="2077"/>
        <v>0.89999999999999991</v>
      </c>
      <c r="M1545" s="24">
        <f t="shared" si="2068"/>
        <v>3.1578947368421061E-2</v>
      </c>
      <c r="N1545" s="14"/>
    </row>
    <row r="1546" spans="1:14" x14ac:dyDescent="0.25">
      <c r="A1546" s="20">
        <v>44586</v>
      </c>
      <c r="B1546" s="1">
        <f t="shared" ref="B1546" si="2088">B1538</f>
        <v>129</v>
      </c>
      <c r="C1546" s="1" t="s">
        <v>445</v>
      </c>
      <c r="D1546" s="1" t="s">
        <v>178</v>
      </c>
      <c r="E1546" s="26" t="e">
        <f t="shared" ref="E1546:F1546" si="2089">+E1545</f>
        <v>#REF!</v>
      </c>
      <c r="F1546" s="26" t="e">
        <f t="shared" si="2089"/>
        <v>#REF!</v>
      </c>
      <c r="G1546" s="17">
        <v>9</v>
      </c>
      <c r="H1546" s="17" t="s">
        <v>9</v>
      </c>
      <c r="I1546" s="30" t="s">
        <v>38</v>
      </c>
      <c r="J1546" s="22"/>
      <c r="K1546" s="22"/>
      <c r="L1546" s="8">
        <f t="shared" si="2077"/>
        <v>0</v>
      </c>
      <c r="M1546" s="24">
        <f t="shared" si="2068"/>
        <v>0</v>
      </c>
      <c r="N1546" s="14"/>
    </row>
    <row r="1547" spans="1:14" x14ac:dyDescent="0.25">
      <c r="A1547" s="20">
        <v>44586</v>
      </c>
      <c r="B1547" s="1">
        <f t="shared" ref="B1547" si="2090">B1538</f>
        <v>129</v>
      </c>
      <c r="C1547" s="1" t="s">
        <v>445</v>
      </c>
      <c r="D1547" s="1" t="s">
        <v>178</v>
      </c>
      <c r="E1547" s="26" t="e">
        <f t="shared" ref="E1547:F1547" si="2091">+E1546</f>
        <v>#REF!</v>
      </c>
      <c r="F1547" s="26" t="e">
        <f t="shared" si="2091"/>
        <v>#REF!</v>
      </c>
      <c r="G1547" s="17">
        <v>10</v>
      </c>
      <c r="H1547" s="17" t="s">
        <v>9</v>
      </c>
      <c r="I1547" s="30" t="s">
        <v>23</v>
      </c>
      <c r="J1547" s="22">
        <f>12.3</f>
        <v>12.3</v>
      </c>
      <c r="K1547" s="22">
        <f>8.55</f>
        <v>8.5500000000000007</v>
      </c>
      <c r="L1547" s="8">
        <f t="shared" si="2077"/>
        <v>3.75</v>
      </c>
      <c r="M1547" s="24">
        <f t="shared" si="2068"/>
        <v>0.13157894736842107</v>
      </c>
      <c r="N1547" s="14"/>
    </row>
    <row r="1548" spans="1:14" x14ac:dyDescent="0.25">
      <c r="A1548" s="20">
        <v>44586</v>
      </c>
      <c r="B1548" s="1">
        <f t="shared" ref="B1548" si="2092">B1538</f>
        <v>129</v>
      </c>
      <c r="C1548" s="1" t="s">
        <v>445</v>
      </c>
      <c r="D1548" s="1" t="s">
        <v>178</v>
      </c>
      <c r="E1548" s="26" t="e">
        <f t="shared" ref="E1548:F1548" si="2093">+E1547</f>
        <v>#REF!</v>
      </c>
      <c r="F1548" s="26" t="e">
        <f t="shared" si="2093"/>
        <v>#REF!</v>
      </c>
      <c r="G1548" s="17">
        <v>11</v>
      </c>
      <c r="H1548" s="17" t="s">
        <v>9</v>
      </c>
      <c r="I1548" s="30" t="s">
        <v>60</v>
      </c>
      <c r="J1548" s="22">
        <f>0.7+9.3</f>
        <v>10</v>
      </c>
      <c r="K1548" s="22">
        <f>0.55+8.55</f>
        <v>9.1000000000000014</v>
      </c>
      <c r="L1548" s="8">
        <f t="shared" si="2077"/>
        <v>0.89999999999999858</v>
      </c>
      <c r="M1548" s="24">
        <f t="shared" si="2068"/>
        <v>3.1578947368421012E-2</v>
      </c>
      <c r="N1548" s="14"/>
    </row>
    <row r="1549" spans="1:14" ht="15.75" thickBot="1" x14ac:dyDescent="0.3">
      <c r="A1549" s="20">
        <v>44586</v>
      </c>
      <c r="B1549" s="57">
        <f t="shared" ref="B1549" si="2094">B1538</f>
        <v>129</v>
      </c>
      <c r="C1549" s="1" t="s">
        <v>445</v>
      </c>
      <c r="D1549" s="1" t="s">
        <v>178</v>
      </c>
      <c r="E1549" s="26" t="e">
        <f t="shared" ref="E1549:F1549" si="2095">+E1548</f>
        <v>#REF!</v>
      </c>
      <c r="F1549" s="26" t="e">
        <f t="shared" si="2095"/>
        <v>#REF!</v>
      </c>
      <c r="G1549" s="18">
        <f>+G1548+1</f>
        <v>12</v>
      </c>
      <c r="H1549" s="18" t="s">
        <v>10</v>
      </c>
      <c r="I1549" s="46" t="s">
        <v>10</v>
      </c>
      <c r="J1549" s="22">
        <f>10.45+14.65+11.65+12.95</f>
        <v>49.7</v>
      </c>
      <c r="K1549" s="63">
        <f>8.3+8.55+8.55+8.5</f>
        <v>33.900000000000006</v>
      </c>
      <c r="L1549" s="8">
        <f t="shared" si="2077"/>
        <v>15.799999999999997</v>
      </c>
      <c r="M1549" s="24">
        <f t="shared" si="2068"/>
        <v>0.55438596491228076</v>
      </c>
      <c r="N1549" s="14"/>
    </row>
    <row r="1550" spans="1:14" x14ac:dyDescent="0.25">
      <c r="A1550" s="19">
        <v>44587</v>
      </c>
      <c r="B1550" s="15">
        <f t="shared" ref="B1550" si="2096">B1538+1</f>
        <v>130</v>
      </c>
      <c r="C1550" s="15" t="s">
        <v>446</v>
      </c>
      <c r="D1550" s="15" t="s">
        <v>179</v>
      </c>
      <c r="E1550" s="25">
        <f>36.2-1.2</f>
        <v>35</v>
      </c>
      <c r="F1550" s="25">
        <f>+SUM(L1550:L1561)</f>
        <v>34.999999999999993</v>
      </c>
      <c r="G1550" s="16">
        <v>1</v>
      </c>
      <c r="H1550" s="16" t="s">
        <v>9</v>
      </c>
      <c r="I1550" s="59" t="s">
        <v>56</v>
      </c>
      <c r="J1550" s="21">
        <v>0.6</v>
      </c>
      <c r="K1550" s="21">
        <v>0.55000000000000004</v>
      </c>
      <c r="L1550" s="12">
        <f>+J1550-K1550</f>
        <v>4.9999999999999933E-2</v>
      </c>
      <c r="M1550" s="23">
        <f t="shared" si="2068"/>
        <v>1.4285714285714271E-3</v>
      </c>
      <c r="N1550" s="13"/>
    </row>
    <row r="1551" spans="1:14" x14ac:dyDescent="0.25">
      <c r="A1551" s="20">
        <v>44587</v>
      </c>
      <c r="B1551" s="1">
        <f t="shared" ref="B1551" si="2097">B1550</f>
        <v>130</v>
      </c>
      <c r="C1551" s="1" t="s">
        <v>446</v>
      </c>
      <c r="D1551" s="1" t="s">
        <v>179</v>
      </c>
      <c r="E1551" s="26">
        <f>+E1550</f>
        <v>35</v>
      </c>
      <c r="F1551" s="28">
        <f>+(F1550-E1550)/E1550</f>
        <v>-2.0301221021717148E-16</v>
      </c>
      <c r="G1551" s="17">
        <v>2</v>
      </c>
      <c r="H1551" s="17" t="s">
        <v>9</v>
      </c>
      <c r="I1551" s="30" t="s">
        <v>57</v>
      </c>
      <c r="J1551" s="22">
        <v>0.75</v>
      </c>
      <c r="K1551" s="22">
        <v>0.55000000000000004</v>
      </c>
      <c r="L1551" s="8">
        <f t="shared" ref="L1551:L1561" si="2098">+J1551-K1551</f>
        <v>0.19999999999999996</v>
      </c>
      <c r="M1551" s="24">
        <f t="shared" si="2068"/>
        <v>5.7142857142857143E-3</v>
      </c>
      <c r="N1551" s="14"/>
    </row>
    <row r="1552" spans="1:14" x14ac:dyDescent="0.25">
      <c r="A1552" s="20">
        <v>44587</v>
      </c>
      <c r="B1552" s="1">
        <f t="shared" ref="B1552" si="2099">B1550</f>
        <v>130</v>
      </c>
      <c r="C1552" s="1" t="s">
        <v>446</v>
      </c>
      <c r="D1552" s="1" t="s">
        <v>179</v>
      </c>
      <c r="E1552" s="26" t="e">
        <f>+#REF!</f>
        <v>#REF!</v>
      </c>
      <c r="F1552" s="26" t="e">
        <f>+#REF!</f>
        <v>#REF!</v>
      </c>
      <c r="G1552" s="17">
        <v>3</v>
      </c>
      <c r="H1552" s="17" t="s">
        <v>9</v>
      </c>
      <c r="I1552" s="30" t="s">
        <v>58</v>
      </c>
      <c r="J1552" s="22">
        <v>0.65</v>
      </c>
      <c r="K1552" s="22">
        <v>0.5</v>
      </c>
      <c r="L1552" s="8">
        <f t="shared" si="2098"/>
        <v>0.15000000000000002</v>
      </c>
      <c r="M1552" s="24">
        <f t="shared" si="2068"/>
        <v>4.2857142857142868E-3</v>
      </c>
      <c r="N1552" s="14"/>
    </row>
    <row r="1553" spans="1:14" x14ac:dyDescent="0.25">
      <c r="A1553" s="20">
        <v>44587</v>
      </c>
      <c r="B1553" s="1">
        <f t="shared" ref="B1553" si="2100">B1550</f>
        <v>130</v>
      </c>
      <c r="C1553" s="1" t="s">
        <v>446</v>
      </c>
      <c r="D1553" s="1" t="s">
        <v>179</v>
      </c>
      <c r="E1553" s="26" t="e">
        <f t="shared" ref="E1553:F1553" si="2101">+E1552</f>
        <v>#REF!</v>
      </c>
      <c r="F1553" s="26" t="e">
        <f t="shared" si="2101"/>
        <v>#REF!</v>
      </c>
      <c r="G1553" s="17">
        <v>4</v>
      </c>
      <c r="H1553" s="17" t="s">
        <v>9</v>
      </c>
      <c r="I1553" s="30" t="s">
        <v>22</v>
      </c>
      <c r="J1553" s="22">
        <v>0.6</v>
      </c>
      <c r="K1553" s="22">
        <v>0.55000000000000004</v>
      </c>
      <c r="L1553" s="8">
        <f t="shared" si="2098"/>
        <v>4.9999999999999933E-2</v>
      </c>
      <c r="M1553" s="24">
        <f t="shared" si="2068"/>
        <v>1.4285714285714271E-3</v>
      </c>
      <c r="N1553" s="14"/>
    </row>
    <row r="1554" spans="1:14" x14ac:dyDescent="0.25">
      <c r="A1554" s="20">
        <v>44587</v>
      </c>
      <c r="B1554" s="1">
        <f t="shared" ref="B1554" si="2102">B1550</f>
        <v>130</v>
      </c>
      <c r="C1554" s="1" t="s">
        <v>446</v>
      </c>
      <c r="D1554" s="1" t="s">
        <v>179</v>
      </c>
      <c r="E1554" s="26" t="e">
        <f t="shared" ref="E1554:F1554" si="2103">+E1553</f>
        <v>#REF!</v>
      </c>
      <c r="F1554" s="26" t="e">
        <f t="shared" si="2103"/>
        <v>#REF!</v>
      </c>
      <c r="G1554" s="17">
        <v>5</v>
      </c>
      <c r="H1554" s="17" t="s">
        <v>9</v>
      </c>
      <c r="I1554" s="30" t="s">
        <v>34</v>
      </c>
      <c r="J1554" s="22">
        <v>0.75</v>
      </c>
      <c r="K1554" s="63">
        <v>0.55000000000000004</v>
      </c>
      <c r="L1554" s="8">
        <f t="shared" si="2098"/>
        <v>0.19999999999999996</v>
      </c>
      <c r="M1554" s="24">
        <f t="shared" si="2068"/>
        <v>5.7142857142857143E-3</v>
      </c>
      <c r="N1554" s="14"/>
    </row>
    <row r="1555" spans="1:14" x14ac:dyDescent="0.25">
      <c r="A1555" s="20">
        <v>44587</v>
      </c>
      <c r="B1555" s="1">
        <f t="shared" ref="B1555" si="2104">B1550</f>
        <v>130</v>
      </c>
      <c r="C1555" s="1" t="s">
        <v>446</v>
      </c>
      <c r="D1555" s="1" t="s">
        <v>179</v>
      </c>
      <c r="E1555" s="26" t="e">
        <f t="shared" ref="E1555:F1555" si="2105">+E1554</f>
        <v>#REF!</v>
      </c>
      <c r="F1555" s="26" t="e">
        <f t="shared" si="2105"/>
        <v>#REF!</v>
      </c>
      <c r="G1555" s="17">
        <v>6</v>
      </c>
      <c r="H1555" s="17" t="s">
        <v>9</v>
      </c>
      <c r="I1555" s="30" t="s">
        <v>35</v>
      </c>
      <c r="J1555" s="22"/>
      <c r="K1555" s="22"/>
      <c r="L1555" s="8">
        <f t="shared" si="2098"/>
        <v>0</v>
      </c>
      <c r="M1555" s="24">
        <f t="shared" si="2068"/>
        <v>0</v>
      </c>
      <c r="N1555" s="14"/>
    </row>
    <row r="1556" spans="1:14" x14ac:dyDescent="0.25">
      <c r="A1556" s="20">
        <v>44587</v>
      </c>
      <c r="B1556" s="1">
        <f t="shared" ref="B1556" si="2106">B1550</f>
        <v>130</v>
      </c>
      <c r="C1556" s="1" t="s">
        <v>446</v>
      </c>
      <c r="D1556" s="1" t="s">
        <v>179</v>
      </c>
      <c r="E1556" s="26" t="e">
        <f t="shared" ref="E1556:F1556" si="2107">+E1555</f>
        <v>#REF!</v>
      </c>
      <c r="F1556" s="26" t="e">
        <f t="shared" si="2107"/>
        <v>#REF!</v>
      </c>
      <c r="G1556" s="17">
        <v>7</v>
      </c>
      <c r="H1556" s="17" t="s">
        <v>9</v>
      </c>
      <c r="I1556" s="30" t="s">
        <v>36</v>
      </c>
      <c r="J1556" s="22">
        <f>18.35+17</f>
        <v>35.35</v>
      </c>
      <c r="K1556" s="22">
        <f>6.05+6.05</f>
        <v>12.1</v>
      </c>
      <c r="L1556" s="8">
        <f t="shared" si="2098"/>
        <v>23.25</v>
      </c>
      <c r="M1556" s="24">
        <f t="shared" si="2068"/>
        <v>0.66428571428571437</v>
      </c>
      <c r="N1556" s="14"/>
    </row>
    <row r="1557" spans="1:14" x14ac:dyDescent="0.25">
      <c r="A1557" s="20">
        <v>44587</v>
      </c>
      <c r="B1557" s="1">
        <f t="shared" ref="B1557" si="2108">B1550</f>
        <v>130</v>
      </c>
      <c r="C1557" s="1" t="s">
        <v>446</v>
      </c>
      <c r="D1557" s="1" t="s">
        <v>179</v>
      </c>
      <c r="E1557" s="26" t="e">
        <f>+E1556</f>
        <v>#REF!</v>
      </c>
      <c r="F1557" s="26" t="e">
        <f>+F1556</f>
        <v>#REF!</v>
      </c>
      <c r="G1557" s="17">
        <v>8</v>
      </c>
      <c r="H1557" s="17" t="s">
        <v>9</v>
      </c>
      <c r="I1557" s="30" t="s">
        <v>59</v>
      </c>
      <c r="J1557" s="22">
        <v>9.6999999999999993</v>
      </c>
      <c r="K1557" s="22">
        <v>8.3000000000000007</v>
      </c>
      <c r="L1557" s="8">
        <f t="shared" si="2098"/>
        <v>1.3999999999999986</v>
      </c>
      <c r="M1557" s="24">
        <f t="shared" si="2068"/>
        <v>3.9999999999999966E-2</v>
      </c>
      <c r="N1557" s="14"/>
    </row>
    <row r="1558" spans="1:14" x14ac:dyDescent="0.25">
      <c r="A1558" s="20">
        <v>44587</v>
      </c>
      <c r="B1558" s="1">
        <f t="shared" ref="B1558" si="2109">B1550</f>
        <v>130</v>
      </c>
      <c r="C1558" s="1" t="s">
        <v>446</v>
      </c>
      <c r="D1558" s="1" t="s">
        <v>179</v>
      </c>
      <c r="E1558" s="26" t="e">
        <f t="shared" ref="E1558:F1558" si="2110">+E1557</f>
        <v>#REF!</v>
      </c>
      <c r="F1558" s="26" t="e">
        <f t="shared" si="2110"/>
        <v>#REF!</v>
      </c>
      <c r="G1558" s="17">
        <v>9</v>
      </c>
      <c r="H1558" s="17" t="s">
        <v>9</v>
      </c>
      <c r="I1558" s="30" t="s">
        <v>38</v>
      </c>
      <c r="J1558" s="22"/>
      <c r="K1558" s="22"/>
      <c r="L1558" s="8">
        <f t="shared" si="2098"/>
        <v>0</v>
      </c>
      <c r="M1558" s="24">
        <f t="shared" si="2068"/>
        <v>0</v>
      </c>
      <c r="N1558" s="14"/>
    </row>
    <row r="1559" spans="1:14" x14ac:dyDescent="0.25">
      <c r="A1559" s="20">
        <v>44587</v>
      </c>
      <c r="B1559" s="1">
        <f t="shared" ref="B1559" si="2111">B1550</f>
        <v>130</v>
      </c>
      <c r="C1559" s="1" t="s">
        <v>446</v>
      </c>
      <c r="D1559" s="1" t="s">
        <v>179</v>
      </c>
      <c r="E1559" s="26" t="e">
        <f t="shared" ref="E1559:F1559" si="2112">+E1558</f>
        <v>#REF!</v>
      </c>
      <c r="F1559" s="26" t="e">
        <f t="shared" si="2112"/>
        <v>#REF!</v>
      </c>
      <c r="G1559" s="17">
        <v>10</v>
      </c>
      <c r="H1559" s="17" t="s">
        <v>9</v>
      </c>
      <c r="I1559" s="30" t="s">
        <v>23</v>
      </c>
      <c r="J1559" s="22">
        <f>9.6+10.3</f>
        <v>19.899999999999999</v>
      </c>
      <c r="K1559" s="22">
        <f>8.5+8.3</f>
        <v>16.8</v>
      </c>
      <c r="L1559" s="8">
        <f t="shared" si="2098"/>
        <v>3.0999999999999979</v>
      </c>
      <c r="M1559" s="24">
        <f t="shared" si="2068"/>
        <v>8.8571428571428523E-2</v>
      </c>
      <c r="N1559" s="14"/>
    </row>
    <row r="1560" spans="1:14" x14ac:dyDescent="0.25">
      <c r="A1560" s="20">
        <v>44587</v>
      </c>
      <c r="B1560" s="1">
        <f t="shared" ref="B1560" si="2113">B1550</f>
        <v>130</v>
      </c>
      <c r="C1560" s="1" t="s">
        <v>446</v>
      </c>
      <c r="D1560" s="1" t="s">
        <v>179</v>
      </c>
      <c r="E1560" s="26" t="e">
        <f t="shared" ref="E1560:F1560" si="2114">+E1559</f>
        <v>#REF!</v>
      </c>
      <c r="F1560" s="26" t="e">
        <f t="shared" si="2114"/>
        <v>#REF!</v>
      </c>
      <c r="G1560" s="17">
        <v>11</v>
      </c>
      <c r="H1560" s="17" t="s">
        <v>9</v>
      </c>
      <c r="I1560" s="30" t="s">
        <v>60</v>
      </c>
      <c r="J1560" s="22">
        <v>0</v>
      </c>
      <c r="K1560" s="22">
        <v>0</v>
      </c>
      <c r="L1560" s="8">
        <f t="shared" si="2098"/>
        <v>0</v>
      </c>
      <c r="M1560" s="24">
        <f t="shared" si="2068"/>
        <v>0</v>
      </c>
      <c r="N1560" s="14"/>
    </row>
    <row r="1561" spans="1:14" ht="15.75" thickBot="1" x14ac:dyDescent="0.3">
      <c r="A1561" s="20">
        <v>44587</v>
      </c>
      <c r="B1561" s="57">
        <f t="shared" ref="B1561" si="2115">B1550</f>
        <v>130</v>
      </c>
      <c r="C1561" s="1" t="s">
        <v>446</v>
      </c>
      <c r="D1561" s="1" t="s">
        <v>179</v>
      </c>
      <c r="E1561" s="26" t="e">
        <f t="shared" ref="E1561:F1561" si="2116">+E1560</f>
        <v>#REF!</v>
      </c>
      <c r="F1561" s="26" t="e">
        <f t="shared" si="2116"/>
        <v>#REF!</v>
      </c>
      <c r="G1561" s="18">
        <f>+G1560+1</f>
        <v>12</v>
      </c>
      <c r="H1561" s="18" t="s">
        <v>10</v>
      </c>
      <c r="I1561" s="46" t="s">
        <v>10</v>
      </c>
      <c r="J1561" s="22">
        <f>12.35+11.1</f>
        <v>23.45</v>
      </c>
      <c r="K1561" s="63">
        <f>8.3+8.55</f>
        <v>16.850000000000001</v>
      </c>
      <c r="L1561" s="8">
        <f t="shared" si="2098"/>
        <v>6.5999999999999979</v>
      </c>
      <c r="M1561" s="24">
        <f t="shared" si="2068"/>
        <v>0.18857142857142856</v>
      </c>
      <c r="N1561" s="14"/>
    </row>
    <row r="1562" spans="1:14" x14ac:dyDescent="0.25">
      <c r="A1562" s="19">
        <v>44587</v>
      </c>
      <c r="B1562" s="15">
        <f t="shared" ref="B1562" si="2117">B1550+1</f>
        <v>131</v>
      </c>
      <c r="C1562" s="15" t="s">
        <v>447</v>
      </c>
      <c r="D1562" s="15" t="s">
        <v>179</v>
      </c>
      <c r="E1562" s="25">
        <f>31.6-1.2</f>
        <v>30.400000000000002</v>
      </c>
      <c r="F1562" s="25">
        <f>+SUM(L1562:L1573)</f>
        <v>30.4</v>
      </c>
      <c r="G1562" s="16">
        <v>1</v>
      </c>
      <c r="H1562" s="16" t="s">
        <v>9</v>
      </c>
      <c r="I1562" s="59" t="s">
        <v>56</v>
      </c>
      <c r="J1562" s="21"/>
      <c r="K1562" s="21"/>
      <c r="L1562" s="12">
        <f>+J1562-K1562</f>
        <v>0</v>
      </c>
      <c r="M1562" s="23">
        <f t="shared" si="2068"/>
        <v>0</v>
      </c>
      <c r="N1562" s="13"/>
    </row>
    <row r="1563" spans="1:14" x14ac:dyDescent="0.25">
      <c r="A1563" s="20">
        <v>44587</v>
      </c>
      <c r="B1563" s="1">
        <f t="shared" ref="B1563" si="2118">B1562</f>
        <v>131</v>
      </c>
      <c r="C1563" s="1" t="s">
        <v>447</v>
      </c>
      <c r="D1563" s="1" t="s">
        <v>179</v>
      </c>
      <c r="E1563" s="26">
        <f>+E1562</f>
        <v>30.400000000000002</v>
      </c>
      <c r="F1563" s="28">
        <f>+(F1562-E1562)/E1562</f>
        <v>-1.1686558153949016E-16</v>
      </c>
      <c r="G1563" s="17">
        <v>2</v>
      </c>
      <c r="H1563" s="17" t="s">
        <v>9</v>
      </c>
      <c r="I1563" s="30" t="s">
        <v>57</v>
      </c>
      <c r="J1563" s="22">
        <v>0.7</v>
      </c>
      <c r="K1563" s="22">
        <v>0.5</v>
      </c>
      <c r="L1563" s="8">
        <f t="shared" ref="L1563:L1573" si="2119">+J1563-K1563</f>
        <v>0.19999999999999996</v>
      </c>
      <c r="M1563" s="24">
        <f t="shared" si="2068"/>
        <v>6.5789473684210514E-3</v>
      </c>
      <c r="N1563" s="14"/>
    </row>
    <row r="1564" spans="1:14" x14ac:dyDescent="0.25">
      <c r="A1564" s="20">
        <v>44587</v>
      </c>
      <c r="B1564" s="1">
        <f t="shared" ref="B1564" si="2120">B1562</f>
        <v>131</v>
      </c>
      <c r="C1564" s="1" t="s">
        <v>447</v>
      </c>
      <c r="D1564" s="1" t="s">
        <v>179</v>
      </c>
      <c r="E1564" s="26" t="e">
        <f>+#REF!</f>
        <v>#REF!</v>
      </c>
      <c r="F1564" s="26" t="e">
        <f>+#REF!</f>
        <v>#REF!</v>
      </c>
      <c r="G1564" s="17">
        <v>3</v>
      </c>
      <c r="H1564" s="17" t="s">
        <v>9</v>
      </c>
      <c r="I1564" s="30" t="s">
        <v>58</v>
      </c>
      <c r="J1564" s="22">
        <v>0.6</v>
      </c>
      <c r="K1564" s="22">
        <v>0.55000000000000004</v>
      </c>
      <c r="L1564" s="8">
        <f t="shared" si="2119"/>
        <v>4.9999999999999933E-2</v>
      </c>
      <c r="M1564" s="24">
        <f t="shared" si="2068"/>
        <v>1.6447368421052611E-3</v>
      </c>
      <c r="N1564" s="14"/>
    </row>
    <row r="1565" spans="1:14" x14ac:dyDescent="0.25">
      <c r="A1565" s="20">
        <v>44587</v>
      </c>
      <c r="B1565" s="1">
        <f t="shared" ref="B1565" si="2121">B1562</f>
        <v>131</v>
      </c>
      <c r="C1565" s="1" t="s">
        <v>447</v>
      </c>
      <c r="D1565" s="1" t="s">
        <v>179</v>
      </c>
      <c r="E1565" s="26" t="e">
        <f t="shared" ref="E1565:F1565" si="2122">+E1564</f>
        <v>#REF!</v>
      </c>
      <c r="F1565" s="26" t="e">
        <f t="shared" si="2122"/>
        <v>#REF!</v>
      </c>
      <c r="G1565" s="17">
        <v>4</v>
      </c>
      <c r="H1565" s="17" t="s">
        <v>9</v>
      </c>
      <c r="I1565" s="30" t="s">
        <v>22</v>
      </c>
      <c r="J1565" s="22">
        <v>0.65</v>
      </c>
      <c r="K1565" s="22">
        <v>0.5</v>
      </c>
      <c r="L1565" s="8">
        <f t="shared" si="2119"/>
        <v>0.15000000000000002</v>
      </c>
      <c r="M1565" s="24">
        <f t="shared" si="2068"/>
        <v>4.9342105263157901E-3</v>
      </c>
      <c r="N1565" s="14"/>
    </row>
    <row r="1566" spans="1:14" x14ac:dyDescent="0.25">
      <c r="A1566" s="20">
        <v>44587</v>
      </c>
      <c r="B1566" s="1">
        <f t="shared" ref="B1566" si="2123">B1562</f>
        <v>131</v>
      </c>
      <c r="C1566" s="1" t="s">
        <v>447</v>
      </c>
      <c r="D1566" s="1" t="s">
        <v>179</v>
      </c>
      <c r="E1566" s="26" t="e">
        <f t="shared" ref="E1566:F1566" si="2124">+E1565</f>
        <v>#REF!</v>
      </c>
      <c r="F1566" s="26" t="e">
        <f t="shared" si="2124"/>
        <v>#REF!</v>
      </c>
      <c r="G1566" s="17">
        <v>5</v>
      </c>
      <c r="H1566" s="17" t="s">
        <v>9</v>
      </c>
      <c r="I1566" s="30" t="s">
        <v>34</v>
      </c>
      <c r="J1566" s="22">
        <v>0.65</v>
      </c>
      <c r="K1566" s="63">
        <v>0.55000000000000004</v>
      </c>
      <c r="L1566" s="8">
        <f t="shared" si="2119"/>
        <v>9.9999999999999978E-2</v>
      </c>
      <c r="M1566" s="24">
        <f t="shared" si="2068"/>
        <v>3.2894736842105257E-3</v>
      </c>
      <c r="N1566" s="14"/>
    </row>
    <row r="1567" spans="1:14" x14ac:dyDescent="0.25">
      <c r="A1567" s="20">
        <v>44587</v>
      </c>
      <c r="B1567" s="1">
        <f t="shared" ref="B1567" si="2125">B1562</f>
        <v>131</v>
      </c>
      <c r="C1567" s="1" t="s">
        <v>447</v>
      </c>
      <c r="D1567" s="1" t="s">
        <v>179</v>
      </c>
      <c r="E1567" s="26" t="e">
        <f t="shared" ref="E1567:F1567" si="2126">+E1566</f>
        <v>#REF!</v>
      </c>
      <c r="F1567" s="26" t="e">
        <f t="shared" si="2126"/>
        <v>#REF!</v>
      </c>
      <c r="G1567" s="17">
        <v>6</v>
      </c>
      <c r="H1567" s="17" t="s">
        <v>9</v>
      </c>
      <c r="I1567" s="30" t="s">
        <v>35</v>
      </c>
      <c r="J1567" s="22"/>
      <c r="K1567" s="22"/>
      <c r="L1567" s="8">
        <f t="shared" si="2119"/>
        <v>0</v>
      </c>
      <c r="M1567" s="24">
        <f t="shared" si="2068"/>
        <v>0</v>
      </c>
      <c r="N1567" s="14"/>
    </row>
    <row r="1568" spans="1:14" x14ac:dyDescent="0.25">
      <c r="A1568" s="20">
        <v>44587</v>
      </c>
      <c r="B1568" s="1">
        <f t="shared" ref="B1568" si="2127">B1562</f>
        <v>131</v>
      </c>
      <c r="C1568" s="1" t="s">
        <v>447</v>
      </c>
      <c r="D1568" s="1" t="s">
        <v>179</v>
      </c>
      <c r="E1568" s="26" t="e">
        <f t="shared" ref="E1568:F1568" si="2128">+E1567</f>
        <v>#REF!</v>
      </c>
      <c r="F1568" s="26" t="e">
        <f t="shared" si="2128"/>
        <v>#REF!</v>
      </c>
      <c r="G1568" s="17">
        <v>7</v>
      </c>
      <c r="H1568" s="17" t="s">
        <v>9</v>
      </c>
      <c r="I1568" s="30" t="s">
        <v>36</v>
      </c>
      <c r="J1568" s="22">
        <f>19.2+13</f>
        <v>32.200000000000003</v>
      </c>
      <c r="K1568" s="22">
        <f>6.05+6.05</f>
        <v>12.1</v>
      </c>
      <c r="L1568" s="8">
        <f t="shared" si="2119"/>
        <v>20.100000000000001</v>
      </c>
      <c r="M1568" s="24">
        <f t="shared" si="2068"/>
        <v>0.66118421052631582</v>
      </c>
      <c r="N1568" s="14"/>
    </row>
    <row r="1569" spans="1:14" x14ac:dyDescent="0.25">
      <c r="A1569" s="20">
        <v>44587</v>
      </c>
      <c r="B1569" s="1">
        <f t="shared" ref="B1569" si="2129">B1562</f>
        <v>131</v>
      </c>
      <c r="C1569" s="1" t="s">
        <v>447</v>
      </c>
      <c r="D1569" s="1" t="s">
        <v>179</v>
      </c>
      <c r="E1569" s="26" t="e">
        <f>+E1568</f>
        <v>#REF!</v>
      </c>
      <c r="F1569" s="26" t="e">
        <f>+F1568</f>
        <v>#REF!</v>
      </c>
      <c r="G1569" s="17">
        <v>8</v>
      </c>
      <c r="H1569" s="17" t="s">
        <v>9</v>
      </c>
      <c r="I1569" s="30" t="s">
        <v>59</v>
      </c>
      <c r="J1569" s="22">
        <f>2+0.65</f>
        <v>2.65</v>
      </c>
      <c r="K1569" s="22">
        <f>0.55+0.55</f>
        <v>1.1000000000000001</v>
      </c>
      <c r="L1569" s="8">
        <f t="shared" si="2119"/>
        <v>1.5499999999999998</v>
      </c>
      <c r="M1569" s="24">
        <f t="shared" si="2068"/>
        <v>5.0986842105263157E-2</v>
      </c>
      <c r="N1569" s="14"/>
    </row>
    <row r="1570" spans="1:14" x14ac:dyDescent="0.25">
      <c r="A1570" s="20">
        <v>44587</v>
      </c>
      <c r="B1570" s="1">
        <f t="shared" ref="B1570" si="2130">B1562</f>
        <v>131</v>
      </c>
      <c r="C1570" s="1" t="s">
        <v>447</v>
      </c>
      <c r="D1570" s="1" t="s">
        <v>179</v>
      </c>
      <c r="E1570" s="26" t="e">
        <f t="shared" ref="E1570:F1570" si="2131">+E1569</f>
        <v>#REF!</v>
      </c>
      <c r="F1570" s="26" t="e">
        <f t="shared" si="2131"/>
        <v>#REF!</v>
      </c>
      <c r="G1570" s="17">
        <v>9</v>
      </c>
      <c r="H1570" s="17" t="s">
        <v>9</v>
      </c>
      <c r="I1570" s="30" t="s">
        <v>38</v>
      </c>
      <c r="J1570" s="22"/>
      <c r="K1570" s="22"/>
      <c r="L1570" s="8">
        <f t="shared" si="2119"/>
        <v>0</v>
      </c>
      <c r="M1570" s="24">
        <f t="shared" si="2068"/>
        <v>0</v>
      </c>
      <c r="N1570" s="14"/>
    </row>
    <row r="1571" spans="1:14" x14ac:dyDescent="0.25">
      <c r="A1571" s="20">
        <v>44587</v>
      </c>
      <c r="B1571" s="1">
        <f t="shared" ref="B1571" si="2132">B1562</f>
        <v>131</v>
      </c>
      <c r="C1571" s="1" t="s">
        <v>447</v>
      </c>
      <c r="D1571" s="1" t="s">
        <v>179</v>
      </c>
      <c r="E1571" s="26" t="e">
        <f t="shared" ref="E1571:F1571" si="2133">+E1570</f>
        <v>#REF!</v>
      </c>
      <c r="F1571" s="26" t="e">
        <f t="shared" si="2133"/>
        <v>#REF!</v>
      </c>
      <c r="G1571" s="17">
        <v>10</v>
      </c>
      <c r="H1571" s="17" t="s">
        <v>9</v>
      </c>
      <c r="I1571" s="30" t="s">
        <v>23</v>
      </c>
      <c r="J1571" s="22">
        <f>10.7+9.55</f>
        <v>20.25</v>
      </c>
      <c r="K1571" s="22">
        <f>8.3+8.3</f>
        <v>16.600000000000001</v>
      </c>
      <c r="L1571" s="8">
        <f t="shared" si="2119"/>
        <v>3.6499999999999986</v>
      </c>
      <c r="M1571" s="24">
        <f t="shared" si="2068"/>
        <v>0.12006578947368417</v>
      </c>
      <c r="N1571" s="14"/>
    </row>
    <row r="1572" spans="1:14" x14ac:dyDescent="0.25">
      <c r="A1572" s="20">
        <v>44587</v>
      </c>
      <c r="B1572" s="1">
        <f t="shared" ref="B1572" si="2134">B1562</f>
        <v>131</v>
      </c>
      <c r="C1572" s="1" t="s">
        <v>447</v>
      </c>
      <c r="D1572" s="1" t="s">
        <v>179</v>
      </c>
      <c r="E1572" s="26" t="e">
        <f t="shared" ref="E1572:F1572" si="2135">+E1571</f>
        <v>#REF!</v>
      </c>
      <c r="F1572" s="26" t="e">
        <f t="shared" si="2135"/>
        <v>#REF!</v>
      </c>
      <c r="G1572" s="17">
        <v>11</v>
      </c>
      <c r="H1572" s="17" t="s">
        <v>9</v>
      </c>
      <c r="I1572" s="30" t="s">
        <v>60</v>
      </c>
      <c r="J1572" s="22"/>
      <c r="K1572" s="22"/>
      <c r="L1572" s="8">
        <f t="shared" si="2119"/>
        <v>0</v>
      </c>
      <c r="M1572" s="24">
        <f t="shared" si="2068"/>
        <v>0</v>
      </c>
      <c r="N1572" s="14"/>
    </row>
    <row r="1573" spans="1:14" ht="15.75" thickBot="1" x14ac:dyDescent="0.3">
      <c r="A1573" s="20">
        <v>44587</v>
      </c>
      <c r="B1573" s="57">
        <f t="shared" ref="B1573" si="2136">B1562</f>
        <v>131</v>
      </c>
      <c r="C1573" s="1" t="s">
        <v>447</v>
      </c>
      <c r="D1573" s="1" t="s">
        <v>179</v>
      </c>
      <c r="E1573" s="26" t="e">
        <f t="shared" ref="E1573:F1573" si="2137">+E1572</f>
        <v>#REF!</v>
      </c>
      <c r="F1573" s="26" t="e">
        <f t="shared" si="2137"/>
        <v>#REF!</v>
      </c>
      <c r="G1573" s="18">
        <f>+G1572+1</f>
        <v>12</v>
      </c>
      <c r="H1573" s="18" t="s">
        <v>10</v>
      </c>
      <c r="I1573" s="46" t="s">
        <v>10</v>
      </c>
      <c r="J1573" s="22">
        <f>10.45+11</f>
        <v>21.45</v>
      </c>
      <c r="K1573" s="63">
        <f>8.55+8.3</f>
        <v>16.850000000000001</v>
      </c>
      <c r="L1573" s="8">
        <f t="shared" si="2119"/>
        <v>4.5999999999999979</v>
      </c>
      <c r="M1573" s="24">
        <f t="shared" si="2068"/>
        <v>0.15131578947368415</v>
      </c>
      <c r="N1573" s="14"/>
    </row>
    <row r="1574" spans="1:14" x14ac:dyDescent="0.25">
      <c r="A1574" s="19">
        <v>44587</v>
      </c>
      <c r="B1574" s="15">
        <f t="shared" ref="B1574" si="2138">B1562+1</f>
        <v>132</v>
      </c>
      <c r="C1574" s="15" t="s">
        <v>448</v>
      </c>
      <c r="D1574" s="15" t="s">
        <v>178</v>
      </c>
      <c r="E1574" s="25">
        <f>36.2-1.2</f>
        <v>35</v>
      </c>
      <c r="F1574" s="25">
        <f>+SUM(L1574:L1585)</f>
        <v>35.849999999999994</v>
      </c>
      <c r="G1574" s="16">
        <v>1</v>
      </c>
      <c r="H1574" s="16" t="s">
        <v>9</v>
      </c>
      <c r="I1574" s="59" t="s">
        <v>56</v>
      </c>
      <c r="J1574" s="21">
        <v>0.95</v>
      </c>
      <c r="K1574" s="21">
        <v>0.55000000000000004</v>
      </c>
      <c r="L1574" s="12">
        <f>+J1574-K1574</f>
        <v>0.39999999999999991</v>
      </c>
      <c r="M1574" s="23">
        <f t="shared" si="2068"/>
        <v>1.1157601115760111E-2</v>
      </c>
      <c r="N1574" s="13"/>
    </row>
    <row r="1575" spans="1:14" x14ac:dyDescent="0.25">
      <c r="A1575" s="20">
        <v>44587</v>
      </c>
      <c r="B1575" s="1">
        <f t="shared" ref="B1575" si="2139">B1574</f>
        <v>132</v>
      </c>
      <c r="C1575" s="1" t="s">
        <v>448</v>
      </c>
      <c r="D1575" s="1" t="s">
        <v>178</v>
      </c>
      <c r="E1575" s="26">
        <f>+E1574</f>
        <v>35</v>
      </c>
      <c r="F1575" s="28">
        <f>+(F1574-E1574)/E1574</f>
        <v>2.4285714285714122E-2</v>
      </c>
      <c r="G1575" s="17">
        <v>2</v>
      </c>
      <c r="H1575" s="17" t="s">
        <v>9</v>
      </c>
      <c r="I1575" s="30" t="s">
        <v>57</v>
      </c>
      <c r="J1575" s="22">
        <v>10.1</v>
      </c>
      <c r="K1575" s="22">
        <v>8.5500000000000007</v>
      </c>
      <c r="L1575" s="8">
        <f t="shared" ref="L1575:L1585" si="2140">+J1575-K1575</f>
        <v>1.5499999999999989</v>
      </c>
      <c r="M1575" s="24">
        <f t="shared" si="2068"/>
        <v>4.3235704323570406E-2</v>
      </c>
      <c r="N1575" s="14"/>
    </row>
    <row r="1576" spans="1:14" x14ac:dyDescent="0.25">
      <c r="A1576" s="20">
        <v>44587</v>
      </c>
      <c r="B1576" s="1">
        <f t="shared" ref="B1576" si="2141">B1574</f>
        <v>132</v>
      </c>
      <c r="C1576" s="1" t="s">
        <v>448</v>
      </c>
      <c r="D1576" s="1" t="s">
        <v>178</v>
      </c>
      <c r="E1576" s="26" t="e">
        <f>+#REF!</f>
        <v>#REF!</v>
      </c>
      <c r="F1576" s="26" t="e">
        <f>+#REF!</f>
        <v>#REF!</v>
      </c>
      <c r="G1576" s="17">
        <v>3</v>
      </c>
      <c r="H1576" s="17" t="s">
        <v>9</v>
      </c>
      <c r="I1576" s="30" t="s">
        <v>58</v>
      </c>
      <c r="J1576" s="22">
        <f>1.65+2.95</f>
        <v>4.5999999999999996</v>
      </c>
      <c r="K1576" s="22">
        <f>0.55+0.55+0.55</f>
        <v>1.6500000000000001</v>
      </c>
      <c r="L1576" s="8">
        <f t="shared" si="2140"/>
        <v>2.9499999999999993</v>
      </c>
      <c r="M1576" s="24">
        <f t="shared" si="2068"/>
        <v>8.2287308228730816E-2</v>
      </c>
      <c r="N1576" s="14"/>
    </row>
    <row r="1577" spans="1:14" x14ac:dyDescent="0.25">
      <c r="A1577" s="20">
        <v>44587</v>
      </c>
      <c r="B1577" s="1">
        <f t="shared" ref="B1577" si="2142">B1574</f>
        <v>132</v>
      </c>
      <c r="C1577" s="1" t="s">
        <v>448</v>
      </c>
      <c r="D1577" s="1" t="s">
        <v>178</v>
      </c>
      <c r="E1577" s="26" t="e">
        <f t="shared" ref="E1577:F1577" si="2143">+E1576</f>
        <v>#REF!</v>
      </c>
      <c r="F1577" s="26" t="e">
        <f t="shared" si="2143"/>
        <v>#REF!</v>
      </c>
      <c r="G1577" s="17">
        <v>4</v>
      </c>
      <c r="H1577" s="17" t="s">
        <v>9</v>
      </c>
      <c r="I1577" s="30" t="s">
        <v>22</v>
      </c>
      <c r="J1577" s="22">
        <f>1.45</f>
        <v>1.45</v>
      </c>
      <c r="K1577" s="22">
        <f>0.55</f>
        <v>0.55000000000000004</v>
      </c>
      <c r="L1577" s="8">
        <f t="shared" si="2140"/>
        <v>0.89999999999999991</v>
      </c>
      <c r="M1577" s="24">
        <f t="shared" si="2068"/>
        <v>2.5104602510460254E-2</v>
      </c>
      <c r="N1577" s="14"/>
    </row>
    <row r="1578" spans="1:14" x14ac:dyDescent="0.25">
      <c r="A1578" s="20">
        <v>44587</v>
      </c>
      <c r="B1578" s="1">
        <f t="shared" ref="B1578" si="2144">B1574</f>
        <v>132</v>
      </c>
      <c r="C1578" s="1" t="s">
        <v>448</v>
      </c>
      <c r="D1578" s="1" t="s">
        <v>178</v>
      </c>
      <c r="E1578" s="26" t="e">
        <f t="shared" ref="E1578:F1578" si="2145">+E1577</f>
        <v>#REF!</v>
      </c>
      <c r="F1578" s="26" t="e">
        <f t="shared" si="2145"/>
        <v>#REF!</v>
      </c>
      <c r="G1578" s="17">
        <v>5</v>
      </c>
      <c r="H1578" s="17" t="s">
        <v>9</v>
      </c>
      <c r="I1578" s="30" t="s">
        <v>34</v>
      </c>
      <c r="J1578" s="22">
        <f>2.05+0.55</f>
        <v>2.5999999999999996</v>
      </c>
      <c r="K1578" s="63">
        <f>0.55+0.55</f>
        <v>1.1000000000000001</v>
      </c>
      <c r="L1578" s="8">
        <f t="shared" si="2140"/>
        <v>1.4999999999999996</v>
      </c>
      <c r="M1578" s="24">
        <f t="shared" si="2068"/>
        <v>4.184100418410041E-2</v>
      </c>
      <c r="N1578" s="14"/>
    </row>
    <row r="1579" spans="1:14" x14ac:dyDescent="0.25">
      <c r="A1579" s="20">
        <v>44587</v>
      </c>
      <c r="B1579" s="1">
        <f t="shared" ref="B1579" si="2146">B1574</f>
        <v>132</v>
      </c>
      <c r="C1579" s="1" t="s">
        <v>448</v>
      </c>
      <c r="D1579" s="1" t="s">
        <v>178</v>
      </c>
      <c r="E1579" s="26" t="e">
        <f t="shared" ref="E1579:F1579" si="2147">+E1578</f>
        <v>#REF!</v>
      </c>
      <c r="F1579" s="26" t="e">
        <f t="shared" si="2147"/>
        <v>#REF!</v>
      </c>
      <c r="G1579" s="17">
        <v>6</v>
      </c>
      <c r="H1579" s="17" t="s">
        <v>9</v>
      </c>
      <c r="I1579" s="30" t="s">
        <v>35</v>
      </c>
      <c r="J1579" s="22"/>
      <c r="K1579" s="22"/>
      <c r="L1579" s="8">
        <f t="shared" si="2140"/>
        <v>0</v>
      </c>
      <c r="M1579" s="24">
        <f t="shared" si="2068"/>
        <v>0</v>
      </c>
      <c r="N1579" s="14"/>
    </row>
    <row r="1580" spans="1:14" x14ac:dyDescent="0.25">
      <c r="A1580" s="20">
        <v>44587</v>
      </c>
      <c r="B1580" s="1">
        <f t="shared" ref="B1580" si="2148">B1574</f>
        <v>132</v>
      </c>
      <c r="C1580" s="1" t="s">
        <v>448</v>
      </c>
      <c r="D1580" s="1" t="s">
        <v>178</v>
      </c>
      <c r="E1580" s="26" t="e">
        <f t="shared" ref="E1580:F1580" si="2149">+E1579</f>
        <v>#REF!</v>
      </c>
      <c r="F1580" s="26" t="e">
        <f t="shared" si="2149"/>
        <v>#REF!</v>
      </c>
      <c r="G1580" s="17">
        <v>7</v>
      </c>
      <c r="H1580" s="17" t="s">
        <v>9</v>
      </c>
      <c r="I1580" s="30" t="s">
        <v>36</v>
      </c>
      <c r="J1580" s="22"/>
      <c r="K1580" s="22"/>
      <c r="L1580" s="8">
        <f t="shared" si="2140"/>
        <v>0</v>
      </c>
      <c r="M1580" s="24">
        <f t="shared" si="2068"/>
        <v>0</v>
      </c>
      <c r="N1580" s="14"/>
    </row>
    <row r="1581" spans="1:14" x14ac:dyDescent="0.25">
      <c r="A1581" s="20">
        <v>44587</v>
      </c>
      <c r="B1581" s="1">
        <f t="shared" ref="B1581" si="2150">B1574</f>
        <v>132</v>
      </c>
      <c r="C1581" s="1" t="s">
        <v>448</v>
      </c>
      <c r="D1581" s="1" t="s">
        <v>178</v>
      </c>
      <c r="E1581" s="26" t="e">
        <f>+E1580</f>
        <v>#REF!</v>
      </c>
      <c r="F1581" s="26" t="e">
        <f>+F1580</f>
        <v>#REF!</v>
      </c>
      <c r="G1581" s="17">
        <v>8</v>
      </c>
      <c r="H1581" s="17" t="s">
        <v>9</v>
      </c>
      <c r="I1581" s="30" t="s">
        <v>59</v>
      </c>
      <c r="J1581" s="22">
        <v>1.85</v>
      </c>
      <c r="K1581" s="22">
        <v>0.55000000000000004</v>
      </c>
      <c r="L1581" s="8">
        <f t="shared" si="2140"/>
        <v>1.3</v>
      </c>
      <c r="M1581" s="24">
        <f t="shared" si="2068"/>
        <v>3.6262203626220367E-2</v>
      </c>
      <c r="N1581" s="14"/>
    </row>
    <row r="1582" spans="1:14" x14ac:dyDescent="0.25">
      <c r="A1582" s="20">
        <v>44587</v>
      </c>
      <c r="B1582" s="1">
        <f t="shared" ref="B1582" si="2151">B1574</f>
        <v>132</v>
      </c>
      <c r="C1582" s="1" t="s">
        <v>448</v>
      </c>
      <c r="D1582" s="1" t="s">
        <v>178</v>
      </c>
      <c r="E1582" s="26" t="e">
        <f t="shared" ref="E1582:F1582" si="2152">+E1581</f>
        <v>#REF!</v>
      </c>
      <c r="F1582" s="26" t="e">
        <f t="shared" si="2152"/>
        <v>#REF!</v>
      </c>
      <c r="G1582" s="17">
        <v>9</v>
      </c>
      <c r="H1582" s="17" t="s">
        <v>9</v>
      </c>
      <c r="I1582" s="30" t="s">
        <v>38</v>
      </c>
      <c r="J1582" s="22"/>
      <c r="K1582" s="22"/>
      <c r="L1582" s="8">
        <f t="shared" si="2140"/>
        <v>0</v>
      </c>
      <c r="M1582" s="24">
        <f t="shared" si="2068"/>
        <v>0</v>
      </c>
      <c r="N1582" s="14"/>
    </row>
    <row r="1583" spans="1:14" x14ac:dyDescent="0.25">
      <c r="A1583" s="20">
        <v>44587</v>
      </c>
      <c r="B1583" s="1">
        <f t="shared" ref="B1583" si="2153">B1574</f>
        <v>132</v>
      </c>
      <c r="C1583" s="1" t="s">
        <v>448</v>
      </c>
      <c r="D1583" s="1" t="s">
        <v>178</v>
      </c>
      <c r="E1583" s="26" t="e">
        <f t="shared" ref="E1583:F1583" si="2154">+E1582</f>
        <v>#REF!</v>
      </c>
      <c r="F1583" s="26" t="e">
        <f t="shared" si="2154"/>
        <v>#REF!</v>
      </c>
      <c r="G1583" s="17">
        <v>10</v>
      </c>
      <c r="H1583" s="17" t="s">
        <v>9</v>
      </c>
      <c r="I1583" s="30" t="s">
        <v>23</v>
      </c>
      <c r="J1583" s="22">
        <v>12.05</v>
      </c>
      <c r="K1583" s="22">
        <v>8.3000000000000007</v>
      </c>
      <c r="L1583" s="8">
        <f t="shared" si="2140"/>
        <v>3.75</v>
      </c>
      <c r="M1583" s="24">
        <f t="shared" si="2068"/>
        <v>0.10460251046025107</v>
      </c>
      <c r="N1583" s="14"/>
    </row>
    <row r="1584" spans="1:14" x14ac:dyDescent="0.25">
      <c r="A1584" s="20">
        <v>44587</v>
      </c>
      <c r="B1584" s="1">
        <f t="shared" ref="B1584" si="2155">B1574</f>
        <v>132</v>
      </c>
      <c r="C1584" s="1" t="s">
        <v>448</v>
      </c>
      <c r="D1584" s="1" t="s">
        <v>178</v>
      </c>
      <c r="E1584" s="26" t="e">
        <f t="shared" ref="E1584:F1584" si="2156">+E1583</f>
        <v>#REF!</v>
      </c>
      <c r="F1584" s="26" t="e">
        <f t="shared" si="2156"/>
        <v>#REF!</v>
      </c>
      <c r="G1584" s="17">
        <v>11</v>
      </c>
      <c r="H1584" s="17" t="s">
        <v>9</v>
      </c>
      <c r="I1584" s="30" t="s">
        <v>60</v>
      </c>
      <c r="J1584" s="22">
        <f>0.65</f>
        <v>0.65</v>
      </c>
      <c r="K1584" s="22">
        <f>0.5</f>
        <v>0.5</v>
      </c>
      <c r="L1584" s="8">
        <f t="shared" si="2140"/>
        <v>0.15000000000000002</v>
      </c>
      <c r="M1584" s="24">
        <f t="shared" si="2068"/>
        <v>4.1841004184100432E-3</v>
      </c>
      <c r="N1584" s="14"/>
    </row>
    <row r="1585" spans="1:14" ht="15.75" thickBot="1" x14ac:dyDescent="0.3">
      <c r="A1585" s="20">
        <v>44587</v>
      </c>
      <c r="B1585" s="57">
        <f t="shared" ref="B1585" si="2157">B1574</f>
        <v>132</v>
      </c>
      <c r="C1585" s="1" t="s">
        <v>448</v>
      </c>
      <c r="D1585" s="1" t="s">
        <v>178</v>
      </c>
      <c r="E1585" s="26" t="e">
        <f t="shared" ref="E1585:F1585" si="2158">+E1584</f>
        <v>#REF!</v>
      </c>
      <c r="F1585" s="26" t="e">
        <f t="shared" si="2158"/>
        <v>#REF!</v>
      </c>
      <c r="G1585" s="18">
        <f>+G1584+1</f>
        <v>12</v>
      </c>
      <c r="H1585" s="18" t="s">
        <v>10</v>
      </c>
      <c r="I1585" s="46" t="s">
        <v>10</v>
      </c>
      <c r="J1585" s="22">
        <f>11.35+17.65+19.75</f>
        <v>48.75</v>
      </c>
      <c r="K1585" s="63">
        <f>8.3+8.55+8.55</f>
        <v>25.400000000000002</v>
      </c>
      <c r="L1585" s="8">
        <f t="shared" si="2140"/>
        <v>23.349999999999998</v>
      </c>
      <c r="M1585" s="24">
        <f t="shared" si="2068"/>
        <v>0.6513249651324966</v>
      </c>
      <c r="N1585" s="14"/>
    </row>
    <row r="1586" spans="1:14" x14ac:dyDescent="0.25">
      <c r="A1586" s="19">
        <v>44587</v>
      </c>
      <c r="B1586" s="15">
        <f t="shared" ref="B1586" si="2159">B1574+1</f>
        <v>133</v>
      </c>
      <c r="C1586" s="15" t="s">
        <v>449</v>
      </c>
      <c r="D1586" s="15" t="s">
        <v>183</v>
      </c>
      <c r="E1586" s="25">
        <f>25.4-1.2</f>
        <v>24.2</v>
      </c>
      <c r="F1586" s="25">
        <f>+SUM(L1586:L1597)</f>
        <v>24.300000000000004</v>
      </c>
      <c r="G1586" s="16">
        <v>1</v>
      </c>
      <c r="H1586" s="16" t="s">
        <v>9</v>
      </c>
      <c r="I1586" s="59" t="s">
        <v>56</v>
      </c>
      <c r="J1586" s="21"/>
      <c r="K1586" s="21"/>
      <c r="L1586" s="12">
        <f>+J1586-K1586</f>
        <v>0</v>
      </c>
      <c r="M1586" s="23">
        <f t="shared" si="2068"/>
        <v>0</v>
      </c>
      <c r="N1586" s="13"/>
    </row>
    <row r="1587" spans="1:14" x14ac:dyDescent="0.25">
      <c r="A1587" s="20">
        <v>44587</v>
      </c>
      <c r="B1587" s="1">
        <f t="shared" ref="B1587" si="2160">B1586</f>
        <v>133</v>
      </c>
      <c r="C1587" s="1" t="s">
        <v>449</v>
      </c>
      <c r="D1587" s="1" t="s">
        <v>183</v>
      </c>
      <c r="E1587" s="26">
        <f>+E1586</f>
        <v>24.2</v>
      </c>
      <c r="F1587" s="28">
        <f>+(F1586-E1586)/E1586</f>
        <v>4.1322314049588834E-3</v>
      </c>
      <c r="G1587" s="17">
        <v>2</v>
      </c>
      <c r="H1587" s="17" t="s">
        <v>9</v>
      </c>
      <c r="I1587" s="30" t="s">
        <v>57</v>
      </c>
      <c r="J1587" s="22">
        <v>0.65</v>
      </c>
      <c r="K1587" s="22">
        <v>0.5</v>
      </c>
      <c r="L1587" s="8">
        <f t="shared" ref="L1587:L1597" si="2161">+J1587-K1587</f>
        <v>0.15000000000000002</v>
      </c>
      <c r="M1587" s="24">
        <f t="shared" si="2068"/>
        <v>6.1728395061728392E-3</v>
      </c>
      <c r="N1587" s="14"/>
    </row>
    <row r="1588" spans="1:14" x14ac:dyDescent="0.25">
      <c r="A1588" s="20">
        <v>44587</v>
      </c>
      <c r="B1588" s="1">
        <f t="shared" ref="B1588" si="2162">B1586</f>
        <v>133</v>
      </c>
      <c r="C1588" s="1" t="s">
        <v>449</v>
      </c>
      <c r="D1588" s="1" t="s">
        <v>183</v>
      </c>
      <c r="E1588" s="26" t="e">
        <f>+#REF!</f>
        <v>#REF!</v>
      </c>
      <c r="F1588" s="26" t="e">
        <f>+#REF!</f>
        <v>#REF!</v>
      </c>
      <c r="G1588" s="17">
        <v>3</v>
      </c>
      <c r="H1588" s="17" t="s">
        <v>9</v>
      </c>
      <c r="I1588" s="30" t="s">
        <v>58</v>
      </c>
      <c r="J1588" s="22">
        <v>0.55000000000000004</v>
      </c>
      <c r="K1588" s="22">
        <v>0.5</v>
      </c>
      <c r="L1588" s="8">
        <f t="shared" si="2161"/>
        <v>5.0000000000000044E-2</v>
      </c>
      <c r="M1588" s="24">
        <f t="shared" si="2068"/>
        <v>2.0576131687242813E-3</v>
      </c>
      <c r="N1588" s="14"/>
    </row>
    <row r="1589" spans="1:14" x14ac:dyDescent="0.25">
      <c r="A1589" s="20">
        <v>44587</v>
      </c>
      <c r="B1589" s="1">
        <f t="shared" ref="B1589" si="2163">B1586</f>
        <v>133</v>
      </c>
      <c r="C1589" s="1" t="s">
        <v>449</v>
      </c>
      <c r="D1589" s="1" t="s">
        <v>183</v>
      </c>
      <c r="E1589" s="26" t="e">
        <f t="shared" ref="E1589:F1589" si="2164">+E1588</f>
        <v>#REF!</v>
      </c>
      <c r="F1589" s="26" t="e">
        <f t="shared" si="2164"/>
        <v>#REF!</v>
      </c>
      <c r="G1589" s="17">
        <v>4</v>
      </c>
      <c r="H1589" s="17" t="s">
        <v>9</v>
      </c>
      <c r="I1589" s="30" t="s">
        <v>22</v>
      </c>
      <c r="J1589" s="22"/>
      <c r="K1589" s="22"/>
      <c r="L1589" s="8">
        <f t="shared" si="2161"/>
        <v>0</v>
      </c>
      <c r="M1589" s="24">
        <f t="shared" si="2068"/>
        <v>0</v>
      </c>
      <c r="N1589" s="14"/>
    </row>
    <row r="1590" spans="1:14" x14ac:dyDescent="0.25">
      <c r="A1590" s="20">
        <v>44587</v>
      </c>
      <c r="B1590" s="1">
        <f t="shared" ref="B1590" si="2165">B1586</f>
        <v>133</v>
      </c>
      <c r="C1590" s="1" t="s">
        <v>449</v>
      </c>
      <c r="D1590" s="1" t="s">
        <v>183</v>
      </c>
      <c r="E1590" s="26" t="e">
        <f t="shared" ref="E1590:F1590" si="2166">+E1589</f>
        <v>#REF!</v>
      </c>
      <c r="F1590" s="26" t="e">
        <f t="shared" si="2166"/>
        <v>#REF!</v>
      </c>
      <c r="G1590" s="17">
        <v>5</v>
      </c>
      <c r="H1590" s="17" t="s">
        <v>9</v>
      </c>
      <c r="I1590" s="30" t="s">
        <v>34</v>
      </c>
      <c r="J1590" s="22"/>
      <c r="K1590" s="63"/>
      <c r="L1590" s="8">
        <f t="shared" si="2161"/>
        <v>0</v>
      </c>
      <c r="M1590" s="24">
        <f t="shared" si="2068"/>
        <v>0</v>
      </c>
      <c r="N1590" s="14"/>
    </row>
    <row r="1591" spans="1:14" x14ac:dyDescent="0.25">
      <c r="A1591" s="20">
        <v>44587</v>
      </c>
      <c r="B1591" s="1">
        <f t="shared" ref="B1591" si="2167">B1586</f>
        <v>133</v>
      </c>
      <c r="C1591" s="1" t="s">
        <v>449</v>
      </c>
      <c r="D1591" s="1" t="s">
        <v>183</v>
      </c>
      <c r="E1591" s="26" t="e">
        <f t="shared" ref="E1591:F1591" si="2168">+E1590</f>
        <v>#REF!</v>
      </c>
      <c r="F1591" s="26" t="e">
        <f t="shared" si="2168"/>
        <v>#REF!</v>
      </c>
      <c r="G1591" s="17">
        <v>6</v>
      </c>
      <c r="H1591" s="17" t="s">
        <v>9</v>
      </c>
      <c r="I1591" s="30" t="s">
        <v>35</v>
      </c>
      <c r="J1591" s="22"/>
      <c r="K1591" s="22"/>
      <c r="L1591" s="8">
        <f t="shared" si="2161"/>
        <v>0</v>
      </c>
      <c r="M1591" s="24">
        <f t="shared" si="2068"/>
        <v>0</v>
      </c>
      <c r="N1591" s="14"/>
    </row>
    <row r="1592" spans="1:14" x14ac:dyDescent="0.25">
      <c r="A1592" s="20">
        <v>44587</v>
      </c>
      <c r="B1592" s="1">
        <f t="shared" ref="B1592" si="2169">B1586</f>
        <v>133</v>
      </c>
      <c r="C1592" s="1" t="s">
        <v>449</v>
      </c>
      <c r="D1592" s="1" t="s">
        <v>183</v>
      </c>
      <c r="E1592" s="26" t="e">
        <f t="shared" ref="E1592:F1592" si="2170">+E1591</f>
        <v>#REF!</v>
      </c>
      <c r="F1592" s="26" t="e">
        <f t="shared" si="2170"/>
        <v>#REF!</v>
      </c>
      <c r="G1592" s="17">
        <v>7</v>
      </c>
      <c r="H1592" s="17" t="s">
        <v>9</v>
      </c>
      <c r="I1592" s="30" t="s">
        <v>36</v>
      </c>
      <c r="J1592" s="22"/>
      <c r="K1592" s="22"/>
      <c r="L1592" s="8">
        <f t="shared" si="2161"/>
        <v>0</v>
      </c>
      <c r="M1592" s="24">
        <f t="shared" si="2068"/>
        <v>0</v>
      </c>
      <c r="N1592" s="14"/>
    </row>
    <row r="1593" spans="1:14" x14ac:dyDescent="0.25">
      <c r="A1593" s="20">
        <v>44587</v>
      </c>
      <c r="B1593" s="1">
        <f t="shared" ref="B1593" si="2171">B1586</f>
        <v>133</v>
      </c>
      <c r="C1593" s="1" t="s">
        <v>449</v>
      </c>
      <c r="D1593" s="1" t="s">
        <v>183</v>
      </c>
      <c r="E1593" s="26" t="e">
        <f>+E1592</f>
        <v>#REF!</v>
      </c>
      <c r="F1593" s="26" t="e">
        <f>+F1592</f>
        <v>#REF!</v>
      </c>
      <c r="G1593" s="17">
        <v>8</v>
      </c>
      <c r="H1593" s="17" t="s">
        <v>9</v>
      </c>
      <c r="I1593" s="30" t="s">
        <v>59</v>
      </c>
      <c r="J1593" s="22">
        <v>0.7</v>
      </c>
      <c r="K1593" s="22">
        <v>0.55000000000000004</v>
      </c>
      <c r="L1593" s="8">
        <f t="shared" si="2161"/>
        <v>0.14999999999999991</v>
      </c>
      <c r="M1593" s="24">
        <f t="shared" si="2068"/>
        <v>6.1728395061728348E-3</v>
      </c>
      <c r="N1593" s="14"/>
    </row>
    <row r="1594" spans="1:14" x14ac:dyDescent="0.25">
      <c r="A1594" s="20">
        <v>44587</v>
      </c>
      <c r="B1594" s="1">
        <f t="shared" ref="B1594" si="2172">B1586</f>
        <v>133</v>
      </c>
      <c r="C1594" s="1" t="s">
        <v>449</v>
      </c>
      <c r="D1594" s="1" t="s">
        <v>183</v>
      </c>
      <c r="E1594" s="26" t="e">
        <f t="shared" ref="E1594:F1594" si="2173">+E1593</f>
        <v>#REF!</v>
      </c>
      <c r="F1594" s="26" t="e">
        <f t="shared" si="2173"/>
        <v>#REF!</v>
      </c>
      <c r="G1594" s="17">
        <v>9</v>
      </c>
      <c r="H1594" s="17" t="s">
        <v>9</v>
      </c>
      <c r="I1594" s="30" t="s">
        <v>38</v>
      </c>
      <c r="J1594" s="22"/>
      <c r="K1594" s="22"/>
      <c r="L1594" s="8">
        <f t="shared" si="2161"/>
        <v>0</v>
      </c>
      <c r="M1594" s="24">
        <f t="shared" si="2068"/>
        <v>0</v>
      </c>
      <c r="N1594" s="14"/>
    </row>
    <row r="1595" spans="1:14" x14ac:dyDescent="0.25">
      <c r="A1595" s="20">
        <v>44587</v>
      </c>
      <c r="B1595" s="1">
        <f t="shared" ref="B1595" si="2174">B1586</f>
        <v>133</v>
      </c>
      <c r="C1595" s="1" t="s">
        <v>449</v>
      </c>
      <c r="D1595" s="1" t="s">
        <v>183</v>
      </c>
      <c r="E1595" s="26" t="e">
        <f t="shared" ref="E1595:F1595" si="2175">+E1594</f>
        <v>#REF!</v>
      </c>
      <c r="F1595" s="26" t="e">
        <f t="shared" si="2175"/>
        <v>#REF!</v>
      </c>
      <c r="G1595" s="17">
        <v>10</v>
      </c>
      <c r="H1595" s="17" t="s">
        <v>9</v>
      </c>
      <c r="I1595" s="30" t="s">
        <v>23</v>
      </c>
      <c r="J1595" s="22">
        <v>0.05</v>
      </c>
      <c r="K1595" s="22"/>
      <c r="L1595" s="8">
        <f t="shared" si="2161"/>
        <v>0.05</v>
      </c>
      <c r="M1595" s="24">
        <f t="shared" si="2068"/>
        <v>2.0576131687242796E-3</v>
      </c>
      <c r="N1595" s="14"/>
    </row>
    <row r="1596" spans="1:14" x14ac:dyDescent="0.25">
      <c r="A1596" s="20">
        <v>44587</v>
      </c>
      <c r="B1596" s="1">
        <f t="shared" ref="B1596" si="2176">B1586</f>
        <v>133</v>
      </c>
      <c r="C1596" s="1" t="s">
        <v>449</v>
      </c>
      <c r="D1596" s="1" t="s">
        <v>183</v>
      </c>
      <c r="E1596" s="26" t="e">
        <f t="shared" ref="E1596:F1596" si="2177">+E1595</f>
        <v>#REF!</v>
      </c>
      <c r="F1596" s="26" t="e">
        <f t="shared" si="2177"/>
        <v>#REF!</v>
      </c>
      <c r="G1596" s="17">
        <v>11</v>
      </c>
      <c r="H1596" s="17" t="s">
        <v>9</v>
      </c>
      <c r="I1596" s="30" t="s">
        <v>60</v>
      </c>
      <c r="J1596" s="22">
        <f>12.95+12.25+11.55+11.85+12.75+10.55+11.55</f>
        <v>83.45</v>
      </c>
      <c r="K1596" s="22">
        <f>8.3+8.55+8.5+8.55+8.55+8.55+8.55</f>
        <v>59.55</v>
      </c>
      <c r="L1596" s="8">
        <f t="shared" si="2161"/>
        <v>23.900000000000006</v>
      </c>
      <c r="M1596" s="24">
        <f t="shared" si="2068"/>
        <v>0.98353909465020584</v>
      </c>
      <c r="N1596" s="14"/>
    </row>
    <row r="1597" spans="1:14" ht="15.75" thickBot="1" x14ac:dyDescent="0.3">
      <c r="A1597" s="20">
        <v>44587</v>
      </c>
      <c r="B1597" s="57">
        <f t="shared" ref="B1597" si="2178">B1586</f>
        <v>133</v>
      </c>
      <c r="C1597" s="1" t="s">
        <v>449</v>
      </c>
      <c r="D1597" s="1" t="s">
        <v>183</v>
      </c>
      <c r="E1597" s="26" t="e">
        <f t="shared" ref="E1597:F1597" si="2179">+E1596</f>
        <v>#REF!</v>
      </c>
      <c r="F1597" s="26" t="e">
        <f t="shared" si="2179"/>
        <v>#REF!</v>
      </c>
      <c r="G1597" s="18">
        <f>+G1596+1</f>
        <v>12</v>
      </c>
      <c r="H1597" s="18" t="s">
        <v>10</v>
      </c>
      <c r="I1597" s="46" t="s">
        <v>10</v>
      </c>
      <c r="J1597" s="22"/>
      <c r="K1597" s="63"/>
      <c r="L1597" s="8">
        <f t="shared" si="2161"/>
        <v>0</v>
      </c>
      <c r="M1597" s="24">
        <f t="shared" si="2068"/>
        <v>0</v>
      </c>
      <c r="N1597" s="14"/>
    </row>
    <row r="1598" spans="1:14" x14ac:dyDescent="0.25">
      <c r="A1598" s="19">
        <v>44587</v>
      </c>
      <c r="B1598" s="15">
        <f t="shared" ref="B1598" si="2180">B1586+1</f>
        <v>134</v>
      </c>
      <c r="C1598" s="15" t="s">
        <v>450</v>
      </c>
      <c r="D1598" s="15" t="s">
        <v>184</v>
      </c>
      <c r="E1598" s="25">
        <f>26.2-1.2</f>
        <v>25</v>
      </c>
      <c r="F1598" s="25">
        <f>+SUM(L1598:L1609)</f>
        <v>25.600000000000009</v>
      </c>
      <c r="G1598" s="16">
        <v>1</v>
      </c>
      <c r="H1598" s="16" t="s">
        <v>9</v>
      </c>
      <c r="I1598" s="59" t="s">
        <v>56</v>
      </c>
      <c r="J1598" s="21">
        <f>11.75+11.85+12.9+10.9+11+10.35+9.95</f>
        <v>78.7</v>
      </c>
      <c r="K1598" s="21">
        <f>8.55+8.55+8.3+8.3+8.3+8.55+8.55</f>
        <v>59.099999999999994</v>
      </c>
      <c r="L1598" s="12">
        <f>+J1598-K1598</f>
        <v>19.600000000000009</v>
      </c>
      <c r="M1598" s="23">
        <f t="shared" ref="M1598:M1645" si="2181">+L1598/SUMIF(C:C,C1598,L:L)</f>
        <v>0.76562500000000011</v>
      </c>
      <c r="N1598" s="13"/>
    </row>
    <row r="1599" spans="1:14" x14ac:dyDescent="0.25">
      <c r="A1599" s="20">
        <v>44587</v>
      </c>
      <c r="B1599" s="1">
        <f t="shared" ref="B1599" si="2182">B1598</f>
        <v>134</v>
      </c>
      <c r="C1599" s="1" t="s">
        <v>450</v>
      </c>
      <c r="D1599" s="1" t="s">
        <v>184</v>
      </c>
      <c r="E1599" s="26">
        <f>+E1598</f>
        <v>25</v>
      </c>
      <c r="F1599" s="28">
        <f>+(F1598-E1598)/E1598</f>
        <v>2.4000000000000341E-2</v>
      </c>
      <c r="G1599" s="17">
        <v>2</v>
      </c>
      <c r="H1599" s="17" t="s">
        <v>9</v>
      </c>
      <c r="I1599" s="30" t="s">
        <v>57</v>
      </c>
      <c r="J1599" s="22">
        <f>11.5+10.9</f>
        <v>22.4</v>
      </c>
      <c r="K1599" s="22">
        <f>8.55+8.5</f>
        <v>17.05</v>
      </c>
      <c r="L1599" s="8">
        <f t="shared" ref="L1599:L1609" si="2183">+J1599-K1599</f>
        <v>5.3499999999999979</v>
      </c>
      <c r="M1599" s="24">
        <f t="shared" si="2181"/>
        <v>0.20898437499999983</v>
      </c>
      <c r="N1599" s="14"/>
    </row>
    <row r="1600" spans="1:14" x14ac:dyDescent="0.25">
      <c r="A1600" s="20">
        <v>44587</v>
      </c>
      <c r="B1600" s="1">
        <f t="shared" ref="B1600" si="2184">B1598</f>
        <v>134</v>
      </c>
      <c r="C1600" s="1" t="s">
        <v>450</v>
      </c>
      <c r="D1600" s="1" t="s">
        <v>184</v>
      </c>
      <c r="E1600" s="26" t="e">
        <f>+#REF!</f>
        <v>#REF!</v>
      </c>
      <c r="F1600" s="26" t="e">
        <f>+#REF!</f>
        <v>#REF!</v>
      </c>
      <c r="G1600" s="17">
        <v>3</v>
      </c>
      <c r="H1600" s="17" t="s">
        <v>9</v>
      </c>
      <c r="I1600" s="30" t="s">
        <v>58</v>
      </c>
      <c r="J1600" s="22">
        <v>0.75</v>
      </c>
      <c r="K1600" s="22">
        <v>0.55000000000000004</v>
      </c>
      <c r="L1600" s="8">
        <f t="shared" si="2183"/>
        <v>0.19999999999999996</v>
      </c>
      <c r="M1600" s="24">
        <f t="shared" si="2181"/>
        <v>7.8124999999999957E-3</v>
      </c>
      <c r="N1600" s="14"/>
    </row>
    <row r="1601" spans="1:14" x14ac:dyDescent="0.25">
      <c r="A1601" s="20">
        <v>44587</v>
      </c>
      <c r="B1601" s="1">
        <f t="shared" ref="B1601" si="2185">B1598</f>
        <v>134</v>
      </c>
      <c r="C1601" s="1" t="s">
        <v>450</v>
      </c>
      <c r="D1601" s="1" t="s">
        <v>184</v>
      </c>
      <c r="E1601" s="26" t="e">
        <f t="shared" ref="E1601:F1601" si="2186">+E1600</f>
        <v>#REF!</v>
      </c>
      <c r="F1601" s="26" t="e">
        <f t="shared" si="2186"/>
        <v>#REF!</v>
      </c>
      <c r="G1601" s="17">
        <v>4</v>
      </c>
      <c r="H1601" s="17" t="s">
        <v>9</v>
      </c>
      <c r="I1601" s="30" t="s">
        <v>22</v>
      </c>
      <c r="J1601" s="22"/>
      <c r="K1601" s="22"/>
      <c r="L1601" s="8">
        <f t="shared" si="2183"/>
        <v>0</v>
      </c>
      <c r="M1601" s="24">
        <f t="shared" si="2181"/>
        <v>0</v>
      </c>
      <c r="N1601" s="14"/>
    </row>
    <row r="1602" spans="1:14" x14ac:dyDescent="0.25">
      <c r="A1602" s="20">
        <v>44587</v>
      </c>
      <c r="B1602" s="1">
        <f t="shared" ref="B1602" si="2187">B1598</f>
        <v>134</v>
      </c>
      <c r="C1602" s="1" t="s">
        <v>450</v>
      </c>
      <c r="D1602" s="1" t="s">
        <v>184</v>
      </c>
      <c r="E1602" s="26" t="e">
        <f t="shared" ref="E1602:F1602" si="2188">+E1601</f>
        <v>#REF!</v>
      </c>
      <c r="F1602" s="26" t="e">
        <f t="shared" si="2188"/>
        <v>#REF!</v>
      </c>
      <c r="G1602" s="17">
        <v>5</v>
      </c>
      <c r="H1602" s="17" t="s">
        <v>9</v>
      </c>
      <c r="I1602" s="30" t="s">
        <v>34</v>
      </c>
      <c r="J1602" s="22"/>
      <c r="K1602" s="63"/>
      <c r="L1602" s="8">
        <f t="shared" si="2183"/>
        <v>0</v>
      </c>
      <c r="M1602" s="24">
        <f t="shared" si="2181"/>
        <v>0</v>
      </c>
      <c r="N1602" s="14"/>
    </row>
    <row r="1603" spans="1:14" x14ac:dyDescent="0.25">
      <c r="A1603" s="20">
        <v>44587</v>
      </c>
      <c r="B1603" s="1">
        <f t="shared" ref="B1603" si="2189">B1598</f>
        <v>134</v>
      </c>
      <c r="C1603" s="1" t="s">
        <v>450</v>
      </c>
      <c r="D1603" s="1" t="s">
        <v>184</v>
      </c>
      <c r="E1603" s="26" t="e">
        <f t="shared" ref="E1603:F1603" si="2190">+E1602</f>
        <v>#REF!</v>
      </c>
      <c r="F1603" s="26" t="e">
        <f t="shared" si="2190"/>
        <v>#REF!</v>
      </c>
      <c r="G1603" s="17">
        <v>6</v>
      </c>
      <c r="H1603" s="17" t="s">
        <v>9</v>
      </c>
      <c r="I1603" s="30" t="s">
        <v>35</v>
      </c>
      <c r="J1603" s="22"/>
      <c r="K1603" s="22"/>
      <c r="L1603" s="8">
        <f t="shared" si="2183"/>
        <v>0</v>
      </c>
      <c r="M1603" s="24">
        <f t="shared" si="2181"/>
        <v>0</v>
      </c>
      <c r="N1603" s="14"/>
    </row>
    <row r="1604" spans="1:14" x14ac:dyDescent="0.25">
      <c r="A1604" s="20">
        <v>44587</v>
      </c>
      <c r="B1604" s="1">
        <f t="shared" ref="B1604" si="2191">B1598</f>
        <v>134</v>
      </c>
      <c r="C1604" s="1" t="s">
        <v>450</v>
      </c>
      <c r="D1604" s="1" t="s">
        <v>184</v>
      </c>
      <c r="E1604" s="26" t="e">
        <f t="shared" ref="E1604:F1604" si="2192">+E1603</f>
        <v>#REF!</v>
      </c>
      <c r="F1604" s="26" t="e">
        <f t="shared" si="2192"/>
        <v>#REF!</v>
      </c>
      <c r="G1604" s="17">
        <v>7</v>
      </c>
      <c r="H1604" s="17" t="s">
        <v>9</v>
      </c>
      <c r="I1604" s="30" t="s">
        <v>36</v>
      </c>
      <c r="J1604" s="22"/>
      <c r="K1604" s="22"/>
      <c r="L1604" s="8">
        <f t="shared" si="2183"/>
        <v>0</v>
      </c>
      <c r="M1604" s="24">
        <f t="shared" si="2181"/>
        <v>0</v>
      </c>
      <c r="N1604" s="14"/>
    </row>
    <row r="1605" spans="1:14" x14ac:dyDescent="0.25">
      <c r="A1605" s="20">
        <v>44587</v>
      </c>
      <c r="B1605" s="1">
        <f t="shared" ref="B1605" si="2193">B1598</f>
        <v>134</v>
      </c>
      <c r="C1605" s="1" t="s">
        <v>450</v>
      </c>
      <c r="D1605" s="1" t="s">
        <v>184</v>
      </c>
      <c r="E1605" s="26" t="e">
        <f>+E1604</f>
        <v>#REF!</v>
      </c>
      <c r="F1605" s="26" t="e">
        <f>+F1604</f>
        <v>#REF!</v>
      </c>
      <c r="G1605" s="17">
        <v>8</v>
      </c>
      <c r="H1605" s="17" t="s">
        <v>9</v>
      </c>
      <c r="I1605" s="30" t="s">
        <v>59</v>
      </c>
      <c r="J1605" s="22">
        <v>0.05</v>
      </c>
      <c r="K1605" s="22"/>
      <c r="L1605" s="8">
        <f t="shared" si="2183"/>
        <v>0.05</v>
      </c>
      <c r="M1605" s="24">
        <f t="shared" si="2181"/>
        <v>1.9531249999999996E-3</v>
      </c>
      <c r="N1605" s="14"/>
    </row>
    <row r="1606" spans="1:14" x14ac:dyDescent="0.25">
      <c r="A1606" s="20">
        <v>44587</v>
      </c>
      <c r="B1606" s="1">
        <f t="shared" ref="B1606" si="2194">B1598</f>
        <v>134</v>
      </c>
      <c r="C1606" s="1" t="s">
        <v>450</v>
      </c>
      <c r="D1606" s="1" t="s">
        <v>184</v>
      </c>
      <c r="E1606" s="26" t="e">
        <f t="shared" ref="E1606:F1606" si="2195">+E1605</f>
        <v>#REF!</v>
      </c>
      <c r="F1606" s="26" t="e">
        <f t="shared" si="2195"/>
        <v>#REF!</v>
      </c>
      <c r="G1606" s="17">
        <v>9</v>
      </c>
      <c r="H1606" s="17" t="s">
        <v>9</v>
      </c>
      <c r="I1606" s="30" t="s">
        <v>38</v>
      </c>
      <c r="J1606" s="22"/>
      <c r="K1606" s="22"/>
      <c r="L1606" s="8">
        <f t="shared" si="2183"/>
        <v>0</v>
      </c>
      <c r="M1606" s="24">
        <f t="shared" si="2181"/>
        <v>0</v>
      </c>
      <c r="N1606" s="14"/>
    </row>
    <row r="1607" spans="1:14" x14ac:dyDescent="0.25">
      <c r="A1607" s="20">
        <v>44587</v>
      </c>
      <c r="B1607" s="1">
        <f t="shared" ref="B1607" si="2196">B1598</f>
        <v>134</v>
      </c>
      <c r="C1607" s="1" t="s">
        <v>450</v>
      </c>
      <c r="D1607" s="1" t="s">
        <v>184</v>
      </c>
      <c r="E1607" s="26" t="e">
        <f t="shared" ref="E1607:F1607" si="2197">+E1606</f>
        <v>#REF!</v>
      </c>
      <c r="F1607" s="26" t="e">
        <f t="shared" si="2197"/>
        <v>#REF!</v>
      </c>
      <c r="G1607" s="17">
        <v>10</v>
      </c>
      <c r="H1607" s="17" t="s">
        <v>9</v>
      </c>
      <c r="I1607" s="30" t="s">
        <v>23</v>
      </c>
      <c r="J1607" s="22"/>
      <c r="K1607" s="22"/>
      <c r="L1607" s="8">
        <f t="shared" si="2183"/>
        <v>0</v>
      </c>
      <c r="M1607" s="24">
        <f t="shared" si="2181"/>
        <v>0</v>
      </c>
      <c r="N1607" s="14"/>
    </row>
    <row r="1608" spans="1:14" x14ac:dyDescent="0.25">
      <c r="A1608" s="20">
        <v>44587</v>
      </c>
      <c r="B1608" s="1">
        <f t="shared" ref="B1608" si="2198">B1598</f>
        <v>134</v>
      </c>
      <c r="C1608" s="1" t="s">
        <v>450</v>
      </c>
      <c r="D1608" s="1" t="s">
        <v>184</v>
      </c>
      <c r="E1608" s="26" t="e">
        <f t="shared" ref="E1608:F1608" si="2199">+E1607</f>
        <v>#REF!</v>
      </c>
      <c r="F1608" s="26" t="e">
        <f t="shared" si="2199"/>
        <v>#REF!</v>
      </c>
      <c r="G1608" s="17">
        <v>11</v>
      </c>
      <c r="H1608" s="17" t="s">
        <v>9</v>
      </c>
      <c r="I1608" s="30" t="s">
        <v>60</v>
      </c>
      <c r="J1608" s="22">
        <v>0.6</v>
      </c>
      <c r="K1608" s="22">
        <v>0.55000000000000004</v>
      </c>
      <c r="L1608" s="8">
        <f t="shared" si="2183"/>
        <v>4.9999999999999933E-2</v>
      </c>
      <c r="M1608" s="24">
        <f t="shared" si="2181"/>
        <v>1.9531249999999967E-3</v>
      </c>
      <c r="N1608" s="14"/>
    </row>
    <row r="1609" spans="1:14" ht="15.75" thickBot="1" x14ac:dyDescent="0.3">
      <c r="A1609" s="20">
        <v>44587</v>
      </c>
      <c r="B1609" s="57">
        <f t="shared" ref="B1609" si="2200">B1598</f>
        <v>134</v>
      </c>
      <c r="C1609" s="1" t="s">
        <v>450</v>
      </c>
      <c r="D1609" s="1" t="s">
        <v>184</v>
      </c>
      <c r="E1609" s="26" t="e">
        <f t="shared" ref="E1609:F1609" si="2201">+E1608</f>
        <v>#REF!</v>
      </c>
      <c r="F1609" s="26" t="e">
        <f t="shared" si="2201"/>
        <v>#REF!</v>
      </c>
      <c r="G1609" s="18">
        <f>+G1608+1</f>
        <v>12</v>
      </c>
      <c r="H1609" s="18" t="s">
        <v>10</v>
      </c>
      <c r="I1609" s="46" t="s">
        <v>10</v>
      </c>
      <c r="J1609" s="22">
        <v>0.9</v>
      </c>
      <c r="K1609" s="63">
        <v>0.55000000000000004</v>
      </c>
      <c r="L1609" s="8">
        <f t="shared" si="2183"/>
        <v>0.35</v>
      </c>
      <c r="M1609" s="24">
        <f t="shared" si="2181"/>
        <v>1.3671874999999995E-2</v>
      </c>
      <c r="N1609" s="14"/>
    </row>
    <row r="1610" spans="1:14" x14ac:dyDescent="0.25">
      <c r="A1610" s="19">
        <v>44587</v>
      </c>
      <c r="B1610" s="15">
        <f t="shared" ref="B1610" si="2202">B1598+1</f>
        <v>135</v>
      </c>
      <c r="C1610" s="15" t="s">
        <v>451</v>
      </c>
      <c r="D1610" s="15" t="s">
        <v>58</v>
      </c>
      <c r="E1610" s="25">
        <f>34.5-1.2</f>
        <v>33.299999999999997</v>
      </c>
      <c r="F1610" s="25">
        <f>+SUM(L1610:L1621)</f>
        <v>34.350000000000023</v>
      </c>
      <c r="G1610" s="16">
        <v>1</v>
      </c>
      <c r="H1610" s="16" t="s">
        <v>9</v>
      </c>
      <c r="I1610" s="59" t="s">
        <v>56</v>
      </c>
      <c r="J1610" s="21">
        <v>0.65</v>
      </c>
      <c r="K1610" s="21">
        <v>0.55000000000000004</v>
      </c>
      <c r="L1610" s="12">
        <f>+J1610-K1610</f>
        <v>9.9999999999999978E-2</v>
      </c>
      <c r="M1610" s="23">
        <f t="shared" si="2181"/>
        <v>2.9112081513828214E-3</v>
      </c>
      <c r="N1610" s="13"/>
    </row>
    <row r="1611" spans="1:14" x14ac:dyDescent="0.25">
      <c r="A1611" s="20">
        <v>44587</v>
      </c>
      <c r="B1611" s="1">
        <f t="shared" ref="B1611" si="2203">B1610</f>
        <v>135</v>
      </c>
      <c r="C1611" s="1" t="s">
        <v>451</v>
      </c>
      <c r="D1611" s="1" t="s">
        <v>58</v>
      </c>
      <c r="E1611" s="26">
        <f>+E1610</f>
        <v>33.299999999999997</v>
      </c>
      <c r="F1611" s="28">
        <f>+(F1610-E1610)/E1610</f>
        <v>3.1531531531532306E-2</v>
      </c>
      <c r="G1611" s="17">
        <v>2</v>
      </c>
      <c r="H1611" s="17" t="s">
        <v>9</v>
      </c>
      <c r="I1611" s="30" t="s">
        <v>57</v>
      </c>
      <c r="J1611" s="22">
        <f>0.85</f>
        <v>0.85</v>
      </c>
      <c r="K1611" s="22">
        <f>0.5</f>
        <v>0.5</v>
      </c>
      <c r="L1611" s="8">
        <f t="shared" ref="L1611:L1621" si="2204">+J1611-K1611</f>
        <v>0.35</v>
      </c>
      <c r="M1611" s="24">
        <f t="shared" si="2181"/>
        <v>1.0189228529839877E-2</v>
      </c>
      <c r="N1611" s="14"/>
    </row>
    <row r="1612" spans="1:14" x14ac:dyDescent="0.25">
      <c r="A1612" s="20">
        <v>44587</v>
      </c>
      <c r="B1612" s="1">
        <f t="shared" ref="B1612" si="2205">B1610</f>
        <v>135</v>
      </c>
      <c r="C1612" s="1" t="s">
        <v>451</v>
      </c>
      <c r="D1612" s="1" t="s">
        <v>58</v>
      </c>
      <c r="E1612" s="26" t="e">
        <f>+#REF!</f>
        <v>#REF!</v>
      </c>
      <c r="F1612" s="26" t="e">
        <f>+#REF!</f>
        <v>#REF!</v>
      </c>
      <c r="G1612" s="17">
        <v>3</v>
      </c>
      <c r="H1612" s="17" t="s">
        <v>9</v>
      </c>
      <c r="I1612" s="30" t="s">
        <v>58</v>
      </c>
      <c r="J1612" s="22">
        <f>12.6+13.1+12.75+10.45+9.1+12.1+11.2+11.65+13.15</f>
        <v>106.10000000000002</v>
      </c>
      <c r="K1612" s="22">
        <f>8.3+8.55+8.3+8.5+8.55+8.3+8.55+8.3+8.55</f>
        <v>75.899999999999991</v>
      </c>
      <c r="L1612" s="8">
        <f t="shared" si="2204"/>
        <v>30.200000000000031</v>
      </c>
      <c r="M1612" s="24">
        <f t="shared" si="2181"/>
        <v>0.87918486171761312</v>
      </c>
      <c r="N1612" s="14"/>
    </row>
    <row r="1613" spans="1:14" x14ac:dyDescent="0.25">
      <c r="A1613" s="20">
        <v>44587</v>
      </c>
      <c r="B1613" s="1">
        <f t="shared" ref="B1613" si="2206">B1610</f>
        <v>135</v>
      </c>
      <c r="C1613" s="1" t="s">
        <v>451</v>
      </c>
      <c r="D1613" s="1" t="s">
        <v>58</v>
      </c>
      <c r="E1613" s="26" t="e">
        <f t="shared" ref="E1613:F1613" si="2207">+E1612</f>
        <v>#REF!</v>
      </c>
      <c r="F1613" s="26" t="e">
        <f t="shared" si="2207"/>
        <v>#REF!</v>
      </c>
      <c r="G1613" s="17">
        <v>4</v>
      </c>
      <c r="H1613" s="17" t="s">
        <v>9</v>
      </c>
      <c r="I1613" s="30" t="s">
        <v>22</v>
      </c>
      <c r="J1613" s="22">
        <v>1.3</v>
      </c>
      <c r="K1613" s="22">
        <v>0.55000000000000004</v>
      </c>
      <c r="L1613" s="8">
        <f t="shared" si="2204"/>
        <v>0.75</v>
      </c>
      <c r="M1613" s="24">
        <f t="shared" si="2181"/>
        <v>2.1834061135371164E-2</v>
      </c>
      <c r="N1613" s="14"/>
    </row>
    <row r="1614" spans="1:14" x14ac:dyDescent="0.25">
      <c r="A1614" s="20">
        <v>44587</v>
      </c>
      <c r="B1614" s="1">
        <f t="shared" ref="B1614" si="2208">B1610</f>
        <v>135</v>
      </c>
      <c r="C1614" s="1" t="s">
        <v>451</v>
      </c>
      <c r="D1614" s="1" t="s">
        <v>58</v>
      </c>
      <c r="E1614" s="26" t="e">
        <f t="shared" ref="E1614:F1614" si="2209">+E1613</f>
        <v>#REF!</v>
      </c>
      <c r="F1614" s="26" t="e">
        <f t="shared" si="2209"/>
        <v>#REF!</v>
      </c>
      <c r="G1614" s="17">
        <v>5</v>
      </c>
      <c r="H1614" s="17" t="s">
        <v>9</v>
      </c>
      <c r="I1614" s="30" t="s">
        <v>34</v>
      </c>
      <c r="J1614" s="22">
        <v>0.65</v>
      </c>
      <c r="K1614" s="63">
        <v>0.5</v>
      </c>
      <c r="L1614" s="8">
        <f t="shared" si="2204"/>
        <v>0.15000000000000002</v>
      </c>
      <c r="M1614" s="24">
        <f t="shared" si="2181"/>
        <v>4.3668122270742338E-3</v>
      </c>
      <c r="N1614" s="14"/>
    </row>
    <row r="1615" spans="1:14" x14ac:dyDescent="0.25">
      <c r="A1615" s="20">
        <v>44587</v>
      </c>
      <c r="B1615" s="1">
        <f t="shared" ref="B1615" si="2210">B1610</f>
        <v>135</v>
      </c>
      <c r="C1615" s="1" t="s">
        <v>451</v>
      </c>
      <c r="D1615" s="1" t="s">
        <v>58</v>
      </c>
      <c r="E1615" s="26" t="e">
        <f t="shared" ref="E1615:F1615" si="2211">+E1614</f>
        <v>#REF!</v>
      </c>
      <c r="F1615" s="26" t="e">
        <f t="shared" si="2211"/>
        <v>#REF!</v>
      </c>
      <c r="G1615" s="17">
        <v>6</v>
      </c>
      <c r="H1615" s="17" t="s">
        <v>9</v>
      </c>
      <c r="I1615" s="30" t="s">
        <v>35</v>
      </c>
      <c r="J1615" s="22"/>
      <c r="K1615" s="22"/>
      <c r="L1615" s="8">
        <f t="shared" si="2204"/>
        <v>0</v>
      </c>
      <c r="M1615" s="24">
        <f t="shared" si="2181"/>
        <v>0</v>
      </c>
      <c r="N1615" s="14"/>
    </row>
    <row r="1616" spans="1:14" x14ac:dyDescent="0.25">
      <c r="A1616" s="20">
        <v>44587</v>
      </c>
      <c r="B1616" s="1">
        <f t="shared" ref="B1616" si="2212">B1610</f>
        <v>135</v>
      </c>
      <c r="C1616" s="1" t="s">
        <v>451</v>
      </c>
      <c r="D1616" s="1" t="s">
        <v>58</v>
      </c>
      <c r="E1616" s="26" t="e">
        <f t="shared" ref="E1616:F1616" si="2213">+E1615</f>
        <v>#REF!</v>
      </c>
      <c r="F1616" s="26" t="e">
        <f t="shared" si="2213"/>
        <v>#REF!</v>
      </c>
      <c r="G1616" s="17">
        <v>7</v>
      </c>
      <c r="H1616" s="17" t="s">
        <v>9</v>
      </c>
      <c r="I1616" s="30" t="s">
        <v>36</v>
      </c>
      <c r="J1616" s="22"/>
      <c r="K1616" s="22"/>
      <c r="L1616" s="8">
        <f t="shared" si="2204"/>
        <v>0</v>
      </c>
      <c r="M1616" s="24">
        <f t="shared" si="2181"/>
        <v>0</v>
      </c>
      <c r="N1616" s="14"/>
    </row>
    <row r="1617" spans="1:14" x14ac:dyDescent="0.25">
      <c r="A1617" s="20">
        <v>44587</v>
      </c>
      <c r="B1617" s="1">
        <f t="shared" ref="B1617" si="2214">B1610</f>
        <v>135</v>
      </c>
      <c r="C1617" s="1" t="s">
        <v>451</v>
      </c>
      <c r="D1617" s="1" t="s">
        <v>58</v>
      </c>
      <c r="E1617" s="26" t="e">
        <f>+E1616</f>
        <v>#REF!</v>
      </c>
      <c r="F1617" s="26" t="e">
        <f>+F1616</f>
        <v>#REF!</v>
      </c>
      <c r="G1617" s="17">
        <v>8</v>
      </c>
      <c r="H1617" s="17" t="s">
        <v>9</v>
      </c>
      <c r="I1617" s="30" t="s">
        <v>59</v>
      </c>
      <c r="J1617" s="22">
        <v>0.75</v>
      </c>
      <c r="K1617" s="22">
        <v>0.55000000000000004</v>
      </c>
      <c r="L1617" s="8">
        <f t="shared" si="2204"/>
        <v>0.19999999999999996</v>
      </c>
      <c r="M1617" s="24">
        <f t="shared" si="2181"/>
        <v>5.8224163027656428E-3</v>
      </c>
      <c r="N1617" s="14"/>
    </row>
    <row r="1618" spans="1:14" x14ac:dyDescent="0.25">
      <c r="A1618" s="20">
        <v>44587</v>
      </c>
      <c r="B1618" s="1">
        <f t="shared" ref="B1618" si="2215">B1610</f>
        <v>135</v>
      </c>
      <c r="C1618" s="1" t="s">
        <v>451</v>
      </c>
      <c r="D1618" s="1" t="s">
        <v>58</v>
      </c>
      <c r="E1618" s="26" t="e">
        <f t="shared" ref="E1618:F1618" si="2216">+E1617</f>
        <v>#REF!</v>
      </c>
      <c r="F1618" s="26" t="e">
        <f t="shared" si="2216"/>
        <v>#REF!</v>
      </c>
      <c r="G1618" s="17">
        <v>9</v>
      </c>
      <c r="H1618" s="17" t="s">
        <v>9</v>
      </c>
      <c r="I1618" s="30" t="s">
        <v>38</v>
      </c>
      <c r="J1618" s="22"/>
      <c r="K1618" s="22"/>
      <c r="L1618" s="8">
        <f t="shared" si="2204"/>
        <v>0</v>
      </c>
      <c r="M1618" s="24">
        <f t="shared" si="2181"/>
        <v>0</v>
      </c>
      <c r="N1618" s="14"/>
    </row>
    <row r="1619" spans="1:14" x14ac:dyDescent="0.25">
      <c r="A1619" s="20">
        <v>44587</v>
      </c>
      <c r="B1619" s="1">
        <f t="shared" ref="B1619" si="2217">B1610</f>
        <v>135</v>
      </c>
      <c r="C1619" s="1" t="s">
        <v>451</v>
      </c>
      <c r="D1619" s="1" t="s">
        <v>58</v>
      </c>
      <c r="E1619" s="26" t="e">
        <f t="shared" ref="E1619:F1619" si="2218">+E1618</f>
        <v>#REF!</v>
      </c>
      <c r="F1619" s="26" t="e">
        <f t="shared" si="2218"/>
        <v>#REF!</v>
      </c>
      <c r="G1619" s="17">
        <v>10</v>
      </c>
      <c r="H1619" s="17" t="s">
        <v>9</v>
      </c>
      <c r="I1619" s="30" t="s">
        <v>23</v>
      </c>
      <c r="J1619" s="22">
        <v>1.05</v>
      </c>
      <c r="K1619" s="22">
        <v>0.55000000000000004</v>
      </c>
      <c r="L1619" s="8">
        <f t="shared" si="2204"/>
        <v>0.5</v>
      </c>
      <c r="M1619" s="24">
        <f t="shared" si="2181"/>
        <v>1.4556040756914111E-2</v>
      </c>
      <c r="N1619" s="14"/>
    </row>
    <row r="1620" spans="1:14" x14ac:dyDescent="0.25">
      <c r="A1620" s="20">
        <v>44587</v>
      </c>
      <c r="B1620" s="1">
        <f t="shared" ref="B1620" si="2219">B1610</f>
        <v>135</v>
      </c>
      <c r="C1620" s="1" t="s">
        <v>451</v>
      </c>
      <c r="D1620" s="1" t="s">
        <v>58</v>
      </c>
      <c r="E1620" s="26" t="e">
        <f t="shared" ref="E1620:F1620" si="2220">+E1619</f>
        <v>#REF!</v>
      </c>
      <c r="F1620" s="26" t="e">
        <f t="shared" si="2220"/>
        <v>#REF!</v>
      </c>
      <c r="G1620" s="17">
        <v>11</v>
      </c>
      <c r="H1620" s="17" t="s">
        <v>9</v>
      </c>
      <c r="I1620" s="30" t="s">
        <v>60</v>
      </c>
      <c r="J1620" s="22">
        <v>0.6</v>
      </c>
      <c r="K1620" s="22">
        <v>0.55000000000000004</v>
      </c>
      <c r="L1620" s="8">
        <f t="shared" si="2204"/>
        <v>4.9999999999999933E-2</v>
      </c>
      <c r="M1620" s="24">
        <f t="shared" si="2181"/>
        <v>1.455604075691409E-3</v>
      </c>
      <c r="N1620" s="14"/>
    </row>
    <row r="1621" spans="1:14" ht="15.75" thickBot="1" x14ac:dyDescent="0.3">
      <c r="A1621" s="20">
        <v>44587</v>
      </c>
      <c r="B1621" s="57">
        <f t="shared" ref="B1621" si="2221">B1610</f>
        <v>135</v>
      </c>
      <c r="C1621" s="1" t="s">
        <v>451</v>
      </c>
      <c r="D1621" s="1" t="s">
        <v>58</v>
      </c>
      <c r="E1621" s="26" t="e">
        <f t="shared" ref="E1621:F1621" si="2222">+E1620</f>
        <v>#REF!</v>
      </c>
      <c r="F1621" s="26" t="e">
        <f t="shared" si="2222"/>
        <v>#REF!</v>
      </c>
      <c r="G1621" s="18">
        <f>+G1620+1</f>
        <v>12</v>
      </c>
      <c r="H1621" s="18" t="s">
        <v>10</v>
      </c>
      <c r="I1621" s="46" t="s">
        <v>10</v>
      </c>
      <c r="J1621" s="22">
        <f>1.45+9.7</f>
        <v>11.149999999999999</v>
      </c>
      <c r="K1621" s="63">
        <f>0.55+8.55</f>
        <v>9.1000000000000014</v>
      </c>
      <c r="L1621" s="8">
        <f t="shared" si="2204"/>
        <v>2.0499999999999972</v>
      </c>
      <c r="M1621" s="24">
        <f t="shared" si="2181"/>
        <v>5.9679767103347769E-2</v>
      </c>
      <c r="N1621" s="14"/>
    </row>
    <row r="1622" spans="1:14" x14ac:dyDescent="0.25">
      <c r="A1622" s="19">
        <v>44587</v>
      </c>
      <c r="B1622" s="15">
        <f t="shared" ref="B1622" si="2223">B1610+1</f>
        <v>136</v>
      </c>
      <c r="C1622" s="15" t="s">
        <v>452</v>
      </c>
      <c r="D1622" s="15" t="s">
        <v>58</v>
      </c>
      <c r="E1622" s="25">
        <f>39.2-1.2</f>
        <v>38</v>
      </c>
      <c r="F1622" s="25">
        <f>+SUM(L1622:L1633)</f>
        <v>38.050000000000004</v>
      </c>
      <c r="G1622" s="16">
        <v>1</v>
      </c>
      <c r="H1622" s="16" t="s">
        <v>9</v>
      </c>
      <c r="I1622" s="59" t="s">
        <v>56</v>
      </c>
      <c r="J1622" s="21">
        <f>0.8</f>
        <v>0.8</v>
      </c>
      <c r="K1622" s="21">
        <f>0.55</f>
        <v>0.55000000000000004</v>
      </c>
      <c r="L1622" s="12">
        <f>+J1622-K1622</f>
        <v>0.25</v>
      </c>
      <c r="M1622" s="23">
        <f t="shared" si="2181"/>
        <v>6.5703022339027584E-3</v>
      </c>
      <c r="N1622" s="13"/>
    </row>
    <row r="1623" spans="1:14" x14ac:dyDescent="0.25">
      <c r="A1623" s="20">
        <v>44587</v>
      </c>
      <c r="B1623" s="1">
        <f t="shared" ref="B1623" si="2224">B1622</f>
        <v>136</v>
      </c>
      <c r="C1623" s="1" t="s">
        <v>452</v>
      </c>
      <c r="D1623" s="1" t="s">
        <v>58</v>
      </c>
      <c r="E1623" s="26">
        <f>+E1622</f>
        <v>38</v>
      </c>
      <c r="F1623" s="28">
        <f>+(F1622-E1622)/E1622</f>
        <v>1.3157894736843228E-3</v>
      </c>
      <c r="G1623" s="17">
        <v>2</v>
      </c>
      <c r="H1623" s="17" t="s">
        <v>9</v>
      </c>
      <c r="I1623" s="30" t="s">
        <v>57</v>
      </c>
      <c r="J1623" s="22">
        <v>1</v>
      </c>
      <c r="K1623" s="22">
        <v>0.5</v>
      </c>
      <c r="L1623" s="8">
        <f t="shared" ref="L1623:L1633" si="2225">+J1623-K1623</f>
        <v>0.5</v>
      </c>
      <c r="M1623" s="24">
        <f t="shared" si="2181"/>
        <v>1.3140604467805517E-2</v>
      </c>
      <c r="N1623" s="14"/>
    </row>
    <row r="1624" spans="1:14" x14ac:dyDescent="0.25">
      <c r="A1624" s="20">
        <v>44587</v>
      </c>
      <c r="B1624" s="1">
        <f t="shared" ref="B1624" si="2226">B1622</f>
        <v>136</v>
      </c>
      <c r="C1624" s="1" t="s">
        <v>452</v>
      </c>
      <c r="D1624" s="1" t="s">
        <v>58</v>
      </c>
      <c r="E1624" s="26" t="e">
        <f>+#REF!</f>
        <v>#REF!</v>
      </c>
      <c r="F1624" s="26" t="e">
        <f>+#REF!</f>
        <v>#REF!</v>
      </c>
      <c r="G1624" s="17">
        <v>3</v>
      </c>
      <c r="H1624" s="17" t="s">
        <v>9</v>
      </c>
      <c r="I1624" s="30" t="s">
        <v>58</v>
      </c>
      <c r="J1624" s="22">
        <f>13.35+13.15+12.95+12.95+13.75+11.9+13.35</f>
        <v>91.4</v>
      </c>
      <c r="K1624" s="22">
        <f>8.55+8.3+8.3+8.55+8.3+8.5+8.55</f>
        <v>59.05</v>
      </c>
      <c r="L1624" s="8">
        <f t="shared" si="2225"/>
        <v>32.350000000000009</v>
      </c>
      <c r="M1624" s="24">
        <f t="shared" si="2181"/>
        <v>0.85019710906701718</v>
      </c>
      <c r="N1624" s="14"/>
    </row>
    <row r="1625" spans="1:14" x14ac:dyDescent="0.25">
      <c r="A1625" s="20">
        <v>44587</v>
      </c>
      <c r="B1625" s="1">
        <f t="shared" ref="B1625" si="2227">B1622</f>
        <v>136</v>
      </c>
      <c r="C1625" s="1" t="s">
        <v>452</v>
      </c>
      <c r="D1625" s="1" t="s">
        <v>58</v>
      </c>
      <c r="E1625" s="26" t="e">
        <f t="shared" ref="E1625:F1625" si="2228">+E1624</f>
        <v>#REF!</v>
      </c>
      <c r="F1625" s="26" t="e">
        <f t="shared" si="2228"/>
        <v>#REF!</v>
      </c>
      <c r="G1625" s="17">
        <v>4</v>
      </c>
      <c r="H1625" s="17" t="s">
        <v>9</v>
      </c>
      <c r="I1625" s="30" t="s">
        <v>22</v>
      </c>
      <c r="J1625" s="22">
        <f>1.05</f>
        <v>1.05</v>
      </c>
      <c r="K1625" s="22">
        <f>0.55</f>
        <v>0.55000000000000004</v>
      </c>
      <c r="L1625" s="8">
        <f t="shared" si="2225"/>
        <v>0.5</v>
      </c>
      <c r="M1625" s="24">
        <f t="shared" si="2181"/>
        <v>1.3140604467805517E-2</v>
      </c>
      <c r="N1625" s="14"/>
    </row>
    <row r="1626" spans="1:14" x14ac:dyDescent="0.25">
      <c r="A1626" s="20">
        <v>44587</v>
      </c>
      <c r="B1626" s="1">
        <f t="shared" ref="B1626" si="2229">B1622</f>
        <v>136</v>
      </c>
      <c r="C1626" s="1" t="s">
        <v>452</v>
      </c>
      <c r="D1626" s="1" t="s">
        <v>58</v>
      </c>
      <c r="E1626" s="26" t="e">
        <f t="shared" ref="E1626:F1626" si="2230">+E1625</f>
        <v>#REF!</v>
      </c>
      <c r="F1626" s="26" t="e">
        <f t="shared" si="2230"/>
        <v>#REF!</v>
      </c>
      <c r="G1626" s="17">
        <v>5</v>
      </c>
      <c r="H1626" s="17" t="s">
        <v>9</v>
      </c>
      <c r="I1626" s="30" t="s">
        <v>34</v>
      </c>
      <c r="J1626" s="22">
        <v>0.65</v>
      </c>
      <c r="K1626" s="63">
        <v>0.55000000000000004</v>
      </c>
      <c r="L1626" s="8">
        <f t="shared" si="2225"/>
        <v>9.9999999999999978E-2</v>
      </c>
      <c r="M1626" s="24">
        <f t="shared" si="2181"/>
        <v>2.628120893561103E-3</v>
      </c>
      <c r="N1626" s="14"/>
    </row>
    <row r="1627" spans="1:14" x14ac:dyDescent="0.25">
      <c r="A1627" s="20">
        <v>44587</v>
      </c>
      <c r="B1627" s="1">
        <f t="shared" ref="B1627" si="2231">B1622</f>
        <v>136</v>
      </c>
      <c r="C1627" s="1" t="s">
        <v>452</v>
      </c>
      <c r="D1627" s="1" t="s">
        <v>58</v>
      </c>
      <c r="E1627" s="26" t="e">
        <f t="shared" ref="E1627:F1627" si="2232">+E1626</f>
        <v>#REF!</v>
      </c>
      <c r="F1627" s="26" t="e">
        <f t="shared" si="2232"/>
        <v>#REF!</v>
      </c>
      <c r="G1627" s="17">
        <v>6</v>
      </c>
      <c r="H1627" s="17" t="s">
        <v>9</v>
      </c>
      <c r="I1627" s="30" t="s">
        <v>35</v>
      </c>
      <c r="J1627" s="22"/>
      <c r="K1627" s="22"/>
      <c r="L1627" s="8">
        <f t="shared" si="2225"/>
        <v>0</v>
      </c>
      <c r="M1627" s="24">
        <f t="shared" si="2181"/>
        <v>0</v>
      </c>
      <c r="N1627" s="14"/>
    </row>
    <row r="1628" spans="1:14" x14ac:dyDescent="0.25">
      <c r="A1628" s="20">
        <v>44587</v>
      </c>
      <c r="B1628" s="1">
        <f t="shared" ref="B1628" si="2233">B1622</f>
        <v>136</v>
      </c>
      <c r="C1628" s="1" t="s">
        <v>452</v>
      </c>
      <c r="D1628" s="1" t="s">
        <v>58</v>
      </c>
      <c r="E1628" s="26" t="e">
        <f t="shared" ref="E1628:F1628" si="2234">+E1627</f>
        <v>#REF!</v>
      </c>
      <c r="F1628" s="26" t="e">
        <f t="shared" si="2234"/>
        <v>#REF!</v>
      </c>
      <c r="G1628" s="17">
        <v>7</v>
      </c>
      <c r="H1628" s="17" t="s">
        <v>9</v>
      </c>
      <c r="I1628" s="30" t="s">
        <v>36</v>
      </c>
      <c r="J1628" s="22"/>
      <c r="K1628" s="22"/>
      <c r="L1628" s="8">
        <f t="shared" si="2225"/>
        <v>0</v>
      </c>
      <c r="M1628" s="24">
        <f t="shared" si="2181"/>
        <v>0</v>
      </c>
      <c r="N1628" s="14"/>
    </row>
    <row r="1629" spans="1:14" x14ac:dyDescent="0.25">
      <c r="A1629" s="20">
        <v>44587</v>
      </c>
      <c r="B1629" s="1">
        <f t="shared" ref="B1629" si="2235">B1622</f>
        <v>136</v>
      </c>
      <c r="C1629" s="1" t="s">
        <v>452</v>
      </c>
      <c r="D1629" s="1" t="s">
        <v>58</v>
      </c>
      <c r="E1629" s="26" t="e">
        <f>+E1628</f>
        <v>#REF!</v>
      </c>
      <c r="F1629" s="26" t="e">
        <f>+F1628</f>
        <v>#REF!</v>
      </c>
      <c r="G1629" s="17">
        <v>8</v>
      </c>
      <c r="H1629" s="17" t="s">
        <v>9</v>
      </c>
      <c r="I1629" s="30" t="s">
        <v>59</v>
      </c>
      <c r="J1629" s="22">
        <v>1.1000000000000001</v>
      </c>
      <c r="K1629" s="22">
        <v>0.55000000000000004</v>
      </c>
      <c r="L1629" s="8">
        <f t="shared" si="2225"/>
        <v>0.55000000000000004</v>
      </c>
      <c r="M1629" s="24">
        <f t="shared" si="2181"/>
        <v>1.4454664914586071E-2</v>
      </c>
      <c r="N1629" s="14"/>
    </row>
    <row r="1630" spans="1:14" x14ac:dyDescent="0.25">
      <c r="A1630" s="20">
        <v>44587</v>
      </c>
      <c r="B1630" s="1">
        <f t="shared" ref="B1630" si="2236">B1622</f>
        <v>136</v>
      </c>
      <c r="C1630" s="1" t="s">
        <v>452</v>
      </c>
      <c r="D1630" s="1" t="s">
        <v>58</v>
      </c>
      <c r="E1630" s="26" t="e">
        <f t="shared" ref="E1630:F1630" si="2237">+E1629</f>
        <v>#REF!</v>
      </c>
      <c r="F1630" s="26" t="e">
        <f t="shared" si="2237"/>
        <v>#REF!</v>
      </c>
      <c r="G1630" s="17">
        <v>9</v>
      </c>
      <c r="H1630" s="17" t="s">
        <v>9</v>
      </c>
      <c r="I1630" s="30" t="s">
        <v>38</v>
      </c>
      <c r="J1630" s="22"/>
      <c r="K1630" s="22"/>
      <c r="L1630" s="8">
        <f t="shared" si="2225"/>
        <v>0</v>
      </c>
      <c r="M1630" s="24">
        <f t="shared" si="2181"/>
        <v>0</v>
      </c>
      <c r="N1630" s="14"/>
    </row>
    <row r="1631" spans="1:14" x14ac:dyDescent="0.25">
      <c r="A1631" s="20">
        <v>44587</v>
      </c>
      <c r="B1631" s="1">
        <f t="shared" ref="B1631" si="2238">B1622</f>
        <v>136</v>
      </c>
      <c r="C1631" s="1" t="s">
        <v>452</v>
      </c>
      <c r="D1631" s="1" t="s">
        <v>58</v>
      </c>
      <c r="E1631" s="26" t="e">
        <f t="shared" ref="E1631:F1631" si="2239">+E1630</f>
        <v>#REF!</v>
      </c>
      <c r="F1631" s="26" t="e">
        <f t="shared" si="2239"/>
        <v>#REF!</v>
      </c>
      <c r="G1631" s="17">
        <v>10</v>
      </c>
      <c r="H1631" s="17" t="s">
        <v>9</v>
      </c>
      <c r="I1631" s="30" t="s">
        <v>23</v>
      </c>
      <c r="J1631" s="22">
        <f>1.25</f>
        <v>1.25</v>
      </c>
      <c r="K1631" s="22">
        <f>0.5</f>
        <v>0.5</v>
      </c>
      <c r="L1631" s="8">
        <f t="shared" si="2225"/>
        <v>0.75</v>
      </c>
      <c r="M1631" s="24">
        <f t="shared" si="2181"/>
        <v>1.9710906701708275E-2</v>
      </c>
      <c r="N1631" s="14"/>
    </row>
    <row r="1632" spans="1:14" x14ac:dyDescent="0.25">
      <c r="A1632" s="20">
        <v>44587</v>
      </c>
      <c r="B1632" s="1">
        <f t="shared" ref="B1632" si="2240">B1622</f>
        <v>136</v>
      </c>
      <c r="C1632" s="1" t="s">
        <v>452</v>
      </c>
      <c r="D1632" s="1" t="s">
        <v>58</v>
      </c>
      <c r="E1632" s="26" t="e">
        <f t="shared" ref="E1632:F1632" si="2241">+E1631</f>
        <v>#REF!</v>
      </c>
      <c r="F1632" s="26" t="e">
        <f t="shared" si="2241"/>
        <v>#REF!</v>
      </c>
      <c r="G1632" s="17">
        <v>11</v>
      </c>
      <c r="H1632" s="17" t="s">
        <v>9</v>
      </c>
      <c r="I1632" s="30" t="s">
        <v>60</v>
      </c>
      <c r="J1632" s="22"/>
      <c r="K1632" s="22"/>
      <c r="L1632" s="8">
        <f t="shared" si="2225"/>
        <v>0</v>
      </c>
      <c r="M1632" s="24">
        <f t="shared" si="2181"/>
        <v>0</v>
      </c>
      <c r="N1632" s="14"/>
    </row>
    <row r="1633" spans="1:14" ht="15.75" thickBot="1" x14ac:dyDescent="0.3">
      <c r="A1633" s="20">
        <v>44587</v>
      </c>
      <c r="B1633" s="57">
        <f t="shared" ref="B1633" si="2242">B1622</f>
        <v>136</v>
      </c>
      <c r="C1633" s="1" t="s">
        <v>452</v>
      </c>
      <c r="D1633" s="1" t="s">
        <v>58</v>
      </c>
      <c r="E1633" s="26" t="e">
        <f t="shared" ref="E1633:F1633" si="2243">+E1632</f>
        <v>#REF!</v>
      </c>
      <c r="F1633" s="26" t="e">
        <f t="shared" si="2243"/>
        <v>#REF!</v>
      </c>
      <c r="G1633" s="18">
        <f>+G1632+1</f>
        <v>12</v>
      </c>
      <c r="H1633" s="18" t="s">
        <v>10</v>
      </c>
      <c r="I1633" s="46" t="s">
        <v>10</v>
      </c>
      <c r="J1633" s="22">
        <v>11.6</v>
      </c>
      <c r="K1633" s="63">
        <v>8.5500000000000007</v>
      </c>
      <c r="L1633" s="8">
        <f t="shared" si="2225"/>
        <v>3.0499999999999989</v>
      </c>
      <c r="M1633" s="24">
        <f t="shared" si="2181"/>
        <v>8.0157687253613635E-2</v>
      </c>
      <c r="N1633" s="14"/>
    </row>
    <row r="1634" spans="1:14" x14ac:dyDescent="0.25">
      <c r="A1634" s="19">
        <v>44587</v>
      </c>
      <c r="B1634" s="15">
        <f t="shared" ref="B1634" si="2244">B1622+1</f>
        <v>137</v>
      </c>
      <c r="C1634" s="15" t="s">
        <v>453</v>
      </c>
      <c r="D1634" s="15" t="s">
        <v>185</v>
      </c>
      <c r="E1634" s="25">
        <f>38.2-1.2</f>
        <v>37</v>
      </c>
      <c r="F1634" s="25">
        <f>+SUM(L1634:L1645)</f>
        <v>37.400000000000006</v>
      </c>
      <c r="G1634" s="16">
        <v>1</v>
      </c>
      <c r="H1634" s="16" t="s">
        <v>9</v>
      </c>
      <c r="I1634" s="59" t="s">
        <v>56</v>
      </c>
      <c r="J1634" s="21">
        <v>0.65</v>
      </c>
      <c r="K1634" s="21">
        <v>0.55000000000000004</v>
      </c>
      <c r="L1634" s="12">
        <f>+J1634-K1634</f>
        <v>9.9999999999999978E-2</v>
      </c>
      <c r="M1634" s="23">
        <f t="shared" si="2181"/>
        <v>2.6737967914438492E-3</v>
      </c>
      <c r="N1634" s="13"/>
    </row>
    <row r="1635" spans="1:14" x14ac:dyDescent="0.25">
      <c r="A1635" s="20">
        <v>44587</v>
      </c>
      <c r="B1635" s="1">
        <f t="shared" ref="B1635" si="2245">B1634</f>
        <v>137</v>
      </c>
      <c r="C1635" s="1" t="s">
        <v>453</v>
      </c>
      <c r="D1635" s="1" t="s">
        <v>185</v>
      </c>
      <c r="E1635" s="26">
        <f>+E1634</f>
        <v>37</v>
      </c>
      <c r="F1635" s="28">
        <f>+(F1634-E1634)/E1634</f>
        <v>1.0810810810810964E-2</v>
      </c>
      <c r="G1635" s="17">
        <v>2</v>
      </c>
      <c r="H1635" s="17" t="s">
        <v>9</v>
      </c>
      <c r="I1635" s="30" t="s">
        <v>57</v>
      </c>
      <c r="J1635" s="22">
        <v>0.75</v>
      </c>
      <c r="K1635" s="22">
        <v>0.55000000000000004</v>
      </c>
      <c r="L1635" s="8">
        <f t="shared" ref="L1635:L1645" si="2246">+J1635-K1635</f>
        <v>0.19999999999999996</v>
      </c>
      <c r="M1635" s="24">
        <f t="shared" si="2181"/>
        <v>5.3475935828876985E-3</v>
      </c>
      <c r="N1635" s="14"/>
    </row>
    <row r="1636" spans="1:14" x14ac:dyDescent="0.25">
      <c r="A1636" s="20">
        <v>44587</v>
      </c>
      <c r="B1636" s="1">
        <f t="shared" ref="B1636" si="2247">B1634</f>
        <v>137</v>
      </c>
      <c r="C1636" s="1" t="s">
        <v>453</v>
      </c>
      <c r="D1636" s="1" t="s">
        <v>185</v>
      </c>
      <c r="E1636" s="26" t="e">
        <f>+#REF!</f>
        <v>#REF!</v>
      </c>
      <c r="F1636" s="26" t="e">
        <f>+#REF!</f>
        <v>#REF!</v>
      </c>
      <c r="G1636" s="17">
        <v>3</v>
      </c>
      <c r="H1636" s="17" t="s">
        <v>9</v>
      </c>
      <c r="I1636" s="30" t="s">
        <v>58</v>
      </c>
      <c r="J1636" s="22">
        <v>9.85</v>
      </c>
      <c r="K1636" s="22">
        <v>8.5500000000000007</v>
      </c>
      <c r="L1636" s="8">
        <f t="shared" si="2246"/>
        <v>1.2999999999999989</v>
      </c>
      <c r="M1636" s="24">
        <f t="shared" si="2181"/>
        <v>3.4759358288770019E-2</v>
      </c>
      <c r="N1636" s="14"/>
    </row>
    <row r="1637" spans="1:14" x14ac:dyDescent="0.25">
      <c r="A1637" s="20">
        <v>44587</v>
      </c>
      <c r="B1637" s="1">
        <f t="shared" ref="B1637" si="2248">B1634</f>
        <v>137</v>
      </c>
      <c r="C1637" s="1" t="s">
        <v>453</v>
      </c>
      <c r="D1637" s="1" t="s">
        <v>185</v>
      </c>
      <c r="E1637" s="26" t="e">
        <f t="shared" ref="E1637:F1637" si="2249">+E1636</f>
        <v>#REF!</v>
      </c>
      <c r="F1637" s="26" t="e">
        <f t="shared" si="2249"/>
        <v>#REF!</v>
      </c>
      <c r="G1637" s="17">
        <v>4</v>
      </c>
      <c r="H1637" s="17" t="s">
        <v>9</v>
      </c>
      <c r="I1637" s="30" t="s">
        <v>22</v>
      </c>
      <c r="J1637" s="22">
        <v>1.35</v>
      </c>
      <c r="K1637" s="22">
        <v>0.55000000000000004</v>
      </c>
      <c r="L1637" s="8">
        <f t="shared" si="2246"/>
        <v>0.8</v>
      </c>
      <c r="M1637" s="24">
        <f t="shared" si="2181"/>
        <v>2.1390374331550801E-2</v>
      </c>
      <c r="N1637" s="14"/>
    </row>
    <row r="1638" spans="1:14" x14ac:dyDescent="0.25">
      <c r="A1638" s="20">
        <v>44587</v>
      </c>
      <c r="B1638" s="1">
        <f t="shared" ref="B1638" si="2250">B1634</f>
        <v>137</v>
      </c>
      <c r="C1638" s="1" t="s">
        <v>453</v>
      </c>
      <c r="D1638" s="1" t="s">
        <v>185</v>
      </c>
      <c r="E1638" s="26" t="e">
        <f t="shared" ref="E1638:F1638" si="2251">+E1637</f>
        <v>#REF!</v>
      </c>
      <c r="F1638" s="26" t="e">
        <f t="shared" si="2251"/>
        <v>#REF!</v>
      </c>
      <c r="G1638" s="17">
        <v>5</v>
      </c>
      <c r="H1638" s="17" t="s">
        <v>9</v>
      </c>
      <c r="I1638" s="30" t="s">
        <v>34</v>
      </c>
      <c r="J1638" s="22">
        <f>14.4+13.05+14+11</f>
        <v>52.45</v>
      </c>
      <c r="K1638" s="63">
        <f>8.55+8.3+8.3+8.55</f>
        <v>33.700000000000003</v>
      </c>
      <c r="L1638" s="8">
        <f t="shared" si="2246"/>
        <v>18.75</v>
      </c>
      <c r="M1638" s="24">
        <f t="shared" si="2181"/>
        <v>0.50133689839572182</v>
      </c>
      <c r="N1638" s="14"/>
    </row>
    <row r="1639" spans="1:14" x14ac:dyDescent="0.25">
      <c r="A1639" s="20">
        <v>44587</v>
      </c>
      <c r="B1639" s="1">
        <f t="shared" ref="B1639" si="2252">B1634</f>
        <v>137</v>
      </c>
      <c r="C1639" s="1" t="s">
        <v>453</v>
      </c>
      <c r="D1639" s="1" t="s">
        <v>185</v>
      </c>
      <c r="E1639" s="26" t="e">
        <f t="shared" ref="E1639:F1639" si="2253">+E1638</f>
        <v>#REF!</v>
      </c>
      <c r="F1639" s="26" t="e">
        <f t="shared" si="2253"/>
        <v>#REF!</v>
      </c>
      <c r="G1639" s="17">
        <v>6</v>
      </c>
      <c r="H1639" s="17" t="s">
        <v>9</v>
      </c>
      <c r="I1639" s="30" t="s">
        <v>35</v>
      </c>
      <c r="J1639" s="22">
        <v>0.85</v>
      </c>
      <c r="K1639" s="22">
        <v>0.55000000000000004</v>
      </c>
      <c r="L1639" s="8">
        <f t="shared" si="2246"/>
        <v>0.29999999999999993</v>
      </c>
      <c r="M1639" s="24">
        <f t="shared" si="2181"/>
        <v>8.0213903743315482E-3</v>
      </c>
      <c r="N1639" s="14"/>
    </row>
    <row r="1640" spans="1:14" x14ac:dyDescent="0.25">
      <c r="A1640" s="20">
        <v>44587</v>
      </c>
      <c r="B1640" s="1">
        <f t="shared" ref="B1640" si="2254">B1634</f>
        <v>137</v>
      </c>
      <c r="C1640" s="1" t="s">
        <v>453</v>
      </c>
      <c r="D1640" s="1" t="s">
        <v>185</v>
      </c>
      <c r="E1640" s="26" t="e">
        <f t="shared" ref="E1640:F1640" si="2255">+E1639</f>
        <v>#REF!</v>
      </c>
      <c r="F1640" s="26" t="e">
        <f t="shared" si="2255"/>
        <v>#REF!</v>
      </c>
      <c r="G1640" s="17">
        <v>7</v>
      </c>
      <c r="H1640" s="17" t="s">
        <v>9</v>
      </c>
      <c r="I1640" s="30" t="s">
        <v>36</v>
      </c>
      <c r="J1640" s="22"/>
      <c r="K1640" s="22"/>
      <c r="L1640" s="8">
        <f t="shared" si="2246"/>
        <v>0</v>
      </c>
      <c r="M1640" s="24">
        <f t="shared" si="2181"/>
        <v>0</v>
      </c>
      <c r="N1640" s="14"/>
    </row>
    <row r="1641" spans="1:14" x14ac:dyDescent="0.25">
      <c r="A1641" s="20">
        <v>44587</v>
      </c>
      <c r="B1641" s="1">
        <f t="shared" ref="B1641" si="2256">B1634</f>
        <v>137</v>
      </c>
      <c r="C1641" s="1" t="s">
        <v>453</v>
      </c>
      <c r="D1641" s="1" t="s">
        <v>185</v>
      </c>
      <c r="E1641" s="26" t="e">
        <f>+E1640</f>
        <v>#REF!</v>
      </c>
      <c r="F1641" s="26" t="e">
        <f>+F1640</f>
        <v>#REF!</v>
      </c>
      <c r="G1641" s="17">
        <v>8</v>
      </c>
      <c r="H1641" s="17" t="s">
        <v>9</v>
      </c>
      <c r="I1641" s="30" t="s">
        <v>59</v>
      </c>
      <c r="J1641" s="22">
        <v>1.45</v>
      </c>
      <c r="K1641" s="22">
        <v>0.55000000000000004</v>
      </c>
      <c r="L1641" s="8">
        <f t="shared" si="2246"/>
        <v>0.89999999999999991</v>
      </c>
      <c r="M1641" s="24">
        <f t="shared" si="2181"/>
        <v>2.4064171122994648E-2</v>
      </c>
      <c r="N1641" s="14"/>
    </row>
    <row r="1642" spans="1:14" x14ac:dyDescent="0.25">
      <c r="A1642" s="20">
        <v>44587</v>
      </c>
      <c r="B1642" s="1">
        <f t="shared" ref="B1642" si="2257">B1634</f>
        <v>137</v>
      </c>
      <c r="C1642" s="1" t="s">
        <v>453</v>
      </c>
      <c r="D1642" s="1" t="s">
        <v>185</v>
      </c>
      <c r="E1642" s="26" t="e">
        <f t="shared" ref="E1642:F1642" si="2258">+E1641</f>
        <v>#REF!</v>
      </c>
      <c r="F1642" s="26" t="e">
        <f t="shared" si="2258"/>
        <v>#REF!</v>
      </c>
      <c r="G1642" s="17">
        <v>9</v>
      </c>
      <c r="H1642" s="17" t="s">
        <v>9</v>
      </c>
      <c r="I1642" s="30" t="s">
        <v>38</v>
      </c>
      <c r="J1642" s="22"/>
      <c r="K1642" s="22"/>
      <c r="L1642" s="8">
        <f t="shared" si="2246"/>
        <v>0</v>
      </c>
      <c r="M1642" s="24">
        <f t="shared" si="2181"/>
        <v>0</v>
      </c>
      <c r="N1642" s="14"/>
    </row>
    <row r="1643" spans="1:14" x14ac:dyDescent="0.25">
      <c r="A1643" s="20">
        <v>44587</v>
      </c>
      <c r="B1643" s="1">
        <f t="shared" ref="B1643" si="2259">B1634</f>
        <v>137</v>
      </c>
      <c r="C1643" s="1" t="s">
        <v>453</v>
      </c>
      <c r="D1643" s="1" t="s">
        <v>185</v>
      </c>
      <c r="E1643" s="26" t="e">
        <f t="shared" ref="E1643:F1643" si="2260">+E1642</f>
        <v>#REF!</v>
      </c>
      <c r="F1643" s="26" t="e">
        <f t="shared" si="2260"/>
        <v>#REF!</v>
      </c>
      <c r="G1643" s="17">
        <v>10</v>
      </c>
      <c r="H1643" s="17" t="s">
        <v>9</v>
      </c>
      <c r="I1643" s="30" t="s">
        <v>23</v>
      </c>
      <c r="J1643" s="22">
        <f>0.95+11.25</f>
        <v>12.2</v>
      </c>
      <c r="K1643" s="22">
        <f>0.5+0.55</f>
        <v>1.05</v>
      </c>
      <c r="L1643" s="8">
        <f t="shared" si="2246"/>
        <v>11.149999999999999</v>
      </c>
      <c r="M1643" s="24">
        <f t="shared" si="2181"/>
        <v>0.29812834224598922</v>
      </c>
      <c r="N1643" s="14"/>
    </row>
    <row r="1644" spans="1:14" x14ac:dyDescent="0.25">
      <c r="A1644" s="20">
        <v>44587</v>
      </c>
      <c r="B1644" s="1">
        <f t="shared" ref="B1644" si="2261">B1634</f>
        <v>137</v>
      </c>
      <c r="C1644" s="1" t="s">
        <v>453</v>
      </c>
      <c r="D1644" s="1" t="s">
        <v>185</v>
      </c>
      <c r="E1644" s="26" t="e">
        <f t="shared" ref="E1644:F1644" si="2262">+E1643</f>
        <v>#REF!</v>
      </c>
      <c r="F1644" s="26" t="e">
        <f t="shared" si="2262"/>
        <v>#REF!</v>
      </c>
      <c r="G1644" s="17">
        <v>11</v>
      </c>
      <c r="H1644" s="17" t="s">
        <v>9</v>
      </c>
      <c r="I1644" s="30" t="s">
        <v>60</v>
      </c>
      <c r="J1644" s="22">
        <v>0.75</v>
      </c>
      <c r="K1644" s="22">
        <v>0.5</v>
      </c>
      <c r="L1644" s="8">
        <f t="shared" si="2246"/>
        <v>0.25</v>
      </c>
      <c r="M1644" s="24">
        <f t="shared" si="2181"/>
        <v>6.6844919786096246E-3</v>
      </c>
      <c r="N1644" s="14"/>
    </row>
    <row r="1645" spans="1:14" ht="15.75" thickBot="1" x14ac:dyDescent="0.3">
      <c r="A1645" s="20">
        <v>44587</v>
      </c>
      <c r="B1645" s="57">
        <f t="shared" ref="B1645" si="2263">B1634</f>
        <v>137</v>
      </c>
      <c r="C1645" s="1" t="s">
        <v>453</v>
      </c>
      <c r="D1645" s="1" t="s">
        <v>185</v>
      </c>
      <c r="E1645" s="26" t="e">
        <f t="shared" ref="E1645:F1645" si="2264">+E1644</f>
        <v>#REF!</v>
      </c>
      <c r="F1645" s="26" t="e">
        <f t="shared" si="2264"/>
        <v>#REF!</v>
      </c>
      <c r="G1645" s="18">
        <f>+G1644+1</f>
        <v>12</v>
      </c>
      <c r="H1645" s="18" t="s">
        <v>10</v>
      </c>
      <c r="I1645" s="46" t="s">
        <v>10</v>
      </c>
      <c r="J1645" s="22">
        <f>10.9+9.8</f>
        <v>20.700000000000003</v>
      </c>
      <c r="K1645" s="63">
        <f>8.55+8.5</f>
        <v>17.05</v>
      </c>
      <c r="L1645" s="8">
        <f t="shared" si="2246"/>
        <v>3.6500000000000021</v>
      </c>
      <c r="M1645" s="24">
        <f t="shared" si="2181"/>
        <v>9.7593582887700578E-2</v>
      </c>
      <c r="N1645" s="14"/>
    </row>
    <row r="1646" spans="1:14" x14ac:dyDescent="0.25">
      <c r="A1646" s="19">
        <v>44587</v>
      </c>
      <c r="B1646" s="15">
        <f t="shared" ref="B1646" si="2265">B1634+1</f>
        <v>138</v>
      </c>
      <c r="C1646" s="15" t="s">
        <v>454</v>
      </c>
      <c r="D1646" s="15" t="s">
        <v>185</v>
      </c>
      <c r="E1646" s="25">
        <f>34-1.2</f>
        <v>32.799999999999997</v>
      </c>
      <c r="F1646" s="25">
        <f>+SUM(L1646:L1657)</f>
        <v>32.699999999999996</v>
      </c>
      <c r="G1646" s="16">
        <v>1</v>
      </c>
      <c r="H1646" s="16" t="s">
        <v>9</v>
      </c>
      <c r="I1646" s="59" t="s">
        <v>56</v>
      </c>
      <c r="J1646" s="21">
        <v>0.8</v>
      </c>
      <c r="K1646" s="21">
        <v>0.55000000000000004</v>
      </c>
      <c r="L1646" s="12">
        <f>+J1646-K1646</f>
        <v>0.25</v>
      </c>
      <c r="M1646" s="23">
        <f t="shared" ref="M1646:M1657" si="2266">+L1646/SUMIF(C:C,C1646,L:L)</f>
        <v>7.6452599388379212E-3</v>
      </c>
      <c r="N1646" s="13"/>
    </row>
    <row r="1647" spans="1:14" x14ac:dyDescent="0.25">
      <c r="A1647" s="20">
        <v>44587</v>
      </c>
      <c r="B1647" s="1">
        <f t="shared" ref="B1647" si="2267">B1646</f>
        <v>138</v>
      </c>
      <c r="C1647" s="1" t="s">
        <v>454</v>
      </c>
      <c r="D1647" s="1" t="s">
        <v>185</v>
      </c>
      <c r="E1647" s="26">
        <f>+E1646</f>
        <v>32.799999999999997</v>
      </c>
      <c r="F1647" s="28">
        <f>+(F1646-E1646)/E1646</f>
        <v>-3.0487804878049215E-3</v>
      </c>
      <c r="G1647" s="17">
        <v>2</v>
      </c>
      <c r="H1647" s="17" t="s">
        <v>9</v>
      </c>
      <c r="I1647" s="30" t="s">
        <v>57</v>
      </c>
      <c r="J1647" s="22">
        <v>0.7</v>
      </c>
      <c r="K1647" s="22">
        <v>0.55000000000000004</v>
      </c>
      <c r="L1647" s="8">
        <f t="shared" ref="L1647:L1657" si="2268">+J1647-K1647</f>
        <v>0.14999999999999991</v>
      </c>
      <c r="M1647" s="24">
        <f t="shared" si="2266"/>
        <v>4.5871559633027499E-3</v>
      </c>
      <c r="N1647" s="14"/>
    </row>
    <row r="1648" spans="1:14" x14ac:dyDescent="0.25">
      <c r="A1648" s="20">
        <v>44587</v>
      </c>
      <c r="B1648" s="1">
        <f t="shared" ref="B1648" si="2269">B1646</f>
        <v>138</v>
      </c>
      <c r="C1648" s="1" t="s">
        <v>454</v>
      </c>
      <c r="D1648" s="1" t="s">
        <v>185</v>
      </c>
      <c r="E1648" s="26" t="e">
        <f>+#REF!</f>
        <v>#REF!</v>
      </c>
      <c r="F1648" s="26" t="e">
        <f>+#REF!</f>
        <v>#REF!</v>
      </c>
      <c r="G1648" s="17">
        <v>3</v>
      </c>
      <c r="H1648" s="17" t="s">
        <v>9</v>
      </c>
      <c r="I1648" s="30" t="s">
        <v>58</v>
      </c>
      <c r="J1648" s="22">
        <v>1.2</v>
      </c>
      <c r="K1648" s="22">
        <v>0.55000000000000004</v>
      </c>
      <c r="L1648" s="8">
        <f t="shared" si="2268"/>
        <v>0.64999999999999991</v>
      </c>
      <c r="M1648" s="24">
        <f t="shared" si="2266"/>
        <v>1.9877675840978593E-2</v>
      </c>
      <c r="N1648" s="14"/>
    </row>
    <row r="1649" spans="1:14" x14ac:dyDescent="0.25">
      <c r="A1649" s="20">
        <v>44587</v>
      </c>
      <c r="B1649" s="1">
        <f t="shared" ref="B1649" si="2270">B1646</f>
        <v>138</v>
      </c>
      <c r="C1649" s="1" t="s">
        <v>454</v>
      </c>
      <c r="D1649" s="1" t="s">
        <v>185</v>
      </c>
      <c r="E1649" s="26" t="e">
        <f t="shared" ref="E1649:F1649" si="2271">+E1648</f>
        <v>#REF!</v>
      </c>
      <c r="F1649" s="26" t="e">
        <f t="shared" si="2271"/>
        <v>#REF!</v>
      </c>
      <c r="G1649" s="17">
        <v>4</v>
      </c>
      <c r="H1649" s="17" t="s">
        <v>9</v>
      </c>
      <c r="I1649" s="30" t="s">
        <v>22</v>
      </c>
      <c r="J1649" s="22">
        <v>1.25</v>
      </c>
      <c r="K1649" s="22">
        <v>0.55000000000000004</v>
      </c>
      <c r="L1649" s="8">
        <f t="shared" si="2268"/>
        <v>0.7</v>
      </c>
      <c r="M1649" s="24">
        <f t="shared" si="2266"/>
        <v>2.140672782874618E-2</v>
      </c>
      <c r="N1649" s="14"/>
    </row>
    <row r="1650" spans="1:14" x14ac:dyDescent="0.25">
      <c r="A1650" s="20">
        <v>44587</v>
      </c>
      <c r="B1650" s="1">
        <f t="shared" ref="B1650" si="2272">B1646</f>
        <v>138</v>
      </c>
      <c r="C1650" s="1" t="s">
        <v>454</v>
      </c>
      <c r="D1650" s="1" t="s">
        <v>185</v>
      </c>
      <c r="E1650" s="26" t="e">
        <f t="shared" ref="E1650:F1650" si="2273">+E1649</f>
        <v>#REF!</v>
      </c>
      <c r="F1650" s="26" t="e">
        <f t="shared" si="2273"/>
        <v>#REF!</v>
      </c>
      <c r="G1650" s="17">
        <v>5</v>
      </c>
      <c r="H1650" s="17" t="s">
        <v>9</v>
      </c>
      <c r="I1650" s="30" t="s">
        <v>34</v>
      </c>
      <c r="J1650" s="22">
        <f>16.3+13.15+11.9+14.55</f>
        <v>55.900000000000006</v>
      </c>
      <c r="K1650" s="63">
        <f>8.55+8.5+8.55+8.55</f>
        <v>34.150000000000006</v>
      </c>
      <c r="L1650" s="8">
        <f t="shared" si="2268"/>
        <v>21.75</v>
      </c>
      <c r="M1650" s="24">
        <f t="shared" si="2266"/>
        <v>0.6651376146788992</v>
      </c>
      <c r="N1650" s="14"/>
    </row>
    <row r="1651" spans="1:14" x14ac:dyDescent="0.25">
      <c r="A1651" s="20">
        <v>44587</v>
      </c>
      <c r="B1651" s="1">
        <f t="shared" ref="B1651" si="2274">B1646</f>
        <v>138</v>
      </c>
      <c r="C1651" s="1" t="s">
        <v>454</v>
      </c>
      <c r="D1651" s="1" t="s">
        <v>185</v>
      </c>
      <c r="E1651" s="26" t="e">
        <f t="shared" ref="E1651:F1651" si="2275">+E1650</f>
        <v>#REF!</v>
      </c>
      <c r="F1651" s="26" t="e">
        <f t="shared" si="2275"/>
        <v>#REF!</v>
      </c>
      <c r="G1651" s="17">
        <v>6</v>
      </c>
      <c r="H1651" s="17" t="s">
        <v>9</v>
      </c>
      <c r="I1651" s="30" t="s">
        <v>35</v>
      </c>
      <c r="J1651" s="22">
        <f>1.35</f>
        <v>1.35</v>
      </c>
      <c r="K1651" s="22">
        <f>0.5</f>
        <v>0.5</v>
      </c>
      <c r="L1651" s="8">
        <f t="shared" si="2268"/>
        <v>0.85000000000000009</v>
      </c>
      <c r="M1651" s="24">
        <f t="shared" si="2266"/>
        <v>2.5993883792048936E-2</v>
      </c>
      <c r="N1651" s="14"/>
    </row>
    <row r="1652" spans="1:14" x14ac:dyDescent="0.25">
      <c r="A1652" s="20">
        <v>44587</v>
      </c>
      <c r="B1652" s="1">
        <f t="shared" ref="B1652" si="2276">B1646</f>
        <v>138</v>
      </c>
      <c r="C1652" s="1" t="s">
        <v>454</v>
      </c>
      <c r="D1652" s="1" t="s">
        <v>185</v>
      </c>
      <c r="E1652" s="26" t="e">
        <f t="shared" ref="E1652:F1652" si="2277">+E1651</f>
        <v>#REF!</v>
      </c>
      <c r="F1652" s="26" t="e">
        <f t="shared" si="2277"/>
        <v>#REF!</v>
      </c>
      <c r="G1652" s="17">
        <v>7</v>
      </c>
      <c r="H1652" s="17" t="s">
        <v>9</v>
      </c>
      <c r="I1652" s="30" t="s">
        <v>36</v>
      </c>
      <c r="J1652" s="22"/>
      <c r="K1652" s="22"/>
      <c r="L1652" s="8">
        <f t="shared" si="2268"/>
        <v>0</v>
      </c>
      <c r="M1652" s="24">
        <f t="shared" si="2266"/>
        <v>0</v>
      </c>
      <c r="N1652" s="14"/>
    </row>
    <row r="1653" spans="1:14" x14ac:dyDescent="0.25">
      <c r="A1653" s="20">
        <v>44587</v>
      </c>
      <c r="B1653" s="1">
        <f t="shared" ref="B1653" si="2278">B1646</f>
        <v>138</v>
      </c>
      <c r="C1653" s="1" t="s">
        <v>454</v>
      </c>
      <c r="D1653" s="1" t="s">
        <v>185</v>
      </c>
      <c r="E1653" s="26" t="e">
        <f>+E1652</f>
        <v>#REF!</v>
      </c>
      <c r="F1653" s="26" t="e">
        <f>+F1652</f>
        <v>#REF!</v>
      </c>
      <c r="G1653" s="17">
        <v>8</v>
      </c>
      <c r="H1653" s="17" t="s">
        <v>9</v>
      </c>
      <c r="I1653" s="30" t="s">
        <v>59</v>
      </c>
      <c r="J1653" s="22">
        <v>0.9</v>
      </c>
      <c r="K1653" s="22">
        <v>0.5</v>
      </c>
      <c r="L1653" s="8">
        <f t="shared" si="2268"/>
        <v>0.4</v>
      </c>
      <c r="M1653" s="24">
        <f t="shared" si="2266"/>
        <v>1.2232415902140675E-2</v>
      </c>
      <c r="N1653" s="14"/>
    </row>
    <row r="1654" spans="1:14" x14ac:dyDescent="0.25">
      <c r="A1654" s="20">
        <v>44587</v>
      </c>
      <c r="B1654" s="1">
        <f t="shared" ref="B1654" si="2279">B1646</f>
        <v>138</v>
      </c>
      <c r="C1654" s="1" t="s">
        <v>454</v>
      </c>
      <c r="D1654" s="1" t="s">
        <v>185</v>
      </c>
      <c r="E1654" s="26" t="e">
        <f t="shared" ref="E1654:F1654" si="2280">+E1653</f>
        <v>#REF!</v>
      </c>
      <c r="F1654" s="26" t="e">
        <f t="shared" si="2280"/>
        <v>#REF!</v>
      </c>
      <c r="G1654" s="17">
        <v>9</v>
      </c>
      <c r="H1654" s="17" t="s">
        <v>9</v>
      </c>
      <c r="I1654" s="30" t="s">
        <v>38</v>
      </c>
      <c r="J1654" s="22"/>
      <c r="K1654" s="22"/>
      <c r="L1654" s="8">
        <f t="shared" si="2268"/>
        <v>0</v>
      </c>
      <c r="M1654" s="24">
        <f t="shared" si="2266"/>
        <v>0</v>
      </c>
      <c r="N1654" s="14"/>
    </row>
    <row r="1655" spans="1:14" x14ac:dyDescent="0.25">
      <c r="A1655" s="20">
        <v>44587</v>
      </c>
      <c r="B1655" s="1">
        <f t="shared" ref="B1655" si="2281">B1646</f>
        <v>138</v>
      </c>
      <c r="C1655" s="1" t="s">
        <v>454</v>
      </c>
      <c r="D1655" s="1" t="s">
        <v>185</v>
      </c>
      <c r="E1655" s="26" t="e">
        <f t="shared" ref="E1655:F1655" si="2282">+E1654</f>
        <v>#REF!</v>
      </c>
      <c r="F1655" s="26" t="e">
        <f t="shared" si="2282"/>
        <v>#REF!</v>
      </c>
      <c r="G1655" s="17">
        <v>10</v>
      </c>
      <c r="H1655" s="17" t="s">
        <v>9</v>
      </c>
      <c r="I1655" s="30" t="s">
        <v>23</v>
      </c>
      <c r="J1655" s="22">
        <v>11.3</v>
      </c>
      <c r="K1655" s="22">
        <v>8.5500000000000007</v>
      </c>
      <c r="L1655" s="8">
        <f t="shared" si="2268"/>
        <v>2.75</v>
      </c>
      <c r="M1655" s="24">
        <f t="shared" si="2266"/>
        <v>8.4097859327217139E-2</v>
      </c>
      <c r="N1655" s="14"/>
    </row>
    <row r="1656" spans="1:14" x14ac:dyDescent="0.25">
      <c r="A1656" s="20">
        <v>44587</v>
      </c>
      <c r="B1656" s="1">
        <f t="shared" ref="B1656" si="2283">B1646</f>
        <v>138</v>
      </c>
      <c r="C1656" s="1" t="s">
        <v>454</v>
      </c>
      <c r="D1656" s="1" t="s">
        <v>185</v>
      </c>
      <c r="E1656" s="26" t="e">
        <f t="shared" ref="E1656:F1656" si="2284">+E1655</f>
        <v>#REF!</v>
      </c>
      <c r="F1656" s="26" t="e">
        <f t="shared" si="2284"/>
        <v>#REF!</v>
      </c>
      <c r="G1656" s="17">
        <v>11</v>
      </c>
      <c r="H1656" s="17" t="s">
        <v>9</v>
      </c>
      <c r="I1656" s="30" t="s">
        <v>60</v>
      </c>
      <c r="J1656" s="22">
        <f>0.9</f>
        <v>0.9</v>
      </c>
      <c r="K1656" s="22">
        <v>0.5</v>
      </c>
      <c r="L1656" s="8">
        <f t="shared" si="2268"/>
        <v>0.4</v>
      </c>
      <c r="M1656" s="24">
        <f t="shared" si="2266"/>
        <v>1.2232415902140675E-2</v>
      </c>
      <c r="N1656" s="14"/>
    </row>
    <row r="1657" spans="1:14" ht="15.75" thickBot="1" x14ac:dyDescent="0.3">
      <c r="A1657" s="20">
        <v>44587</v>
      </c>
      <c r="B1657" s="57">
        <f t="shared" ref="B1657" si="2285">B1646</f>
        <v>138</v>
      </c>
      <c r="C1657" s="1" t="s">
        <v>454</v>
      </c>
      <c r="D1657" s="1" t="s">
        <v>185</v>
      </c>
      <c r="E1657" s="26" t="e">
        <f t="shared" ref="E1657:F1657" si="2286">+E1656</f>
        <v>#REF!</v>
      </c>
      <c r="F1657" s="26" t="e">
        <f t="shared" si="2286"/>
        <v>#REF!</v>
      </c>
      <c r="G1657" s="18">
        <f>+G1656+1</f>
        <v>12</v>
      </c>
      <c r="H1657" s="18" t="s">
        <v>10</v>
      </c>
      <c r="I1657" s="46" t="s">
        <v>10</v>
      </c>
      <c r="J1657" s="22">
        <f>11.1+10.55</f>
        <v>21.65</v>
      </c>
      <c r="K1657" s="63">
        <f>8.55+8.3</f>
        <v>16.850000000000001</v>
      </c>
      <c r="L1657" s="8">
        <f t="shared" si="2268"/>
        <v>4.7999999999999972</v>
      </c>
      <c r="M1657" s="24">
        <f t="shared" si="2266"/>
        <v>0.146788990825688</v>
      </c>
      <c r="N1657" s="14"/>
    </row>
    <row r="1658" spans="1:14" x14ac:dyDescent="0.25">
      <c r="A1658" s="19">
        <v>44587</v>
      </c>
      <c r="B1658" s="15">
        <f t="shared" ref="B1658" si="2287">B1646+1</f>
        <v>139</v>
      </c>
      <c r="C1658" s="15" t="s">
        <v>455</v>
      </c>
      <c r="D1658" s="15" t="s">
        <v>181</v>
      </c>
      <c r="E1658" s="25">
        <f>32-1.2</f>
        <v>30.8</v>
      </c>
      <c r="F1658" s="25">
        <f>+SUM(L1658:L1669)</f>
        <v>30.400000000000013</v>
      </c>
      <c r="G1658" s="16">
        <v>1</v>
      </c>
      <c r="H1658" s="16" t="s">
        <v>9</v>
      </c>
      <c r="I1658" s="59" t="s">
        <v>56</v>
      </c>
      <c r="J1658" s="21"/>
      <c r="K1658" s="21"/>
      <c r="L1658" s="12">
        <f>+J1658-K1658</f>
        <v>0</v>
      </c>
      <c r="M1658" s="23">
        <f t="shared" ref="M1658:M1705" si="2288">+L1658/SUMIF(C:C,C1658,L:L)</f>
        <v>0</v>
      </c>
      <c r="N1658" s="13"/>
    </row>
    <row r="1659" spans="1:14" x14ac:dyDescent="0.25">
      <c r="A1659" s="20">
        <v>44587</v>
      </c>
      <c r="B1659" s="1">
        <f t="shared" ref="B1659" si="2289">B1658</f>
        <v>139</v>
      </c>
      <c r="C1659" s="1" t="s">
        <v>455</v>
      </c>
      <c r="D1659" s="1" t="s">
        <v>181</v>
      </c>
      <c r="E1659" s="26">
        <f>+E1658</f>
        <v>30.8</v>
      </c>
      <c r="F1659" s="28">
        <f>+(F1658-E1658)/E1658</f>
        <v>-1.2987012987012594E-2</v>
      </c>
      <c r="G1659" s="17">
        <v>2</v>
      </c>
      <c r="H1659" s="17" t="s">
        <v>9</v>
      </c>
      <c r="I1659" s="30" t="s">
        <v>57</v>
      </c>
      <c r="J1659" s="22"/>
      <c r="K1659" s="22"/>
      <c r="L1659" s="8">
        <f t="shared" ref="L1659:L1669" si="2290">+J1659-K1659</f>
        <v>0</v>
      </c>
      <c r="M1659" s="24">
        <f t="shared" si="2288"/>
        <v>0</v>
      </c>
      <c r="N1659" s="14"/>
    </row>
    <row r="1660" spans="1:14" x14ac:dyDescent="0.25">
      <c r="A1660" s="20">
        <v>44587</v>
      </c>
      <c r="B1660" s="1">
        <f t="shared" ref="B1660" si="2291">B1658</f>
        <v>139</v>
      </c>
      <c r="C1660" s="1" t="s">
        <v>455</v>
      </c>
      <c r="D1660" s="1" t="s">
        <v>181</v>
      </c>
      <c r="E1660" s="26" t="e">
        <f>+#REF!</f>
        <v>#REF!</v>
      </c>
      <c r="F1660" s="26" t="e">
        <f>+#REF!</f>
        <v>#REF!</v>
      </c>
      <c r="G1660" s="17">
        <v>3</v>
      </c>
      <c r="H1660" s="17" t="s">
        <v>9</v>
      </c>
      <c r="I1660" s="30" t="s">
        <v>58</v>
      </c>
      <c r="J1660" s="22"/>
      <c r="K1660" s="22"/>
      <c r="L1660" s="8">
        <f t="shared" si="2290"/>
        <v>0</v>
      </c>
      <c r="M1660" s="24">
        <f t="shared" si="2288"/>
        <v>0</v>
      </c>
      <c r="N1660" s="14"/>
    </row>
    <row r="1661" spans="1:14" x14ac:dyDescent="0.25">
      <c r="A1661" s="20">
        <v>44587</v>
      </c>
      <c r="B1661" s="1">
        <f t="shared" ref="B1661" si="2292">B1658</f>
        <v>139</v>
      </c>
      <c r="C1661" s="1" t="s">
        <v>455</v>
      </c>
      <c r="D1661" s="1" t="s">
        <v>181</v>
      </c>
      <c r="E1661" s="26" t="e">
        <f t="shared" ref="E1661:F1661" si="2293">+E1660</f>
        <v>#REF!</v>
      </c>
      <c r="F1661" s="26" t="e">
        <f t="shared" si="2293"/>
        <v>#REF!</v>
      </c>
      <c r="G1661" s="17">
        <v>4</v>
      </c>
      <c r="H1661" s="17" t="s">
        <v>9</v>
      </c>
      <c r="I1661" s="30" t="s">
        <v>22</v>
      </c>
      <c r="J1661" s="22"/>
      <c r="K1661" s="22"/>
      <c r="L1661" s="8">
        <f t="shared" si="2290"/>
        <v>0</v>
      </c>
      <c r="M1661" s="24">
        <f t="shared" si="2288"/>
        <v>0</v>
      </c>
      <c r="N1661" s="14"/>
    </row>
    <row r="1662" spans="1:14" x14ac:dyDescent="0.25">
      <c r="A1662" s="20">
        <v>44587</v>
      </c>
      <c r="B1662" s="1">
        <f t="shared" ref="B1662" si="2294">B1658</f>
        <v>139</v>
      </c>
      <c r="C1662" s="1" t="s">
        <v>455</v>
      </c>
      <c r="D1662" s="1" t="s">
        <v>181</v>
      </c>
      <c r="E1662" s="26" t="e">
        <f t="shared" ref="E1662:F1662" si="2295">+E1661</f>
        <v>#REF!</v>
      </c>
      <c r="F1662" s="26" t="e">
        <f t="shared" si="2295"/>
        <v>#REF!</v>
      </c>
      <c r="G1662" s="17">
        <v>5</v>
      </c>
      <c r="H1662" s="17" t="s">
        <v>9</v>
      </c>
      <c r="I1662" s="30" t="s">
        <v>34</v>
      </c>
      <c r="J1662" s="22"/>
      <c r="K1662" s="63"/>
      <c r="L1662" s="8">
        <f t="shared" si="2290"/>
        <v>0</v>
      </c>
      <c r="M1662" s="24">
        <f t="shared" si="2288"/>
        <v>0</v>
      </c>
      <c r="N1662" s="14"/>
    </row>
    <row r="1663" spans="1:14" x14ac:dyDescent="0.25">
      <c r="A1663" s="20">
        <v>44587</v>
      </c>
      <c r="B1663" s="1">
        <f t="shared" ref="B1663" si="2296">B1658</f>
        <v>139</v>
      </c>
      <c r="C1663" s="1" t="s">
        <v>455</v>
      </c>
      <c r="D1663" s="1" t="s">
        <v>181</v>
      </c>
      <c r="E1663" s="26" t="e">
        <f t="shared" ref="E1663:F1663" si="2297">+E1662</f>
        <v>#REF!</v>
      </c>
      <c r="F1663" s="26" t="e">
        <f t="shared" si="2297"/>
        <v>#REF!</v>
      </c>
      <c r="G1663" s="17">
        <v>6</v>
      </c>
      <c r="H1663" s="17" t="s">
        <v>9</v>
      </c>
      <c r="I1663" s="30" t="s">
        <v>35</v>
      </c>
      <c r="J1663" s="22"/>
      <c r="K1663" s="22"/>
      <c r="L1663" s="8">
        <f t="shared" si="2290"/>
        <v>0</v>
      </c>
      <c r="M1663" s="24">
        <f t="shared" si="2288"/>
        <v>0</v>
      </c>
      <c r="N1663" s="14"/>
    </row>
    <row r="1664" spans="1:14" x14ac:dyDescent="0.25">
      <c r="A1664" s="20">
        <v>44587</v>
      </c>
      <c r="B1664" s="1">
        <f t="shared" ref="B1664" si="2298">B1658</f>
        <v>139</v>
      </c>
      <c r="C1664" s="1" t="s">
        <v>455</v>
      </c>
      <c r="D1664" s="1" t="s">
        <v>181</v>
      </c>
      <c r="E1664" s="26" t="e">
        <f t="shared" ref="E1664:F1664" si="2299">+E1663</f>
        <v>#REF!</v>
      </c>
      <c r="F1664" s="26" t="e">
        <f t="shared" si="2299"/>
        <v>#REF!</v>
      </c>
      <c r="G1664" s="17">
        <v>7</v>
      </c>
      <c r="H1664" s="17" t="s">
        <v>9</v>
      </c>
      <c r="I1664" s="30" t="s">
        <v>36</v>
      </c>
      <c r="J1664" s="22"/>
      <c r="K1664" s="22"/>
      <c r="L1664" s="8">
        <f t="shared" si="2290"/>
        <v>0</v>
      </c>
      <c r="M1664" s="24">
        <f t="shared" si="2288"/>
        <v>0</v>
      </c>
      <c r="N1664" s="14"/>
    </row>
    <row r="1665" spans="1:14" x14ac:dyDescent="0.25">
      <c r="A1665" s="20">
        <v>44587</v>
      </c>
      <c r="B1665" s="1">
        <f t="shared" ref="B1665" si="2300">B1658</f>
        <v>139</v>
      </c>
      <c r="C1665" s="1" t="s">
        <v>455</v>
      </c>
      <c r="D1665" s="1" t="s">
        <v>181</v>
      </c>
      <c r="E1665" s="26" t="e">
        <f>+E1664</f>
        <v>#REF!</v>
      </c>
      <c r="F1665" s="26" t="e">
        <f>+F1664</f>
        <v>#REF!</v>
      </c>
      <c r="G1665" s="17">
        <v>8</v>
      </c>
      <c r="H1665" s="17" t="s">
        <v>9</v>
      </c>
      <c r="I1665" s="30" t="s">
        <v>59</v>
      </c>
      <c r="J1665" s="22">
        <v>0.9</v>
      </c>
      <c r="K1665" s="22">
        <v>0.55000000000000004</v>
      </c>
      <c r="L1665" s="8">
        <f t="shared" si="2290"/>
        <v>0.35</v>
      </c>
      <c r="M1665" s="24">
        <f t="shared" si="2288"/>
        <v>1.1513157894736836E-2</v>
      </c>
      <c r="N1665" s="14"/>
    </row>
    <row r="1666" spans="1:14" x14ac:dyDescent="0.25">
      <c r="A1666" s="20">
        <v>44587</v>
      </c>
      <c r="B1666" s="1">
        <f t="shared" ref="B1666" si="2301">B1658</f>
        <v>139</v>
      </c>
      <c r="C1666" s="1" t="s">
        <v>455</v>
      </c>
      <c r="D1666" s="1" t="s">
        <v>181</v>
      </c>
      <c r="E1666" s="26" t="e">
        <f t="shared" ref="E1666:F1666" si="2302">+E1665</f>
        <v>#REF!</v>
      </c>
      <c r="F1666" s="26" t="e">
        <f t="shared" si="2302"/>
        <v>#REF!</v>
      </c>
      <c r="G1666" s="17">
        <v>9</v>
      </c>
      <c r="H1666" s="17" t="s">
        <v>9</v>
      </c>
      <c r="I1666" s="30" t="s">
        <v>38</v>
      </c>
      <c r="J1666" s="22"/>
      <c r="K1666" s="22"/>
      <c r="L1666" s="8">
        <f t="shared" si="2290"/>
        <v>0</v>
      </c>
      <c r="M1666" s="24">
        <f t="shared" si="2288"/>
        <v>0</v>
      </c>
      <c r="N1666" s="14"/>
    </row>
    <row r="1667" spans="1:14" x14ac:dyDescent="0.25">
      <c r="A1667" s="20">
        <v>44587</v>
      </c>
      <c r="B1667" s="1">
        <f t="shared" ref="B1667" si="2303">B1658</f>
        <v>139</v>
      </c>
      <c r="C1667" s="1" t="s">
        <v>455</v>
      </c>
      <c r="D1667" s="1" t="s">
        <v>181</v>
      </c>
      <c r="E1667" s="26" t="e">
        <f t="shared" ref="E1667:F1667" si="2304">+E1666</f>
        <v>#REF!</v>
      </c>
      <c r="F1667" s="26" t="e">
        <f t="shared" si="2304"/>
        <v>#REF!</v>
      </c>
      <c r="G1667" s="17">
        <v>10</v>
      </c>
      <c r="H1667" s="17" t="s">
        <v>9</v>
      </c>
      <c r="I1667" s="30" t="s">
        <v>23</v>
      </c>
      <c r="J1667" s="22">
        <f>12.7+14.65+14+12.8+12.3+11.65+10.8</f>
        <v>88.9</v>
      </c>
      <c r="K1667" s="22">
        <f>8.55+8.55+8.55+8.3+8.3+8.55+8.55</f>
        <v>59.349999999999994</v>
      </c>
      <c r="L1667" s="8">
        <f t="shared" si="2290"/>
        <v>29.550000000000011</v>
      </c>
      <c r="M1667" s="24">
        <f t="shared" si="2288"/>
        <v>0.97203947368421051</v>
      </c>
      <c r="N1667" s="14"/>
    </row>
    <row r="1668" spans="1:14" x14ac:dyDescent="0.25">
      <c r="A1668" s="20">
        <v>44587</v>
      </c>
      <c r="B1668" s="1">
        <f t="shared" ref="B1668" si="2305">B1658</f>
        <v>139</v>
      </c>
      <c r="C1668" s="1" t="s">
        <v>455</v>
      </c>
      <c r="D1668" s="1" t="s">
        <v>181</v>
      </c>
      <c r="E1668" s="26" t="e">
        <f t="shared" ref="E1668:F1668" si="2306">+E1667</f>
        <v>#REF!</v>
      </c>
      <c r="F1668" s="26" t="e">
        <f t="shared" si="2306"/>
        <v>#REF!</v>
      </c>
      <c r="G1668" s="17">
        <v>11</v>
      </c>
      <c r="H1668" s="17" t="s">
        <v>9</v>
      </c>
      <c r="I1668" s="30" t="s">
        <v>60</v>
      </c>
      <c r="J1668" s="22">
        <v>0.9</v>
      </c>
      <c r="K1668" s="22">
        <v>0.5</v>
      </c>
      <c r="L1668" s="8">
        <f t="shared" si="2290"/>
        <v>0.4</v>
      </c>
      <c r="M1668" s="24">
        <f t="shared" si="2288"/>
        <v>1.3157894736842101E-2</v>
      </c>
      <c r="N1668" s="14"/>
    </row>
    <row r="1669" spans="1:14" ht="15.75" thickBot="1" x14ac:dyDescent="0.3">
      <c r="A1669" s="20">
        <v>44587</v>
      </c>
      <c r="B1669" s="57">
        <f t="shared" ref="B1669" si="2307">B1658</f>
        <v>139</v>
      </c>
      <c r="C1669" s="1" t="s">
        <v>455</v>
      </c>
      <c r="D1669" s="57" t="s">
        <v>181</v>
      </c>
      <c r="E1669" s="26" t="e">
        <f t="shared" ref="E1669:F1669" si="2308">+E1668</f>
        <v>#REF!</v>
      </c>
      <c r="F1669" s="26" t="e">
        <f t="shared" si="2308"/>
        <v>#REF!</v>
      </c>
      <c r="G1669" s="18">
        <f>+G1668+1</f>
        <v>12</v>
      </c>
      <c r="H1669" s="18" t="s">
        <v>10</v>
      </c>
      <c r="I1669" s="46" t="s">
        <v>10</v>
      </c>
      <c r="J1669" s="22">
        <v>0.65</v>
      </c>
      <c r="K1669" s="63">
        <v>0.55000000000000004</v>
      </c>
      <c r="L1669" s="8">
        <f t="shared" si="2290"/>
        <v>9.9999999999999978E-2</v>
      </c>
      <c r="M1669" s="24">
        <f t="shared" si="2288"/>
        <v>3.2894736842105244E-3</v>
      </c>
      <c r="N1669" s="14"/>
    </row>
    <row r="1670" spans="1:14" x14ac:dyDescent="0.25">
      <c r="A1670" s="19">
        <v>44587</v>
      </c>
      <c r="B1670" s="15">
        <f t="shared" ref="B1670" si="2309">B1658+1</f>
        <v>140</v>
      </c>
      <c r="C1670" s="15" t="s">
        <v>456</v>
      </c>
      <c r="D1670" s="15" t="s">
        <v>181</v>
      </c>
      <c r="E1670" s="25">
        <f>35.2-1.2</f>
        <v>34</v>
      </c>
      <c r="F1670" s="25">
        <f>+SUM(L1670:L1681)</f>
        <v>33.75</v>
      </c>
      <c r="G1670" s="16">
        <v>1</v>
      </c>
      <c r="H1670" s="16" t="s">
        <v>9</v>
      </c>
      <c r="I1670" s="59" t="s">
        <v>56</v>
      </c>
      <c r="J1670" s="21"/>
      <c r="K1670" s="21"/>
      <c r="L1670" s="12">
        <f>+J1670-K1670</f>
        <v>0</v>
      </c>
      <c r="M1670" s="23">
        <f t="shared" si="2288"/>
        <v>0</v>
      </c>
      <c r="N1670" s="13"/>
    </row>
    <row r="1671" spans="1:14" x14ac:dyDescent="0.25">
      <c r="A1671" s="20">
        <v>44587</v>
      </c>
      <c r="B1671" s="1">
        <f t="shared" ref="B1671" si="2310">B1670</f>
        <v>140</v>
      </c>
      <c r="C1671" s="1" t="s">
        <v>456</v>
      </c>
      <c r="D1671" s="1" t="s">
        <v>181</v>
      </c>
      <c r="E1671" s="26">
        <f>+E1670</f>
        <v>34</v>
      </c>
      <c r="F1671" s="28">
        <f>+(F1670-E1670)/E1670</f>
        <v>-7.3529411764705881E-3</v>
      </c>
      <c r="G1671" s="17">
        <v>2</v>
      </c>
      <c r="H1671" s="17" t="s">
        <v>9</v>
      </c>
      <c r="I1671" s="30" t="s">
        <v>57</v>
      </c>
      <c r="J1671" s="22"/>
      <c r="K1671" s="22"/>
      <c r="L1671" s="8">
        <f t="shared" ref="L1671:L1681" si="2311">+J1671-K1671</f>
        <v>0</v>
      </c>
      <c r="M1671" s="24">
        <f t="shared" si="2288"/>
        <v>0</v>
      </c>
      <c r="N1671" s="14"/>
    </row>
    <row r="1672" spans="1:14" x14ac:dyDescent="0.25">
      <c r="A1672" s="20">
        <v>44587</v>
      </c>
      <c r="B1672" s="1">
        <f t="shared" ref="B1672" si="2312">B1670</f>
        <v>140</v>
      </c>
      <c r="C1672" s="1" t="s">
        <v>456</v>
      </c>
      <c r="D1672" s="1" t="s">
        <v>181</v>
      </c>
      <c r="E1672" s="26" t="e">
        <f>+#REF!</f>
        <v>#REF!</v>
      </c>
      <c r="F1672" s="26" t="e">
        <f>+#REF!</f>
        <v>#REF!</v>
      </c>
      <c r="G1672" s="17">
        <v>3</v>
      </c>
      <c r="H1672" s="17" t="s">
        <v>9</v>
      </c>
      <c r="I1672" s="30" t="s">
        <v>58</v>
      </c>
      <c r="J1672" s="22"/>
      <c r="K1672" s="22"/>
      <c r="L1672" s="8">
        <f t="shared" si="2311"/>
        <v>0</v>
      </c>
      <c r="M1672" s="24">
        <f t="shared" si="2288"/>
        <v>0</v>
      </c>
      <c r="N1672" s="14"/>
    </row>
    <row r="1673" spans="1:14" x14ac:dyDescent="0.25">
      <c r="A1673" s="20">
        <v>44587</v>
      </c>
      <c r="B1673" s="1">
        <f t="shared" ref="B1673" si="2313">B1670</f>
        <v>140</v>
      </c>
      <c r="C1673" s="1" t="s">
        <v>456</v>
      </c>
      <c r="D1673" s="1" t="s">
        <v>181</v>
      </c>
      <c r="E1673" s="26" t="e">
        <f t="shared" ref="E1673:F1673" si="2314">+E1672</f>
        <v>#REF!</v>
      </c>
      <c r="F1673" s="26" t="e">
        <f t="shared" si="2314"/>
        <v>#REF!</v>
      </c>
      <c r="G1673" s="17">
        <v>4</v>
      </c>
      <c r="H1673" s="17" t="s">
        <v>9</v>
      </c>
      <c r="I1673" s="30" t="s">
        <v>22</v>
      </c>
      <c r="J1673" s="22"/>
      <c r="K1673" s="22"/>
      <c r="L1673" s="8">
        <f t="shared" si="2311"/>
        <v>0</v>
      </c>
      <c r="M1673" s="24">
        <f t="shared" si="2288"/>
        <v>0</v>
      </c>
      <c r="N1673" s="14"/>
    </row>
    <row r="1674" spans="1:14" x14ac:dyDescent="0.25">
      <c r="A1674" s="20">
        <v>44587</v>
      </c>
      <c r="B1674" s="1">
        <f t="shared" ref="B1674" si="2315">B1670</f>
        <v>140</v>
      </c>
      <c r="C1674" s="1" t="s">
        <v>456</v>
      </c>
      <c r="D1674" s="1" t="s">
        <v>181</v>
      </c>
      <c r="E1674" s="26" t="e">
        <f t="shared" ref="E1674:F1674" si="2316">+E1673</f>
        <v>#REF!</v>
      </c>
      <c r="F1674" s="26" t="e">
        <f t="shared" si="2316"/>
        <v>#REF!</v>
      </c>
      <c r="G1674" s="17">
        <v>5</v>
      </c>
      <c r="H1674" s="17" t="s">
        <v>9</v>
      </c>
      <c r="I1674" s="30" t="s">
        <v>34</v>
      </c>
      <c r="J1674" s="22"/>
      <c r="K1674" s="63"/>
      <c r="L1674" s="8">
        <f t="shared" si="2311"/>
        <v>0</v>
      </c>
      <c r="M1674" s="24">
        <f t="shared" si="2288"/>
        <v>0</v>
      </c>
      <c r="N1674" s="14"/>
    </row>
    <row r="1675" spans="1:14" x14ac:dyDescent="0.25">
      <c r="A1675" s="20">
        <v>44587</v>
      </c>
      <c r="B1675" s="1">
        <f t="shared" ref="B1675" si="2317">B1670</f>
        <v>140</v>
      </c>
      <c r="C1675" s="1" t="s">
        <v>456</v>
      </c>
      <c r="D1675" s="1" t="s">
        <v>181</v>
      </c>
      <c r="E1675" s="26" t="e">
        <f t="shared" ref="E1675:F1675" si="2318">+E1674</f>
        <v>#REF!</v>
      </c>
      <c r="F1675" s="26" t="e">
        <f t="shared" si="2318"/>
        <v>#REF!</v>
      </c>
      <c r="G1675" s="17">
        <v>6</v>
      </c>
      <c r="H1675" s="17" t="s">
        <v>9</v>
      </c>
      <c r="I1675" s="30" t="s">
        <v>35</v>
      </c>
      <c r="J1675" s="22"/>
      <c r="K1675" s="22"/>
      <c r="L1675" s="8">
        <f t="shared" si="2311"/>
        <v>0</v>
      </c>
      <c r="M1675" s="24">
        <f t="shared" si="2288"/>
        <v>0</v>
      </c>
      <c r="N1675" s="14"/>
    </row>
    <row r="1676" spans="1:14" x14ac:dyDescent="0.25">
      <c r="A1676" s="20">
        <v>44587</v>
      </c>
      <c r="B1676" s="1">
        <f t="shared" ref="B1676" si="2319">B1670</f>
        <v>140</v>
      </c>
      <c r="C1676" s="1" t="s">
        <v>456</v>
      </c>
      <c r="D1676" s="1" t="s">
        <v>181</v>
      </c>
      <c r="E1676" s="26" t="e">
        <f t="shared" ref="E1676:F1676" si="2320">+E1675</f>
        <v>#REF!</v>
      </c>
      <c r="F1676" s="26" t="e">
        <f t="shared" si="2320"/>
        <v>#REF!</v>
      </c>
      <c r="G1676" s="17">
        <v>7</v>
      </c>
      <c r="H1676" s="17" t="s">
        <v>9</v>
      </c>
      <c r="I1676" s="30" t="s">
        <v>36</v>
      </c>
      <c r="J1676" s="22"/>
      <c r="K1676" s="22"/>
      <c r="L1676" s="8">
        <f t="shared" si="2311"/>
        <v>0</v>
      </c>
      <c r="M1676" s="24">
        <f t="shared" si="2288"/>
        <v>0</v>
      </c>
      <c r="N1676" s="14"/>
    </row>
    <row r="1677" spans="1:14" x14ac:dyDescent="0.25">
      <c r="A1677" s="20">
        <v>44587</v>
      </c>
      <c r="B1677" s="1">
        <f t="shared" ref="B1677" si="2321">B1670</f>
        <v>140</v>
      </c>
      <c r="C1677" s="1" t="s">
        <v>456</v>
      </c>
      <c r="D1677" s="1" t="s">
        <v>181</v>
      </c>
      <c r="E1677" s="26" t="e">
        <f>+E1676</f>
        <v>#REF!</v>
      </c>
      <c r="F1677" s="26" t="e">
        <f>+F1676</f>
        <v>#REF!</v>
      </c>
      <c r="G1677" s="17">
        <v>8</v>
      </c>
      <c r="H1677" s="17" t="s">
        <v>9</v>
      </c>
      <c r="I1677" s="30" t="s">
        <v>59</v>
      </c>
      <c r="J1677" s="22">
        <v>0.85</v>
      </c>
      <c r="K1677" s="22">
        <v>0.5</v>
      </c>
      <c r="L1677" s="8">
        <f t="shared" si="2311"/>
        <v>0.35</v>
      </c>
      <c r="M1677" s="24">
        <f t="shared" si="2288"/>
        <v>1.037037037037037E-2</v>
      </c>
      <c r="N1677" s="14"/>
    </row>
    <row r="1678" spans="1:14" x14ac:dyDescent="0.25">
      <c r="A1678" s="20">
        <v>44587</v>
      </c>
      <c r="B1678" s="1">
        <f t="shared" ref="B1678" si="2322">B1670</f>
        <v>140</v>
      </c>
      <c r="C1678" s="1" t="s">
        <v>456</v>
      </c>
      <c r="D1678" s="1" t="s">
        <v>181</v>
      </c>
      <c r="E1678" s="26" t="e">
        <f t="shared" ref="E1678:F1678" si="2323">+E1677</f>
        <v>#REF!</v>
      </c>
      <c r="F1678" s="26" t="e">
        <f t="shared" si="2323"/>
        <v>#REF!</v>
      </c>
      <c r="G1678" s="17">
        <v>9</v>
      </c>
      <c r="H1678" s="17" t="s">
        <v>9</v>
      </c>
      <c r="I1678" s="30" t="s">
        <v>38</v>
      </c>
      <c r="J1678" s="22"/>
      <c r="K1678" s="22"/>
      <c r="L1678" s="8">
        <f t="shared" si="2311"/>
        <v>0</v>
      </c>
      <c r="M1678" s="24">
        <f t="shared" si="2288"/>
        <v>0</v>
      </c>
      <c r="N1678" s="14"/>
    </row>
    <row r="1679" spans="1:14" x14ac:dyDescent="0.25">
      <c r="A1679" s="20">
        <v>44587</v>
      </c>
      <c r="B1679" s="1">
        <f t="shared" ref="B1679" si="2324">B1670</f>
        <v>140</v>
      </c>
      <c r="C1679" s="1" t="s">
        <v>456</v>
      </c>
      <c r="D1679" s="1" t="s">
        <v>181</v>
      </c>
      <c r="E1679" s="26" t="e">
        <f t="shared" ref="E1679:F1679" si="2325">+E1678</f>
        <v>#REF!</v>
      </c>
      <c r="F1679" s="26" t="e">
        <f t="shared" si="2325"/>
        <v>#REF!</v>
      </c>
      <c r="G1679" s="17">
        <v>10</v>
      </c>
      <c r="H1679" s="17" t="s">
        <v>9</v>
      </c>
      <c r="I1679" s="30" t="s">
        <v>23</v>
      </c>
      <c r="J1679" s="22">
        <f>12.9+14.6+14.9+13.25+11.35+12.6+12.65</f>
        <v>92.25</v>
      </c>
      <c r="K1679" s="22">
        <f>8.3+8.3+8.55+8.5+8.55+8.55+8.55</f>
        <v>59.3</v>
      </c>
      <c r="L1679" s="8">
        <f t="shared" si="2311"/>
        <v>32.950000000000003</v>
      </c>
      <c r="M1679" s="24">
        <f t="shared" si="2288"/>
        <v>0.97629629629629633</v>
      </c>
      <c r="N1679" s="14"/>
    </row>
    <row r="1680" spans="1:14" x14ac:dyDescent="0.25">
      <c r="A1680" s="20">
        <v>44587</v>
      </c>
      <c r="B1680" s="1">
        <f t="shared" ref="B1680" si="2326">B1670</f>
        <v>140</v>
      </c>
      <c r="C1680" s="1" t="s">
        <v>456</v>
      </c>
      <c r="D1680" s="1" t="s">
        <v>181</v>
      </c>
      <c r="E1680" s="26" t="e">
        <f t="shared" ref="E1680:F1680" si="2327">+E1679</f>
        <v>#REF!</v>
      </c>
      <c r="F1680" s="26" t="e">
        <f t="shared" si="2327"/>
        <v>#REF!</v>
      </c>
      <c r="G1680" s="17">
        <v>11</v>
      </c>
      <c r="H1680" s="17" t="s">
        <v>9</v>
      </c>
      <c r="I1680" s="30" t="s">
        <v>60</v>
      </c>
      <c r="J1680" s="22">
        <v>0.6</v>
      </c>
      <c r="K1680" s="22">
        <v>0.55000000000000004</v>
      </c>
      <c r="L1680" s="8">
        <f t="shared" si="2311"/>
        <v>4.9999999999999933E-2</v>
      </c>
      <c r="M1680" s="24">
        <f t="shared" si="2288"/>
        <v>1.4814814814814795E-3</v>
      </c>
      <c r="N1680" s="14"/>
    </row>
    <row r="1681" spans="1:14" ht="15.75" thickBot="1" x14ac:dyDescent="0.3">
      <c r="A1681" s="20">
        <v>44587</v>
      </c>
      <c r="B1681" s="57">
        <f t="shared" ref="B1681" si="2328">B1670</f>
        <v>140</v>
      </c>
      <c r="C1681" s="1" t="s">
        <v>456</v>
      </c>
      <c r="D1681" s="57" t="s">
        <v>181</v>
      </c>
      <c r="E1681" s="26" t="e">
        <f t="shared" ref="E1681:F1681" si="2329">+E1680</f>
        <v>#REF!</v>
      </c>
      <c r="F1681" s="26" t="e">
        <f t="shared" si="2329"/>
        <v>#REF!</v>
      </c>
      <c r="G1681" s="18">
        <f>+G1680+1</f>
        <v>12</v>
      </c>
      <c r="H1681" s="18" t="s">
        <v>10</v>
      </c>
      <c r="I1681" s="46" t="s">
        <v>10</v>
      </c>
      <c r="J1681" s="22">
        <v>0.95</v>
      </c>
      <c r="K1681" s="63">
        <v>0.55000000000000004</v>
      </c>
      <c r="L1681" s="8">
        <f t="shared" si="2311"/>
        <v>0.39999999999999991</v>
      </c>
      <c r="M1681" s="24">
        <f t="shared" si="2288"/>
        <v>1.185185185185185E-2</v>
      </c>
      <c r="N1681" s="14"/>
    </row>
    <row r="1682" spans="1:14" x14ac:dyDescent="0.25">
      <c r="A1682" s="19">
        <v>44588</v>
      </c>
      <c r="B1682" s="15">
        <f t="shared" ref="B1682" si="2330">B1670+1</f>
        <v>141</v>
      </c>
      <c r="C1682" s="15" t="s">
        <v>457</v>
      </c>
      <c r="D1682" s="15" t="s">
        <v>181</v>
      </c>
      <c r="E1682" s="25">
        <f>40.4-1.2</f>
        <v>39.199999999999996</v>
      </c>
      <c r="F1682" s="25">
        <f>+SUM(L1682:L1693)</f>
        <v>39.79999999999999</v>
      </c>
      <c r="G1682" s="16">
        <v>1</v>
      </c>
      <c r="H1682" s="16" t="s">
        <v>9</v>
      </c>
      <c r="I1682" s="59" t="s">
        <v>56</v>
      </c>
      <c r="J1682" s="21"/>
      <c r="K1682" s="21"/>
      <c r="L1682" s="12">
        <f>+J1682-K1682</f>
        <v>0</v>
      </c>
      <c r="M1682" s="23">
        <f t="shared" si="2288"/>
        <v>0</v>
      </c>
      <c r="N1682" s="13"/>
    </row>
    <row r="1683" spans="1:14" x14ac:dyDescent="0.25">
      <c r="A1683" s="20">
        <v>44588</v>
      </c>
      <c r="B1683" s="1">
        <f t="shared" ref="B1683" si="2331">B1682</f>
        <v>141</v>
      </c>
      <c r="C1683" s="1" t="s">
        <v>457</v>
      </c>
      <c r="D1683" s="1" t="s">
        <v>181</v>
      </c>
      <c r="E1683" s="26">
        <f>+E1682</f>
        <v>39.199999999999996</v>
      </c>
      <c r="F1683" s="28">
        <f>+(F1682-E1682)/E1682</f>
        <v>1.5306122448979449E-2</v>
      </c>
      <c r="G1683" s="17">
        <v>2</v>
      </c>
      <c r="H1683" s="17" t="s">
        <v>9</v>
      </c>
      <c r="I1683" s="30" t="s">
        <v>57</v>
      </c>
      <c r="J1683" s="22"/>
      <c r="K1683" s="22"/>
      <c r="L1683" s="8">
        <f t="shared" ref="L1683:L1693" si="2332">+J1683-K1683</f>
        <v>0</v>
      </c>
      <c r="M1683" s="24">
        <f t="shared" si="2288"/>
        <v>0</v>
      </c>
      <c r="N1683" s="14"/>
    </row>
    <row r="1684" spans="1:14" x14ac:dyDescent="0.25">
      <c r="A1684" s="20">
        <v>44588</v>
      </c>
      <c r="B1684" s="1">
        <f t="shared" ref="B1684" si="2333">B1682</f>
        <v>141</v>
      </c>
      <c r="C1684" s="1" t="s">
        <v>457</v>
      </c>
      <c r="D1684" s="1" t="s">
        <v>181</v>
      </c>
      <c r="E1684" s="26" t="e">
        <f>+#REF!</f>
        <v>#REF!</v>
      </c>
      <c r="F1684" s="26" t="e">
        <f>+#REF!</f>
        <v>#REF!</v>
      </c>
      <c r="G1684" s="17">
        <v>3</v>
      </c>
      <c r="H1684" s="17" t="s">
        <v>9</v>
      </c>
      <c r="I1684" s="30" t="s">
        <v>58</v>
      </c>
      <c r="J1684" s="22"/>
      <c r="K1684" s="22"/>
      <c r="L1684" s="8">
        <f t="shared" si="2332"/>
        <v>0</v>
      </c>
      <c r="M1684" s="24">
        <f t="shared" si="2288"/>
        <v>0</v>
      </c>
      <c r="N1684" s="14"/>
    </row>
    <row r="1685" spans="1:14" x14ac:dyDescent="0.25">
      <c r="A1685" s="20">
        <v>44588</v>
      </c>
      <c r="B1685" s="1">
        <f t="shared" ref="B1685" si="2334">B1682</f>
        <v>141</v>
      </c>
      <c r="C1685" s="1" t="s">
        <v>457</v>
      </c>
      <c r="D1685" s="1" t="s">
        <v>181</v>
      </c>
      <c r="E1685" s="26" t="e">
        <f t="shared" ref="E1685:F1685" si="2335">+E1684</f>
        <v>#REF!</v>
      </c>
      <c r="F1685" s="26" t="e">
        <f t="shared" si="2335"/>
        <v>#REF!</v>
      </c>
      <c r="G1685" s="17">
        <v>4</v>
      </c>
      <c r="H1685" s="17" t="s">
        <v>9</v>
      </c>
      <c r="I1685" s="30" t="s">
        <v>22</v>
      </c>
      <c r="J1685" s="22">
        <v>0.55000000000000004</v>
      </c>
      <c r="K1685" s="22">
        <v>0.5</v>
      </c>
      <c r="L1685" s="8">
        <f t="shared" si="2332"/>
        <v>5.0000000000000044E-2</v>
      </c>
      <c r="M1685" s="24">
        <f t="shared" si="2288"/>
        <v>1.2562814070351774E-3</v>
      </c>
      <c r="N1685" s="14"/>
    </row>
    <row r="1686" spans="1:14" x14ac:dyDescent="0.25">
      <c r="A1686" s="20">
        <v>44588</v>
      </c>
      <c r="B1686" s="1">
        <f t="shared" ref="B1686" si="2336">B1682</f>
        <v>141</v>
      </c>
      <c r="C1686" s="1" t="s">
        <v>457</v>
      </c>
      <c r="D1686" s="1" t="s">
        <v>181</v>
      </c>
      <c r="E1686" s="26" t="e">
        <f t="shared" ref="E1686:F1686" si="2337">+E1685</f>
        <v>#REF!</v>
      </c>
      <c r="F1686" s="26" t="e">
        <f t="shared" si="2337"/>
        <v>#REF!</v>
      </c>
      <c r="G1686" s="17">
        <v>5</v>
      </c>
      <c r="H1686" s="17" t="s">
        <v>9</v>
      </c>
      <c r="I1686" s="30" t="s">
        <v>34</v>
      </c>
      <c r="J1686" s="22"/>
      <c r="K1686" s="63"/>
      <c r="L1686" s="8">
        <f t="shared" si="2332"/>
        <v>0</v>
      </c>
      <c r="M1686" s="24">
        <f t="shared" si="2288"/>
        <v>0</v>
      </c>
      <c r="N1686" s="14"/>
    </row>
    <row r="1687" spans="1:14" x14ac:dyDescent="0.25">
      <c r="A1687" s="20">
        <v>44588</v>
      </c>
      <c r="B1687" s="1">
        <f t="shared" ref="B1687" si="2338">B1682</f>
        <v>141</v>
      </c>
      <c r="C1687" s="1" t="s">
        <v>457</v>
      </c>
      <c r="D1687" s="1" t="s">
        <v>181</v>
      </c>
      <c r="E1687" s="26" t="e">
        <f t="shared" ref="E1687:F1687" si="2339">+E1686</f>
        <v>#REF!</v>
      </c>
      <c r="F1687" s="26" t="e">
        <f t="shared" si="2339"/>
        <v>#REF!</v>
      </c>
      <c r="G1687" s="17">
        <v>6</v>
      </c>
      <c r="H1687" s="17" t="s">
        <v>9</v>
      </c>
      <c r="I1687" s="30" t="s">
        <v>35</v>
      </c>
      <c r="J1687" s="22"/>
      <c r="K1687" s="22"/>
      <c r="L1687" s="8">
        <f t="shared" si="2332"/>
        <v>0</v>
      </c>
      <c r="M1687" s="24">
        <f t="shared" si="2288"/>
        <v>0</v>
      </c>
      <c r="N1687" s="14"/>
    </row>
    <row r="1688" spans="1:14" x14ac:dyDescent="0.25">
      <c r="A1688" s="20">
        <v>44588</v>
      </c>
      <c r="B1688" s="1">
        <f t="shared" ref="B1688" si="2340">B1682</f>
        <v>141</v>
      </c>
      <c r="C1688" s="1" t="s">
        <v>457</v>
      </c>
      <c r="D1688" s="1" t="s">
        <v>181</v>
      </c>
      <c r="E1688" s="26" t="e">
        <f t="shared" ref="E1688:F1688" si="2341">+E1687</f>
        <v>#REF!</v>
      </c>
      <c r="F1688" s="26" t="e">
        <f t="shared" si="2341"/>
        <v>#REF!</v>
      </c>
      <c r="G1688" s="17">
        <v>7</v>
      </c>
      <c r="H1688" s="17" t="s">
        <v>9</v>
      </c>
      <c r="I1688" s="30" t="s">
        <v>36</v>
      </c>
      <c r="J1688" s="22"/>
      <c r="K1688" s="22"/>
      <c r="L1688" s="8">
        <f t="shared" si="2332"/>
        <v>0</v>
      </c>
      <c r="M1688" s="24">
        <f t="shared" si="2288"/>
        <v>0</v>
      </c>
      <c r="N1688" s="14"/>
    </row>
    <row r="1689" spans="1:14" x14ac:dyDescent="0.25">
      <c r="A1689" s="20">
        <v>44588</v>
      </c>
      <c r="B1689" s="1">
        <f t="shared" ref="B1689" si="2342">B1682</f>
        <v>141</v>
      </c>
      <c r="C1689" s="1" t="s">
        <v>457</v>
      </c>
      <c r="D1689" s="1" t="s">
        <v>181</v>
      </c>
      <c r="E1689" s="26" t="e">
        <f>+E1688</f>
        <v>#REF!</v>
      </c>
      <c r="F1689" s="26" t="e">
        <f>+F1688</f>
        <v>#REF!</v>
      </c>
      <c r="G1689" s="17">
        <v>8</v>
      </c>
      <c r="H1689" s="17" t="s">
        <v>9</v>
      </c>
      <c r="I1689" s="30" t="s">
        <v>59</v>
      </c>
      <c r="J1689" s="22">
        <f>1.15+9</f>
        <v>10.15</v>
      </c>
      <c r="K1689" s="22">
        <f>0.55+8.55</f>
        <v>9.1000000000000014</v>
      </c>
      <c r="L1689" s="8">
        <f t="shared" si="2332"/>
        <v>1.0499999999999989</v>
      </c>
      <c r="M1689" s="24">
        <f t="shared" si="2288"/>
        <v>2.6381909547738672E-2</v>
      </c>
      <c r="N1689" s="14"/>
    </row>
    <row r="1690" spans="1:14" x14ac:dyDescent="0.25">
      <c r="A1690" s="20">
        <v>44588</v>
      </c>
      <c r="B1690" s="1">
        <f t="shared" ref="B1690" si="2343">B1682</f>
        <v>141</v>
      </c>
      <c r="C1690" s="1" t="s">
        <v>457</v>
      </c>
      <c r="D1690" s="1" t="s">
        <v>181</v>
      </c>
      <c r="E1690" s="26" t="e">
        <f t="shared" ref="E1690:F1690" si="2344">+E1689</f>
        <v>#REF!</v>
      </c>
      <c r="F1690" s="26" t="e">
        <f t="shared" si="2344"/>
        <v>#REF!</v>
      </c>
      <c r="G1690" s="17">
        <v>9</v>
      </c>
      <c r="H1690" s="17" t="s">
        <v>9</v>
      </c>
      <c r="I1690" s="30" t="s">
        <v>38</v>
      </c>
      <c r="J1690" s="22">
        <v>0.6</v>
      </c>
      <c r="K1690" s="22">
        <v>0.55000000000000004</v>
      </c>
      <c r="L1690" s="8">
        <f t="shared" si="2332"/>
        <v>4.9999999999999933E-2</v>
      </c>
      <c r="M1690" s="24">
        <f t="shared" si="2288"/>
        <v>1.2562814070351746E-3</v>
      </c>
      <c r="N1690" s="14"/>
    </row>
    <row r="1691" spans="1:14" x14ac:dyDescent="0.25">
      <c r="A1691" s="20">
        <v>44588</v>
      </c>
      <c r="B1691" s="1">
        <f t="shared" ref="B1691" si="2345">B1682</f>
        <v>141</v>
      </c>
      <c r="C1691" s="1" t="s">
        <v>457</v>
      </c>
      <c r="D1691" s="1" t="s">
        <v>181</v>
      </c>
      <c r="E1691" s="26" t="e">
        <f t="shared" ref="E1691:F1691" si="2346">+E1690</f>
        <v>#REF!</v>
      </c>
      <c r="F1691" s="26" t="e">
        <f t="shared" si="2346"/>
        <v>#REF!</v>
      </c>
      <c r="G1691" s="17">
        <v>10</v>
      </c>
      <c r="H1691" s="17" t="s">
        <v>9</v>
      </c>
      <c r="I1691" s="30" t="s">
        <v>23</v>
      </c>
      <c r="J1691" s="22">
        <f>13.75+13.25+13.35+11.8+13.1+14.35+14.1+12.05</f>
        <v>105.74999999999999</v>
      </c>
      <c r="K1691" s="22">
        <f>8.3+8.5+8.55+8.3+8.55+8.55+8.3+8.55</f>
        <v>67.599999999999994</v>
      </c>
      <c r="L1691" s="8">
        <f t="shared" si="2332"/>
        <v>38.149999999999991</v>
      </c>
      <c r="M1691" s="24">
        <f t="shared" si="2288"/>
        <v>0.95854271356783927</v>
      </c>
      <c r="N1691" s="14"/>
    </row>
    <row r="1692" spans="1:14" x14ac:dyDescent="0.25">
      <c r="A1692" s="20">
        <v>44588</v>
      </c>
      <c r="B1692" s="1">
        <f t="shared" ref="B1692" si="2347">B1682</f>
        <v>141</v>
      </c>
      <c r="C1692" s="1" t="s">
        <v>457</v>
      </c>
      <c r="D1692" s="1" t="s">
        <v>181</v>
      </c>
      <c r="E1692" s="26" t="e">
        <f t="shared" ref="E1692:F1692" si="2348">+E1691</f>
        <v>#REF!</v>
      </c>
      <c r="F1692" s="26" t="e">
        <f t="shared" si="2348"/>
        <v>#REF!</v>
      </c>
      <c r="G1692" s="17">
        <v>11</v>
      </c>
      <c r="H1692" s="17" t="s">
        <v>9</v>
      </c>
      <c r="I1692" s="30" t="s">
        <v>60</v>
      </c>
      <c r="J1692" s="22">
        <v>0.6</v>
      </c>
      <c r="K1692" s="22">
        <v>0.5</v>
      </c>
      <c r="L1692" s="8">
        <f t="shared" si="2332"/>
        <v>9.9999999999999978E-2</v>
      </c>
      <c r="M1692" s="24">
        <f t="shared" si="2288"/>
        <v>2.5125628140703518E-3</v>
      </c>
      <c r="N1692" s="14"/>
    </row>
    <row r="1693" spans="1:14" ht="15.75" thickBot="1" x14ac:dyDescent="0.3">
      <c r="A1693" s="20">
        <v>44588</v>
      </c>
      <c r="B1693" s="57">
        <f t="shared" ref="B1693" si="2349">B1682</f>
        <v>141</v>
      </c>
      <c r="C1693" s="1" t="s">
        <v>457</v>
      </c>
      <c r="D1693" s="57" t="s">
        <v>181</v>
      </c>
      <c r="E1693" s="26" t="e">
        <f t="shared" ref="E1693:F1693" si="2350">+E1692</f>
        <v>#REF!</v>
      </c>
      <c r="F1693" s="26" t="e">
        <f t="shared" si="2350"/>
        <v>#REF!</v>
      </c>
      <c r="G1693" s="18">
        <f>+G1692+1</f>
        <v>12</v>
      </c>
      <c r="H1693" s="18" t="s">
        <v>10</v>
      </c>
      <c r="I1693" s="46" t="s">
        <v>10</v>
      </c>
      <c r="J1693" s="22">
        <v>0.95</v>
      </c>
      <c r="K1693" s="63">
        <v>0.55000000000000004</v>
      </c>
      <c r="L1693" s="8">
        <f t="shared" si="2332"/>
        <v>0.39999999999999991</v>
      </c>
      <c r="M1693" s="24">
        <f t="shared" si="2288"/>
        <v>1.0050251256281407E-2</v>
      </c>
      <c r="N1693" s="14"/>
    </row>
    <row r="1694" spans="1:14" x14ac:dyDescent="0.25">
      <c r="A1694" s="19">
        <v>44588</v>
      </c>
      <c r="B1694" s="15">
        <f t="shared" ref="B1694" si="2351">B1682+1</f>
        <v>142</v>
      </c>
      <c r="C1694" s="15" t="s">
        <v>458</v>
      </c>
      <c r="D1694" s="15" t="s">
        <v>263</v>
      </c>
      <c r="E1694" s="25">
        <f>8.6-1.2</f>
        <v>7.3999999999999995</v>
      </c>
      <c r="F1694" s="25">
        <f>+SUM(L1694:L1705)</f>
        <v>7.2999999999999989</v>
      </c>
      <c r="G1694" s="16">
        <v>1</v>
      </c>
      <c r="H1694" s="16" t="s">
        <v>9</v>
      </c>
      <c r="I1694" s="59" t="s">
        <v>56</v>
      </c>
      <c r="J1694" s="21">
        <f>9.55+9.9+10.1+9.15</f>
        <v>38.700000000000003</v>
      </c>
      <c r="K1694" s="21">
        <f>8.3+8.55+8.3+8.55</f>
        <v>33.700000000000003</v>
      </c>
      <c r="L1694" s="12">
        <f>+J1694-K1694</f>
        <v>5</v>
      </c>
      <c r="M1694" s="23">
        <f t="shared" si="2288"/>
        <v>0.68493150684931514</v>
      </c>
      <c r="N1694" s="13"/>
    </row>
    <row r="1695" spans="1:14" x14ac:dyDescent="0.25">
      <c r="A1695" s="20">
        <v>44588</v>
      </c>
      <c r="B1695" s="1">
        <f t="shared" ref="B1695" si="2352">B1694</f>
        <v>142</v>
      </c>
      <c r="C1695" s="1" t="s">
        <v>458</v>
      </c>
      <c r="D1695" s="1" t="s">
        <v>263</v>
      </c>
      <c r="E1695" s="26">
        <f>+E1694</f>
        <v>7.3999999999999995</v>
      </c>
      <c r="F1695" s="28">
        <f>+(F1694-E1694)/E1694</f>
        <v>-1.3513513513513587E-2</v>
      </c>
      <c r="G1695" s="17">
        <v>2</v>
      </c>
      <c r="H1695" s="17" t="s">
        <v>9</v>
      </c>
      <c r="I1695" s="30" t="s">
        <v>57</v>
      </c>
      <c r="J1695" s="22">
        <v>9.75</v>
      </c>
      <c r="K1695" s="22">
        <v>8.5500000000000007</v>
      </c>
      <c r="L1695" s="8">
        <f t="shared" ref="L1695:L1705" si="2353">+J1695-K1695</f>
        <v>1.1999999999999993</v>
      </c>
      <c r="M1695" s="24">
        <f t="shared" si="2288"/>
        <v>0.16438356164383555</v>
      </c>
      <c r="N1695" s="14"/>
    </row>
    <row r="1696" spans="1:14" x14ac:dyDescent="0.25">
      <c r="A1696" s="20">
        <v>44588</v>
      </c>
      <c r="B1696" s="1">
        <f t="shared" ref="B1696" si="2354">B1694</f>
        <v>142</v>
      </c>
      <c r="C1696" s="1" t="s">
        <v>458</v>
      </c>
      <c r="D1696" s="1" t="s">
        <v>263</v>
      </c>
      <c r="E1696" s="26" t="e">
        <f>+#REF!</f>
        <v>#REF!</v>
      </c>
      <c r="F1696" s="26" t="e">
        <f>+#REF!</f>
        <v>#REF!</v>
      </c>
      <c r="G1696" s="17">
        <v>3</v>
      </c>
      <c r="H1696" s="17" t="s">
        <v>9</v>
      </c>
      <c r="I1696" s="30" t="s">
        <v>58</v>
      </c>
      <c r="J1696" s="22">
        <v>0.6</v>
      </c>
      <c r="K1696" s="22">
        <v>0.55000000000000004</v>
      </c>
      <c r="L1696" s="8">
        <f t="shared" si="2353"/>
        <v>4.9999999999999933E-2</v>
      </c>
      <c r="M1696" s="24">
        <f t="shared" si="2288"/>
        <v>6.8493150684931425E-3</v>
      </c>
      <c r="N1696" s="14"/>
    </row>
    <row r="1697" spans="1:14" x14ac:dyDescent="0.25">
      <c r="A1697" s="20">
        <v>44588</v>
      </c>
      <c r="B1697" s="1">
        <f t="shared" ref="B1697" si="2355">B1694</f>
        <v>142</v>
      </c>
      <c r="C1697" s="1" t="s">
        <v>458</v>
      </c>
      <c r="D1697" s="1" t="s">
        <v>263</v>
      </c>
      <c r="E1697" s="26" t="e">
        <f t="shared" ref="E1697:F1697" si="2356">+E1696</f>
        <v>#REF!</v>
      </c>
      <c r="F1697" s="26" t="e">
        <f t="shared" si="2356"/>
        <v>#REF!</v>
      </c>
      <c r="G1697" s="17">
        <v>4</v>
      </c>
      <c r="H1697" s="17" t="s">
        <v>9</v>
      </c>
      <c r="I1697" s="30" t="s">
        <v>22</v>
      </c>
      <c r="J1697" s="22"/>
      <c r="K1697" s="22"/>
      <c r="L1697" s="8">
        <f t="shared" si="2353"/>
        <v>0</v>
      </c>
      <c r="M1697" s="24">
        <f t="shared" si="2288"/>
        <v>0</v>
      </c>
      <c r="N1697" s="14"/>
    </row>
    <row r="1698" spans="1:14" x14ac:dyDescent="0.25">
      <c r="A1698" s="20">
        <v>44588</v>
      </c>
      <c r="B1698" s="1">
        <f t="shared" ref="B1698" si="2357">B1694</f>
        <v>142</v>
      </c>
      <c r="C1698" s="1" t="s">
        <v>458</v>
      </c>
      <c r="D1698" s="1" t="s">
        <v>263</v>
      </c>
      <c r="E1698" s="26" t="e">
        <f t="shared" ref="E1698:F1698" si="2358">+E1697</f>
        <v>#REF!</v>
      </c>
      <c r="F1698" s="26" t="e">
        <f t="shared" si="2358"/>
        <v>#REF!</v>
      </c>
      <c r="G1698" s="17">
        <v>5</v>
      </c>
      <c r="H1698" s="17" t="s">
        <v>9</v>
      </c>
      <c r="I1698" s="30" t="s">
        <v>34</v>
      </c>
      <c r="J1698" s="22">
        <v>0.7</v>
      </c>
      <c r="K1698" s="63">
        <v>0.5</v>
      </c>
      <c r="L1698" s="8">
        <f t="shared" si="2353"/>
        <v>0.19999999999999996</v>
      </c>
      <c r="M1698" s="24">
        <f t="shared" si="2288"/>
        <v>2.7397260273972601E-2</v>
      </c>
      <c r="N1698" s="14"/>
    </row>
    <row r="1699" spans="1:14" x14ac:dyDescent="0.25">
      <c r="A1699" s="20">
        <v>44588</v>
      </c>
      <c r="B1699" s="1">
        <f t="shared" ref="B1699" si="2359">B1694</f>
        <v>142</v>
      </c>
      <c r="C1699" s="1" t="s">
        <v>458</v>
      </c>
      <c r="D1699" s="1" t="s">
        <v>263</v>
      </c>
      <c r="E1699" s="26" t="e">
        <f t="shared" ref="E1699:F1699" si="2360">+E1698</f>
        <v>#REF!</v>
      </c>
      <c r="F1699" s="26" t="e">
        <f t="shared" si="2360"/>
        <v>#REF!</v>
      </c>
      <c r="G1699" s="17">
        <v>6</v>
      </c>
      <c r="H1699" s="17" t="s">
        <v>9</v>
      </c>
      <c r="I1699" s="30" t="s">
        <v>35</v>
      </c>
      <c r="J1699" s="22"/>
      <c r="K1699" s="22"/>
      <c r="L1699" s="8">
        <f t="shared" si="2353"/>
        <v>0</v>
      </c>
      <c r="M1699" s="24">
        <f t="shared" si="2288"/>
        <v>0</v>
      </c>
      <c r="N1699" s="14"/>
    </row>
    <row r="1700" spans="1:14" x14ac:dyDescent="0.25">
      <c r="A1700" s="20">
        <v>44588</v>
      </c>
      <c r="B1700" s="1">
        <f t="shared" ref="B1700" si="2361">B1694</f>
        <v>142</v>
      </c>
      <c r="C1700" s="1" t="s">
        <v>458</v>
      </c>
      <c r="D1700" s="1" t="s">
        <v>263</v>
      </c>
      <c r="E1700" s="26" t="e">
        <f t="shared" ref="E1700:F1700" si="2362">+E1699</f>
        <v>#REF!</v>
      </c>
      <c r="F1700" s="26" t="e">
        <f t="shared" si="2362"/>
        <v>#REF!</v>
      </c>
      <c r="G1700" s="17">
        <v>7</v>
      </c>
      <c r="H1700" s="17" t="s">
        <v>9</v>
      </c>
      <c r="I1700" s="30" t="s">
        <v>36</v>
      </c>
      <c r="J1700" s="22"/>
      <c r="K1700" s="22"/>
      <c r="L1700" s="8">
        <f t="shared" si="2353"/>
        <v>0</v>
      </c>
      <c r="M1700" s="24">
        <f t="shared" si="2288"/>
        <v>0</v>
      </c>
      <c r="N1700" s="14"/>
    </row>
    <row r="1701" spans="1:14" x14ac:dyDescent="0.25">
      <c r="A1701" s="20">
        <v>44588</v>
      </c>
      <c r="B1701" s="1">
        <f t="shared" ref="B1701" si="2363">B1694</f>
        <v>142</v>
      </c>
      <c r="C1701" s="1" t="s">
        <v>458</v>
      </c>
      <c r="D1701" s="1" t="s">
        <v>263</v>
      </c>
      <c r="E1701" s="26" t="e">
        <f>+E1700</f>
        <v>#REF!</v>
      </c>
      <c r="F1701" s="26" t="e">
        <f>+F1700</f>
        <v>#REF!</v>
      </c>
      <c r="G1701" s="17">
        <v>8</v>
      </c>
      <c r="H1701" s="17" t="s">
        <v>9</v>
      </c>
      <c r="I1701" s="30" t="s">
        <v>59</v>
      </c>
      <c r="J1701" s="22"/>
      <c r="K1701" s="22"/>
      <c r="L1701" s="8">
        <f t="shared" si="2353"/>
        <v>0</v>
      </c>
      <c r="M1701" s="24">
        <f t="shared" si="2288"/>
        <v>0</v>
      </c>
      <c r="N1701" s="14"/>
    </row>
    <row r="1702" spans="1:14" x14ac:dyDescent="0.25">
      <c r="A1702" s="20">
        <v>44588</v>
      </c>
      <c r="B1702" s="1">
        <f t="shared" ref="B1702" si="2364">B1694</f>
        <v>142</v>
      </c>
      <c r="C1702" s="1" t="s">
        <v>458</v>
      </c>
      <c r="D1702" s="1" t="s">
        <v>263</v>
      </c>
      <c r="E1702" s="26" t="e">
        <f t="shared" ref="E1702:F1702" si="2365">+E1701</f>
        <v>#REF!</v>
      </c>
      <c r="F1702" s="26" t="e">
        <f t="shared" si="2365"/>
        <v>#REF!</v>
      </c>
      <c r="G1702" s="17">
        <v>9</v>
      </c>
      <c r="H1702" s="17" t="s">
        <v>9</v>
      </c>
      <c r="I1702" s="30" t="s">
        <v>38</v>
      </c>
      <c r="J1702" s="22"/>
      <c r="K1702" s="22"/>
      <c r="L1702" s="8">
        <f t="shared" si="2353"/>
        <v>0</v>
      </c>
      <c r="M1702" s="24">
        <f t="shared" si="2288"/>
        <v>0</v>
      </c>
      <c r="N1702" s="14"/>
    </row>
    <row r="1703" spans="1:14" x14ac:dyDescent="0.25">
      <c r="A1703" s="20">
        <v>44588</v>
      </c>
      <c r="B1703" s="1">
        <f t="shared" ref="B1703" si="2366">B1694</f>
        <v>142</v>
      </c>
      <c r="C1703" s="1" t="s">
        <v>458</v>
      </c>
      <c r="D1703" s="1" t="s">
        <v>263</v>
      </c>
      <c r="E1703" s="26" t="e">
        <f t="shared" ref="E1703:F1703" si="2367">+E1702</f>
        <v>#REF!</v>
      </c>
      <c r="F1703" s="26" t="e">
        <f t="shared" si="2367"/>
        <v>#REF!</v>
      </c>
      <c r="G1703" s="17">
        <v>10</v>
      </c>
      <c r="H1703" s="17" t="s">
        <v>9</v>
      </c>
      <c r="I1703" s="30" t="s">
        <v>23</v>
      </c>
      <c r="J1703" s="22">
        <f>0.65+0.9</f>
        <v>1.55</v>
      </c>
      <c r="K1703" s="22">
        <f>0.55+0.5</f>
        <v>1.05</v>
      </c>
      <c r="L1703" s="8">
        <f t="shared" si="2353"/>
        <v>0.5</v>
      </c>
      <c r="M1703" s="24">
        <f t="shared" si="2288"/>
        <v>6.8493150684931517E-2</v>
      </c>
      <c r="N1703" s="14"/>
    </row>
    <row r="1704" spans="1:14" x14ac:dyDescent="0.25">
      <c r="A1704" s="20">
        <v>44588</v>
      </c>
      <c r="B1704" s="1">
        <f t="shared" ref="B1704" si="2368">B1694</f>
        <v>142</v>
      </c>
      <c r="C1704" s="1" t="s">
        <v>458</v>
      </c>
      <c r="D1704" s="1" t="s">
        <v>263</v>
      </c>
      <c r="E1704" s="26" t="e">
        <f t="shared" ref="E1704:F1704" si="2369">+E1703</f>
        <v>#REF!</v>
      </c>
      <c r="F1704" s="26" t="e">
        <f t="shared" si="2369"/>
        <v>#REF!</v>
      </c>
      <c r="G1704" s="17">
        <v>11</v>
      </c>
      <c r="H1704" s="17" t="s">
        <v>9</v>
      </c>
      <c r="I1704" s="30" t="s">
        <v>60</v>
      </c>
      <c r="J1704" s="22"/>
      <c r="K1704" s="22"/>
      <c r="L1704" s="8">
        <f t="shared" si="2353"/>
        <v>0</v>
      </c>
      <c r="M1704" s="24">
        <f t="shared" si="2288"/>
        <v>0</v>
      </c>
      <c r="N1704" s="14"/>
    </row>
    <row r="1705" spans="1:14" ht="15.75" thickBot="1" x14ac:dyDescent="0.3">
      <c r="A1705" s="20">
        <v>44588</v>
      </c>
      <c r="B1705" s="57">
        <f t="shared" ref="B1705" si="2370">B1694</f>
        <v>142</v>
      </c>
      <c r="C1705" s="1" t="s">
        <v>458</v>
      </c>
      <c r="D1705" s="57" t="s">
        <v>263</v>
      </c>
      <c r="E1705" s="26" t="e">
        <f t="shared" ref="E1705:F1705" si="2371">+E1704</f>
        <v>#REF!</v>
      </c>
      <c r="F1705" s="26" t="e">
        <f t="shared" si="2371"/>
        <v>#REF!</v>
      </c>
      <c r="G1705" s="18">
        <f>+G1704+1</f>
        <v>12</v>
      </c>
      <c r="H1705" s="18" t="s">
        <v>10</v>
      </c>
      <c r="I1705" s="46" t="s">
        <v>10</v>
      </c>
      <c r="J1705" s="22">
        <v>0.9</v>
      </c>
      <c r="K1705" s="63">
        <v>0.55000000000000004</v>
      </c>
      <c r="L1705" s="8">
        <f t="shared" si="2353"/>
        <v>0.35</v>
      </c>
      <c r="M1705" s="24">
        <f t="shared" si="2288"/>
        <v>4.7945205479452059E-2</v>
      </c>
      <c r="N1705" s="14"/>
    </row>
    <row r="1706" spans="1:14" x14ac:dyDescent="0.25">
      <c r="A1706" s="19">
        <v>44588</v>
      </c>
      <c r="B1706" s="15">
        <f t="shared" ref="B1706" si="2372">B1694+1</f>
        <v>143</v>
      </c>
      <c r="C1706" s="15" t="s">
        <v>459</v>
      </c>
      <c r="D1706" s="15" t="s">
        <v>267</v>
      </c>
      <c r="E1706" s="25">
        <f>41.4-1.2</f>
        <v>40.199999999999996</v>
      </c>
      <c r="F1706" s="25">
        <f>+SUM(L1706:L1717)</f>
        <v>39.950000000000003</v>
      </c>
      <c r="G1706" s="16">
        <v>1</v>
      </c>
      <c r="H1706" s="16" t="s">
        <v>9</v>
      </c>
      <c r="I1706" s="59" t="s">
        <v>56</v>
      </c>
      <c r="J1706" s="21">
        <f>9.9+8.95+9.8</f>
        <v>28.650000000000002</v>
      </c>
      <c r="K1706" s="21">
        <f>8.55+8.3+8.55</f>
        <v>25.400000000000002</v>
      </c>
      <c r="L1706" s="12">
        <f>+J1706-K1706</f>
        <v>3.25</v>
      </c>
      <c r="M1706" s="23">
        <f t="shared" ref="M1706:M1769" si="2373">+L1706/SUMIF(C:C,C1706,L:L)</f>
        <v>8.1351689612015013E-2</v>
      </c>
      <c r="N1706" s="13"/>
    </row>
    <row r="1707" spans="1:14" x14ac:dyDescent="0.25">
      <c r="A1707" s="20">
        <v>44588</v>
      </c>
      <c r="B1707" s="1">
        <f t="shared" ref="B1707" si="2374">B1706</f>
        <v>143</v>
      </c>
      <c r="C1707" s="1" t="s">
        <v>459</v>
      </c>
      <c r="D1707" s="1" t="s">
        <v>267</v>
      </c>
      <c r="E1707" s="26">
        <f>+E1706</f>
        <v>40.199999999999996</v>
      </c>
      <c r="F1707" s="28">
        <f>+(F1706-E1706)/E1706</f>
        <v>-6.2189054726366402E-3</v>
      </c>
      <c r="G1707" s="17">
        <v>2</v>
      </c>
      <c r="H1707" s="17" t="s">
        <v>9</v>
      </c>
      <c r="I1707" s="30" t="s">
        <v>57</v>
      </c>
      <c r="J1707" s="22">
        <f>1.5+1.55+12.35+13.7</f>
        <v>29.099999999999998</v>
      </c>
      <c r="K1707" s="22">
        <f>0.55+0.55+8.5+8.3</f>
        <v>17.899999999999999</v>
      </c>
      <c r="L1707" s="8">
        <f t="shared" ref="L1707:L1717" si="2375">+J1707-K1707</f>
        <v>11.2</v>
      </c>
      <c r="M1707" s="24">
        <f t="shared" si="2373"/>
        <v>0.28035043804755944</v>
      </c>
      <c r="N1707" s="14"/>
    </row>
    <row r="1708" spans="1:14" x14ac:dyDescent="0.25">
      <c r="A1708" s="20">
        <v>44588</v>
      </c>
      <c r="B1708" s="1">
        <f t="shared" ref="B1708" si="2376">B1706</f>
        <v>143</v>
      </c>
      <c r="C1708" s="1" t="s">
        <v>459</v>
      </c>
      <c r="D1708" s="1" t="s">
        <v>267</v>
      </c>
      <c r="E1708" s="26" t="e">
        <f>+#REF!</f>
        <v>#REF!</v>
      </c>
      <c r="F1708" s="26" t="e">
        <f>+#REF!</f>
        <v>#REF!</v>
      </c>
      <c r="G1708" s="17">
        <v>3</v>
      </c>
      <c r="H1708" s="17" t="s">
        <v>9</v>
      </c>
      <c r="I1708" s="30" t="s">
        <v>58</v>
      </c>
      <c r="J1708" s="22">
        <v>12.35</v>
      </c>
      <c r="K1708" s="22">
        <v>8.5500000000000007</v>
      </c>
      <c r="L1708" s="8">
        <f t="shared" si="2375"/>
        <v>3.7999999999999989</v>
      </c>
      <c r="M1708" s="24">
        <f t="shared" si="2373"/>
        <v>9.5118898623279061E-2</v>
      </c>
      <c r="N1708" s="14"/>
    </row>
    <row r="1709" spans="1:14" x14ac:dyDescent="0.25">
      <c r="A1709" s="20">
        <v>44588</v>
      </c>
      <c r="B1709" s="1">
        <f t="shared" ref="B1709" si="2377">B1706</f>
        <v>143</v>
      </c>
      <c r="C1709" s="1" t="s">
        <v>459</v>
      </c>
      <c r="D1709" s="1" t="s">
        <v>267</v>
      </c>
      <c r="E1709" s="26" t="e">
        <f t="shared" ref="E1709:F1709" si="2378">+E1708</f>
        <v>#REF!</v>
      </c>
      <c r="F1709" s="26" t="e">
        <f t="shared" si="2378"/>
        <v>#REF!</v>
      </c>
      <c r="G1709" s="17">
        <v>4</v>
      </c>
      <c r="H1709" s="17" t="s">
        <v>9</v>
      </c>
      <c r="I1709" s="30" t="s">
        <v>22</v>
      </c>
      <c r="J1709" s="22">
        <v>1.1499999999999999</v>
      </c>
      <c r="K1709" s="22">
        <v>0.55000000000000004</v>
      </c>
      <c r="L1709" s="8">
        <f t="shared" si="2375"/>
        <v>0.59999999999999987</v>
      </c>
      <c r="M1709" s="24">
        <f t="shared" si="2373"/>
        <v>1.5018773466833538E-2</v>
      </c>
      <c r="N1709" s="14"/>
    </row>
    <row r="1710" spans="1:14" x14ac:dyDescent="0.25">
      <c r="A1710" s="20">
        <v>44588</v>
      </c>
      <c r="B1710" s="1">
        <f t="shared" ref="B1710" si="2379">B1706</f>
        <v>143</v>
      </c>
      <c r="C1710" s="1" t="s">
        <v>459</v>
      </c>
      <c r="D1710" s="1" t="s">
        <v>267</v>
      </c>
      <c r="E1710" s="26" t="e">
        <f t="shared" ref="E1710:F1710" si="2380">+E1709</f>
        <v>#REF!</v>
      </c>
      <c r="F1710" s="26" t="e">
        <f t="shared" si="2380"/>
        <v>#REF!</v>
      </c>
      <c r="G1710" s="17">
        <v>5</v>
      </c>
      <c r="H1710" s="17" t="s">
        <v>9</v>
      </c>
      <c r="I1710" s="30" t="s">
        <v>34</v>
      </c>
      <c r="J1710" s="22">
        <f>3.2+2.3+1.4</f>
        <v>6.9</v>
      </c>
      <c r="K1710" s="63">
        <f>0.55+0.55+0.55</f>
        <v>1.6500000000000001</v>
      </c>
      <c r="L1710" s="8">
        <f t="shared" si="2375"/>
        <v>5.25</v>
      </c>
      <c r="M1710" s="24">
        <f t="shared" si="2373"/>
        <v>0.13141426783479349</v>
      </c>
      <c r="N1710" s="14"/>
    </row>
    <row r="1711" spans="1:14" x14ac:dyDescent="0.25">
      <c r="A1711" s="20">
        <v>44588</v>
      </c>
      <c r="B1711" s="1">
        <f t="shared" ref="B1711" si="2381">B1706</f>
        <v>143</v>
      </c>
      <c r="C1711" s="1" t="s">
        <v>459</v>
      </c>
      <c r="D1711" s="1" t="s">
        <v>267</v>
      </c>
      <c r="E1711" s="26" t="e">
        <f t="shared" ref="E1711:F1711" si="2382">+E1710</f>
        <v>#REF!</v>
      </c>
      <c r="F1711" s="26" t="e">
        <f t="shared" si="2382"/>
        <v>#REF!</v>
      </c>
      <c r="G1711" s="17">
        <v>6</v>
      </c>
      <c r="H1711" s="17" t="s">
        <v>9</v>
      </c>
      <c r="I1711" s="30" t="s">
        <v>35</v>
      </c>
      <c r="J1711" s="22"/>
      <c r="K1711" s="22"/>
      <c r="L1711" s="8">
        <f t="shared" si="2375"/>
        <v>0</v>
      </c>
      <c r="M1711" s="24">
        <f t="shared" si="2373"/>
        <v>0</v>
      </c>
      <c r="N1711" s="14"/>
    </row>
    <row r="1712" spans="1:14" x14ac:dyDescent="0.25">
      <c r="A1712" s="20">
        <v>44588</v>
      </c>
      <c r="B1712" s="1">
        <f t="shared" ref="B1712" si="2383">B1706</f>
        <v>143</v>
      </c>
      <c r="C1712" s="1" t="s">
        <v>459</v>
      </c>
      <c r="D1712" s="1" t="s">
        <v>267</v>
      </c>
      <c r="E1712" s="26" t="e">
        <f t="shared" ref="E1712:F1712" si="2384">+E1711</f>
        <v>#REF!</v>
      </c>
      <c r="F1712" s="26" t="e">
        <f t="shared" si="2384"/>
        <v>#REF!</v>
      </c>
      <c r="G1712" s="17">
        <v>7</v>
      </c>
      <c r="H1712" s="17" t="s">
        <v>9</v>
      </c>
      <c r="I1712" s="30" t="s">
        <v>36</v>
      </c>
      <c r="J1712" s="22"/>
      <c r="K1712" s="22"/>
      <c r="L1712" s="8">
        <f t="shared" si="2375"/>
        <v>0</v>
      </c>
      <c r="M1712" s="24">
        <f t="shared" si="2373"/>
        <v>0</v>
      </c>
      <c r="N1712" s="14"/>
    </row>
    <row r="1713" spans="1:14" x14ac:dyDescent="0.25">
      <c r="A1713" s="20">
        <v>44588</v>
      </c>
      <c r="B1713" s="1">
        <f t="shared" ref="B1713" si="2385">B1706</f>
        <v>143</v>
      </c>
      <c r="C1713" s="1" t="s">
        <v>459</v>
      </c>
      <c r="D1713" s="1" t="s">
        <v>267</v>
      </c>
      <c r="E1713" s="26" t="e">
        <f>+E1712</f>
        <v>#REF!</v>
      </c>
      <c r="F1713" s="26" t="e">
        <f>+F1712</f>
        <v>#REF!</v>
      </c>
      <c r="G1713" s="17">
        <v>8</v>
      </c>
      <c r="H1713" s="17" t="s">
        <v>9</v>
      </c>
      <c r="I1713" s="30" t="s">
        <v>59</v>
      </c>
      <c r="J1713" s="22">
        <f>1.35+1.65</f>
        <v>3</v>
      </c>
      <c r="K1713" s="22">
        <f>0.55+0.5</f>
        <v>1.05</v>
      </c>
      <c r="L1713" s="8">
        <f t="shared" si="2375"/>
        <v>1.95</v>
      </c>
      <c r="M1713" s="24">
        <f t="shared" si="2373"/>
        <v>4.8811013767209005E-2</v>
      </c>
      <c r="N1713" s="14"/>
    </row>
    <row r="1714" spans="1:14" x14ac:dyDescent="0.25">
      <c r="A1714" s="20">
        <v>44588</v>
      </c>
      <c r="B1714" s="1">
        <f t="shared" ref="B1714" si="2386">B1706</f>
        <v>143</v>
      </c>
      <c r="C1714" s="1" t="s">
        <v>459</v>
      </c>
      <c r="D1714" s="1" t="s">
        <v>267</v>
      </c>
      <c r="E1714" s="26" t="e">
        <f t="shared" ref="E1714:F1714" si="2387">+E1713</f>
        <v>#REF!</v>
      </c>
      <c r="F1714" s="26" t="e">
        <f t="shared" si="2387"/>
        <v>#REF!</v>
      </c>
      <c r="G1714" s="17">
        <v>9</v>
      </c>
      <c r="H1714" s="17" t="s">
        <v>9</v>
      </c>
      <c r="I1714" s="30" t="s">
        <v>38</v>
      </c>
      <c r="J1714" s="22"/>
      <c r="K1714" s="22"/>
      <c r="L1714" s="8">
        <f t="shared" si="2375"/>
        <v>0</v>
      </c>
      <c r="M1714" s="24">
        <f t="shared" si="2373"/>
        <v>0</v>
      </c>
      <c r="N1714" s="14"/>
    </row>
    <row r="1715" spans="1:14" x14ac:dyDescent="0.25">
      <c r="A1715" s="20">
        <v>44588</v>
      </c>
      <c r="B1715" s="1">
        <f t="shared" ref="B1715" si="2388">B1706</f>
        <v>143</v>
      </c>
      <c r="C1715" s="1" t="s">
        <v>459</v>
      </c>
      <c r="D1715" s="1" t="s">
        <v>267</v>
      </c>
      <c r="E1715" s="26" t="e">
        <f t="shared" ref="E1715:F1715" si="2389">+E1714</f>
        <v>#REF!</v>
      </c>
      <c r="F1715" s="26" t="e">
        <f t="shared" si="2389"/>
        <v>#REF!</v>
      </c>
      <c r="G1715" s="17">
        <v>10</v>
      </c>
      <c r="H1715" s="17" t="s">
        <v>9</v>
      </c>
      <c r="I1715" s="30" t="s">
        <v>23</v>
      </c>
      <c r="J1715" s="22">
        <f>14.05+10.9</f>
        <v>24.950000000000003</v>
      </c>
      <c r="K1715" s="22">
        <f>8.55+8.55</f>
        <v>17.100000000000001</v>
      </c>
      <c r="L1715" s="8">
        <f t="shared" si="2375"/>
        <v>7.8500000000000014</v>
      </c>
      <c r="M1715" s="24">
        <f t="shared" si="2373"/>
        <v>0.19649561952440553</v>
      </c>
      <c r="N1715" s="14"/>
    </row>
    <row r="1716" spans="1:14" x14ac:dyDescent="0.25">
      <c r="A1716" s="20">
        <v>44588</v>
      </c>
      <c r="B1716" s="1">
        <f t="shared" ref="B1716" si="2390">B1706</f>
        <v>143</v>
      </c>
      <c r="C1716" s="1" t="s">
        <v>459</v>
      </c>
      <c r="D1716" s="1" t="s">
        <v>267</v>
      </c>
      <c r="E1716" s="26" t="e">
        <f t="shared" ref="E1716:F1716" si="2391">+E1715</f>
        <v>#REF!</v>
      </c>
      <c r="F1716" s="26" t="e">
        <f t="shared" si="2391"/>
        <v>#REF!</v>
      </c>
      <c r="G1716" s="17">
        <v>11</v>
      </c>
      <c r="H1716" s="17" t="s">
        <v>9</v>
      </c>
      <c r="I1716" s="30" t="s">
        <v>60</v>
      </c>
      <c r="J1716" s="22">
        <v>0.7</v>
      </c>
      <c r="K1716" s="22">
        <v>0.55000000000000004</v>
      </c>
      <c r="L1716" s="8">
        <f t="shared" si="2375"/>
        <v>0.14999999999999991</v>
      </c>
      <c r="M1716" s="24">
        <f t="shared" si="2373"/>
        <v>3.7546933667083832E-3</v>
      </c>
      <c r="N1716" s="14"/>
    </row>
    <row r="1717" spans="1:14" ht="15.75" thickBot="1" x14ac:dyDescent="0.3">
      <c r="A1717" s="20">
        <v>44588</v>
      </c>
      <c r="B1717" s="57">
        <f t="shared" ref="B1717" si="2392">B1706</f>
        <v>143</v>
      </c>
      <c r="C1717" s="1" t="s">
        <v>459</v>
      </c>
      <c r="D1717" s="57" t="s">
        <v>267</v>
      </c>
      <c r="E1717" s="26" t="e">
        <f t="shared" ref="E1717:F1717" si="2393">+E1716</f>
        <v>#REF!</v>
      </c>
      <c r="F1717" s="26" t="e">
        <f t="shared" si="2393"/>
        <v>#REF!</v>
      </c>
      <c r="G1717" s="18">
        <f>+G1716+1</f>
        <v>12</v>
      </c>
      <c r="H1717" s="18" t="s">
        <v>10</v>
      </c>
      <c r="I1717" s="46" t="s">
        <v>10</v>
      </c>
      <c r="J1717" s="22">
        <v>14.45</v>
      </c>
      <c r="K1717" s="63">
        <v>8.5500000000000007</v>
      </c>
      <c r="L1717" s="8">
        <f t="shared" si="2375"/>
        <v>5.8999999999999986</v>
      </c>
      <c r="M1717" s="24">
        <f t="shared" si="2373"/>
        <v>0.14768460575719644</v>
      </c>
      <c r="N1717" s="14"/>
    </row>
    <row r="1718" spans="1:14" x14ac:dyDescent="0.25">
      <c r="A1718" s="19">
        <v>44588</v>
      </c>
      <c r="B1718" s="15">
        <f t="shared" ref="B1718" si="2394">B1706+1</f>
        <v>144</v>
      </c>
      <c r="C1718" s="15" t="s">
        <v>460</v>
      </c>
      <c r="D1718" s="15" t="s">
        <v>261</v>
      </c>
      <c r="E1718" s="25">
        <f>20.3-1.2</f>
        <v>19.100000000000001</v>
      </c>
      <c r="F1718" s="25">
        <f>+SUM(L1718:L1729)</f>
        <v>19.100000000000001</v>
      </c>
      <c r="G1718" s="16">
        <v>1</v>
      </c>
      <c r="H1718" s="16" t="s">
        <v>9</v>
      </c>
      <c r="I1718" s="59" t="s">
        <v>56</v>
      </c>
      <c r="J1718" s="21">
        <v>0.8</v>
      </c>
      <c r="K1718" s="21">
        <v>0.55000000000000004</v>
      </c>
      <c r="L1718" s="12">
        <f>+J1718-K1718</f>
        <v>0.25</v>
      </c>
      <c r="M1718" s="23">
        <f t="shared" si="2373"/>
        <v>1.3089005235602092E-2</v>
      </c>
      <c r="N1718" s="13"/>
    </row>
    <row r="1719" spans="1:14" x14ac:dyDescent="0.25">
      <c r="A1719" s="20">
        <v>44588</v>
      </c>
      <c r="B1719" s="1">
        <f t="shared" ref="B1719" si="2395">B1718</f>
        <v>144</v>
      </c>
      <c r="C1719" s="1" t="s">
        <v>460</v>
      </c>
      <c r="D1719" s="1" t="s">
        <v>261</v>
      </c>
      <c r="E1719" s="26">
        <f>+E1718</f>
        <v>19.100000000000001</v>
      </c>
      <c r="F1719" s="28">
        <f>+(F1718-E1718)/E1718</f>
        <v>0</v>
      </c>
      <c r="G1719" s="17">
        <v>2</v>
      </c>
      <c r="H1719" s="17" t="s">
        <v>9</v>
      </c>
      <c r="I1719" s="30" t="s">
        <v>57</v>
      </c>
      <c r="J1719" s="22">
        <f>9.8</f>
        <v>9.8000000000000007</v>
      </c>
      <c r="K1719" s="22">
        <f>8.55</f>
        <v>8.5500000000000007</v>
      </c>
      <c r="L1719" s="8">
        <f t="shared" ref="L1719:L1729" si="2396">+J1719-K1719</f>
        <v>1.25</v>
      </c>
      <c r="M1719" s="24">
        <f t="shared" si="2373"/>
        <v>6.5445026178010471E-2</v>
      </c>
      <c r="N1719" s="14"/>
    </row>
    <row r="1720" spans="1:14" x14ac:dyDescent="0.25">
      <c r="A1720" s="20">
        <v>44588</v>
      </c>
      <c r="B1720" s="1">
        <f t="shared" ref="B1720" si="2397">B1718</f>
        <v>144</v>
      </c>
      <c r="C1720" s="1" t="s">
        <v>460</v>
      </c>
      <c r="D1720" s="1" t="s">
        <v>261</v>
      </c>
      <c r="E1720" s="26" t="e">
        <f>+#REF!</f>
        <v>#REF!</v>
      </c>
      <c r="F1720" s="26" t="e">
        <f>+#REF!</f>
        <v>#REF!</v>
      </c>
      <c r="G1720" s="17">
        <v>3</v>
      </c>
      <c r="H1720" s="17" t="s">
        <v>9</v>
      </c>
      <c r="I1720" s="30" t="s">
        <v>58</v>
      </c>
      <c r="J1720" s="22">
        <f>11.25+9.85</f>
        <v>21.1</v>
      </c>
      <c r="K1720" s="22">
        <f>8.55+8.55</f>
        <v>17.100000000000001</v>
      </c>
      <c r="L1720" s="8">
        <f t="shared" si="2396"/>
        <v>4</v>
      </c>
      <c r="M1720" s="24">
        <f t="shared" si="2373"/>
        <v>0.20942408376963348</v>
      </c>
      <c r="N1720" s="14"/>
    </row>
    <row r="1721" spans="1:14" x14ac:dyDescent="0.25">
      <c r="A1721" s="20">
        <v>44588</v>
      </c>
      <c r="B1721" s="1">
        <f t="shared" ref="B1721" si="2398">B1718</f>
        <v>144</v>
      </c>
      <c r="C1721" s="1" t="s">
        <v>460</v>
      </c>
      <c r="D1721" s="1" t="s">
        <v>261</v>
      </c>
      <c r="E1721" s="26" t="e">
        <f t="shared" ref="E1721:F1721" si="2399">+E1720</f>
        <v>#REF!</v>
      </c>
      <c r="F1721" s="26" t="e">
        <f t="shared" si="2399"/>
        <v>#REF!</v>
      </c>
      <c r="G1721" s="17">
        <v>4</v>
      </c>
      <c r="H1721" s="17" t="s">
        <v>9</v>
      </c>
      <c r="I1721" s="30" t="s">
        <v>22</v>
      </c>
      <c r="J1721" s="22">
        <f>10.85</f>
        <v>10.85</v>
      </c>
      <c r="K1721" s="22">
        <f>8.55</f>
        <v>8.5500000000000007</v>
      </c>
      <c r="L1721" s="8">
        <f t="shared" si="2396"/>
        <v>2.2999999999999989</v>
      </c>
      <c r="M1721" s="24">
        <f t="shared" si="2373"/>
        <v>0.1204188481675392</v>
      </c>
      <c r="N1721" s="14"/>
    </row>
    <row r="1722" spans="1:14" x14ac:dyDescent="0.25">
      <c r="A1722" s="20">
        <v>44588</v>
      </c>
      <c r="B1722" s="1">
        <f t="shared" ref="B1722" si="2400">B1718</f>
        <v>144</v>
      </c>
      <c r="C1722" s="1" t="s">
        <v>460</v>
      </c>
      <c r="D1722" s="1" t="s">
        <v>261</v>
      </c>
      <c r="E1722" s="26" t="e">
        <f t="shared" ref="E1722:F1722" si="2401">+E1721</f>
        <v>#REF!</v>
      </c>
      <c r="F1722" s="26" t="e">
        <f t="shared" si="2401"/>
        <v>#REF!</v>
      </c>
      <c r="G1722" s="17">
        <v>5</v>
      </c>
      <c r="H1722" s="17" t="s">
        <v>9</v>
      </c>
      <c r="I1722" s="30" t="s">
        <v>34</v>
      </c>
      <c r="J1722" s="22">
        <f>0.85</f>
        <v>0.85</v>
      </c>
      <c r="K1722" s="63">
        <v>0.55000000000000004</v>
      </c>
      <c r="L1722" s="8">
        <f t="shared" si="2396"/>
        <v>0.29999999999999993</v>
      </c>
      <c r="M1722" s="24">
        <f t="shared" si="2373"/>
        <v>1.5706806282722509E-2</v>
      </c>
      <c r="N1722" s="14"/>
    </row>
    <row r="1723" spans="1:14" x14ac:dyDescent="0.25">
      <c r="A1723" s="20">
        <v>44588</v>
      </c>
      <c r="B1723" s="1">
        <f t="shared" ref="B1723" si="2402">B1718</f>
        <v>144</v>
      </c>
      <c r="C1723" s="1" t="s">
        <v>460</v>
      </c>
      <c r="D1723" s="1" t="s">
        <v>261</v>
      </c>
      <c r="E1723" s="26" t="e">
        <f t="shared" ref="E1723:F1723" si="2403">+E1722</f>
        <v>#REF!</v>
      </c>
      <c r="F1723" s="26" t="e">
        <f t="shared" si="2403"/>
        <v>#REF!</v>
      </c>
      <c r="G1723" s="17">
        <v>6</v>
      </c>
      <c r="H1723" s="17" t="s">
        <v>9</v>
      </c>
      <c r="I1723" s="30" t="s">
        <v>35</v>
      </c>
      <c r="J1723" s="22"/>
      <c r="K1723" s="22"/>
      <c r="L1723" s="8">
        <f t="shared" si="2396"/>
        <v>0</v>
      </c>
      <c r="M1723" s="24">
        <f t="shared" si="2373"/>
        <v>0</v>
      </c>
      <c r="N1723" s="14"/>
    </row>
    <row r="1724" spans="1:14" x14ac:dyDescent="0.25">
      <c r="A1724" s="20">
        <v>44588</v>
      </c>
      <c r="B1724" s="1">
        <f t="shared" ref="B1724" si="2404">B1718</f>
        <v>144</v>
      </c>
      <c r="C1724" s="1" t="s">
        <v>460</v>
      </c>
      <c r="D1724" s="1" t="s">
        <v>261</v>
      </c>
      <c r="E1724" s="26" t="e">
        <f t="shared" ref="E1724:F1724" si="2405">+E1723</f>
        <v>#REF!</v>
      </c>
      <c r="F1724" s="26" t="e">
        <f t="shared" si="2405"/>
        <v>#REF!</v>
      </c>
      <c r="G1724" s="17">
        <v>7</v>
      </c>
      <c r="H1724" s="17" t="s">
        <v>9</v>
      </c>
      <c r="I1724" s="30" t="s">
        <v>36</v>
      </c>
      <c r="J1724" s="22"/>
      <c r="K1724" s="22"/>
      <c r="L1724" s="8">
        <f t="shared" si="2396"/>
        <v>0</v>
      </c>
      <c r="M1724" s="24">
        <f t="shared" si="2373"/>
        <v>0</v>
      </c>
      <c r="N1724" s="14"/>
    </row>
    <row r="1725" spans="1:14" x14ac:dyDescent="0.25">
      <c r="A1725" s="20">
        <v>44588</v>
      </c>
      <c r="B1725" s="1">
        <f t="shared" ref="B1725" si="2406">B1718</f>
        <v>144</v>
      </c>
      <c r="C1725" s="1" t="s">
        <v>460</v>
      </c>
      <c r="D1725" s="1" t="s">
        <v>261</v>
      </c>
      <c r="E1725" s="26" t="e">
        <f>+E1724</f>
        <v>#REF!</v>
      </c>
      <c r="F1725" s="26" t="e">
        <f>+F1724</f>
        <v>#REF!</v>
      </c>
      <c r="G1725" s="17">
        <v>8</v>
      </c>
      <c r="H1725" s="17" t="s">
        <v>9</v>
      </c>
      <c r="I1725" s="30" t="s">
        <v>59</v>
      </c>
      <c r="J1725" s="22">
        <f>0.65</f>
        <v>0.65</v>
      </c>
      <c r="K1725" s="22">
        <v>0.55000000000000004</v>
      </c>
      <c r="L1725" s="8">
        <f t="shared" si="2396"/>
        <v>9.9999999999999978E-2</v>
      </c>
      <c r="M1725" s="24">
        <f t="shared" si="2373"/>
        <v>5.2356020942408363E-3</v>
      </c>
      <c r="N1725" s="14"/>
    </row>
    <row r="1726" spans="1:14" x14ac:dyDescent="0.25">
      <c r="A1726" s="20">
        <v>44588</v>
      </c>
      <c r="B1726" s="1">
        <f t="shared" ref="B1726" si="2407">B1718</f>
        <v>144</v>
      </c>
      <c r="C1726" s="1" t="s">
        <v>460</v>
      </c>
      <c r="D1726" s="1" t="s">
        <v>261</v>
      </c>
      <c r="E1726" s="26" t="e">
        <f t="shared" ref="E1726:F1726" si="2408">+E1725</f>
        <v>#REF!</v>
      </c>
      <c r="F1726" s="26" t="e">
        <f t="shared" si="2408"/>
        <v>#REF!</v>
      </c>
      <c r="G1726" s="17">
        <v>9</v>
      </c>
      <c r="H1726" s="17" t="s">
        <v>9</v>
      </c>
      <c r="I1726" s="30" t="s">
        <v>38</v>
      </c>
      <c r="J1726" s="22"/>
      <c r="K1726" s="22"/>
      <c r="L1726" s="8">
        <f t="shared" si="2396"/>
        <v>0</v>
      </c>
      <c r="M1726" s="24">
        <f t="shared" si="2373"/>
        <v>0</v>
      </c>
      <c r="N1726" s="14"/>
    </row>
    <row r="1727" spans="1:14" x14ac:dyDescent="0.25">
      <c r="A1727" s="20">
        <v>44588</v>
      </c>
      <c r="B1727" s="1">
        <f t="shared" ref="B1727" si="2409">B1718</f>
        <v>144</v>
      </c>
      <c r="C1727" s="1" t="s">
        <v>460</v>
      </c>
      <c r="D1727" s="1" t="s">
        <v>261</v>
      </c>
      <c r="E1727" s="26" t="e">
        <f t="shared" ref="E1727:F1727" si="2410">+E1726</f>
        <v>#REF!</v>
      </c>
      <c r="F1727" s="26" t="e">
        <f t="shared" si="2410"/>
        <v>#REF!</v>
      </c>
      <c r="G1727" s="17">
        <v>10</v>
      </c>
      <c r="H1727" s="17" t="s">
        <v>9</v>
      </c>
      <c r="I1727" s="30" t="s">
        <v>23</v>
      </c>
      <c r="J1727" s="22">
        <f>9.9</f>
        <v>9.9</v>
      </c>
      <c r="K1727" s="22">
        <f>8.5</f>
        <v>8.5</v>
      </c>
      <c r="L1727" s="8">
        <f t="shared" si="2396"/>
        <v>1.4000000000000004</v>
      </c>
      <c r="M1727" s="24">
        <f t="shared" si="2373"/>
        <v>7.3298429319371736E-2</v>
      </c>
      <c r="N1727" s="14"/>
    </row>
    <row r="1728" spans="1:14" x14ac:dyDescent="0.25">
      <c r="A1728" s="20">
        <v>44588</v>
      </c>
      <c r="B1728" s="1">
        <f t="shared" ref="B1728" si="2411">B1718</f>
        <v>144</v>
      </c>
      <c r="C1728" s="1" t="s">
        <v>460</v>
      </c>
      <c r="D1728" s="1" t="s">
        <v>261</v>
      </c>
      <c r="E1728" s="26" t="e">
        <f t="shared" ref="E1728:F1728" si="2412">+E1727</f>
        <v>#REF!</v>
      </c>
      <c r="F1728" s="26" t="e">
        <f t="shared" si="2412"/>
        <v>#REF!</v>
      </c>
      <c r="G1728" s="17">
        <v>11</v>
      </c>
      <c r="H1728" s="17" t="s">
        <v>9</v>
      </c>
      <c r="I1728" s="30" t="s">
        <v>60</v>
      </c>
      <c r="J1728" s="22">
        <v>9.0500000000000007</v>
      </c>
      <c r="K1728" s="22">
        <v>8.5500000000000007</v>
      </c>
      <c r="L1728" s="8">
        <f t="shared" si="2396"/>
        <v>0.5</v>
      </c>
      <c r="M1728" s="24">
        <f t="shared" si="2373"/>
        <v>2.6178010471204185E-2</v>
      </c>
      <c r="N1728" s="14"/>
    </row>
    <row r="1729" spans="1:14" ht="15.75" thickBot="1" x14ac:dyDescent="0.3">
      <c r="A1729" s="20">
        <v>44588</v>
      </c>
      <c r="B1729" s="57">
        <f t="shared" ref="B1729" si="2413">B1718</f>
        <v>144</v>
      </c>
      <c r="C1729" s="1" t="s">
        <v>460</v>
      </c>
      <c r="D1729" s="57" t="s">
        <v>261</v>
      </c>
      <c r="E1729" s="26" t="e">
        <f t="shared" ref="E1729:F1729" si="2414">+E1728</f>
        <v>#REF!</v>
      </c>
      <c r="F1729" s="26" t="e">
        <f t="shared" si="2414"/>
        <v>#REF!</v>
      </c>
      <c r="G1729" s="18">
        <f>+G1728+1</f>
        <v>12</v>
      </c>
      <c r="H1729" s="18" t="s">
        <v>10</v>
      </c>
      <c r="I1729" s="46" t="s">
        <v>10</v>
      </c>
      <c r="J1729" s="22">
        <f>9.2+8.9</f>
        <v>18.100000000000001</v>
      </c>
      <c r="K1729" s="63">
        <f>0.55+8.55</f>
        <v>9.1000000000000014</v>
      </c>
      <c r="L1729" s="8">
        <f t="shared" si="2396"/>
        <v>9</v>
      </c>
      <c r="M1729" s="24">
        <f t="shared" si="2373"/>
        <v>0.47120418848167533</v>
      </c>
      <c r="N1729" s="14"/>
    </row>
    <row r="1730" spans="1:14" x14ac:dyDescent="0.25">
      <c r="A1730" s="19">
        <v>44588</v>
      </c>
      <c r="B1730" s="15">
        <f t="shared" ref="B1730" si="2415">B1718+1</f>
        <v>145</v>
      </c>
      <c r="C1730" s="15" t="s">
        <v>461</v>
      </c>
      <c r="D1730" s="15" t="s">
        <v>293</v>
      </c>
      <c r="E1730" s="25">
        <f>15-1.2</f>
        <v>13.8</v>
      </c>
      <c r="F1730" s="25">
        <f>+SUM(L1730:L1741)</f>
        <v>13.149999999999999</v>
      </c>
      <c r="G1730" s="16">
        <v>1</v>
      </c>
      <c r="H1730" s="16" t="s">
        <v>9</v>
      </c>
      <c r="I1730" s="59" t="s">
        <v>56</v>
      </c>
      <c r="J1730" s="21">
        <v>1.25</v>
      </c>
      <c r="K1730" s="21">
        <v>0.55000000000000004</v>
      </c>
      <c r="L1730" s="12">
        <f>+J1730-K1730</f>
        <v>0.7</v>
      </c>
      <c r="M1730" s="23">
        <f t="shared" si="2373"/>
        <v>3.3492822966507178E-2</v>
      </c>
      <c r="N1730" s="13"/>
    </row>
    <row r="1731" spans="1:14" x14ac:dyDescent="0.25">
      <c r="A1731" s="20">
        <v>44588</v>
      </c>
      <c r="B1731" s="1">
        <f t="shared" ref="B1731" si="2416">B1730</f>
        <v>145</v>
      </c>
      <c r="C1731" s="1" t="s">
        <v>461</v>
      </c>
      <c r="D1731" s="1" t="s">
        <v>293</v>
      </c>
      <c r="E1731" s="26">
        <f>+E1730</f>
        <v>13.8</v>
      </c>
      <c r="F1731" s="28">
        <f>+(F1730-E1730)/E1730</f>
        <v>-4.7101449275362473E-2</v>
      </c>
      <c r="G1731" s="17">
        <v>2</v>
      </c>
      <c r="H1731" s="17" t="s">
        <v>9</v>
      </c>
      <c r="I1731" s="30" t="s">
        <v>57</v>
      </c>
      <c r="J1731" s="22">
        <v>2.2000000000000002</v>
      </c>
      <c r="K1731" s="22">
        <f>0.55*2</f>
        <v>1.1000000000000001</v>
      </c>
      <c r="L1731" s="8">
        <f t="shared" ref="L1731:L1741" si="2417">+J1731-K1731</f>
        <v>1.1000000000000001</v>
      </c>
      <c r="M1731" s="24">
        <f t="shared" si="2373"/>
        <v>5.2631578947368432E-2</v>
      </c>
      <c r="N1731" s="14"/>
    </row>
    <row r="1732" spans="1:14" x14ac:dyDescent="0.25">
      <c r="A1732" s="20">
        <v>44588</v>
      </c>
      <c r="B1732" s="1">
        <f t="shared" ref="B1732" si="2418">B1730</f>
        <v>145</v>
      </c>
      <c r="C1732" s="1" t="s">
        <v>461</v>
      </c>
      <c r="D1732" s="1" t="s">
        <v>293</v>
      </c>
      <c r="E1732" s="26" t="e">
        <f>+#REF!</f>
        <v>#REF!</v>
      </c>
      <c r="F1732" s="26" t="e">
        <f>+#REF!</f>
        <v>#REF!</v>
      </c>
      <c r="G1732" s="17">
        <v>3</v>
      </c>
      <c r="H1732" s="17" t="s">
        <v>9</v>
      </c>
      <c r="I1732" s="30" t="s">
        <v>58</v>
      </c>
      <c r="J1732" s="22">
        <v>12.55</v>
      </c>
      <c r="K1732" s="22">
        <v>8.5500000000000007</v>
      </c>
      <c r="L1732" s="8">
        <f t="shared" si="2417"/>
        <v>4</v>
      </c>
      <c r="M1732" s="24">
        <f t="shared" si="2373"/>
        <v>0.19138755980861244</v>
      </c>
      <c r="N1732" s="14"/>
    </row>
    <row r="1733" spans="1:14" x14ac:dyDescent="0.25">
      <c r="A1733" s="20">
        <v>44588</v>
      </c>
      <c r="B1733" s="1">
        <f t="shared" ref="B1733" si="2419">B1730</f>
        <v>145</v>
      </c>
      <c r="C1733" s="1" t="s">
        <v>461</v>
      </c>
      <c r="D1733" s="1" t="s">
        <v>293</v>
      </c>
      <c r="E1733" s="26" t="e">
        <f t="shared" ref="E1733:F1733" si="2420">+E1732</f>
        <v>#REF!</v>
      </c>
      <c r="F1733" s="26" t="e">
        <f t="shared" si="2420"/>
        <v>#REF!</v>
      </c>
      <c r="G1733" s="17">
        <v>4</v>
      </c>
      <c r="H1733" s="17" t="s">
        <v>9</v>
      </c>
      <c r="I1733" s="30" t="s">
        <v>22</v>
      </c>
      <c r="J1733" s="22">
        <v>2.0499999999999998</v>
      </c>
      <c r="K1733" s="22">
        <v>0.5</v>
      </c>
      <c r="L1733" s="8">
        <f t="shared" si="2417"/>
        <v>1.5499999999999998</v>
      </c>
      <c r="M1733" s="24">
        <f t="shared" si="2373"/>
        <v>7.4162679425837319E-2</v>
      </c>
      <c r="N1733" s="14"/>
    </row>
    <row r="1734" spans="1:14" x14ac:dyDescent="0.25">
      <c r="A1734" s="20">
        <v>44588</v>
      </c>
      <c r="B1734" s="1">
        <f t="shared" ref="B1734" si="2421">B1730</f>
        <v>145</v>
      </c>
      <c r="C1734" s="1" t="s">
        <v>461</v>
      </c>
      <c r="D1734" s="1" t="s">
        <v>293</v>
      </c>
      <c r="E1734" s="26" t="e">
        <f t="shared" ref="E1734:F1734" si="2422">+E1733</f>
        <v>#REF!</v>
      </c>
      <c r="F1734" s="26" t="e">
        <f t="shared" si="2422"/>
        <v>#REF!</v>
      </c>
      <c r="G1734" s="17">
        <v>5</v>
      </c>
      <c r="H1734" s="17" t="s">
        <v>9</v>
      </c>
      <c r="I1734" s="30" t="s">
        <v>34</v>
      </c>
      <c r="J1734" s="22">
        <v>0.7</v>
      </c>
      <c r="K1734" s="63">
        <v>0.55000000000000004</v>
      </c>
      <c r="L1734" s="8">
        <f t="shared" si="2417"/>
        <v>0.14999999999999991</v>
      </c>
      <c r="M1734" s="24">
        <f t="shared" si="2373"/>
        <v>7.1770334928229623E-3</v>
      </c>
      <c r="N1734" s="14"/>
    </row>
    <row r="1735" spans="1:14" x14ac:dyDescent="0.25">
      <c r="A1735" s="20">
        <v>44588</v>
      </c>
      <c r="B1735" s="1">
        <f t="shared" ref="B1735" si="2423">B1730</f>
        <v>145</v>
      </c>
      <c r="C1735" s="1" t="s">
        <v>461</v>
      </c>
      <c r="D1735" s="1" t="s">
        <v>293</v>
      </c>
      <c r="E1735" s="26" t="e">
        <f t="shared" ref="E1735:F1735" si="2424">+E1734</f>
        <v>#REF!</v>
      </c>
      <c r="F1735" s="26" t="e">
        <f t="shared" si="2424"/>
        <v>#REF!</v>
      </c>
      <c r="G1735" s="17">
        <v>6</v>
      </c>
      <c r="H1735" s="17" t="s">
        <v>9</v>
      </c>
      <c r="I1735" s="30" t="s">
        <v>35</v>
      </c>
      <c r="J1735" s="22"/>
      <c r="K1735" s="22"/>
      <c r="L1735" s="8">
        <f t="shared" si="2417"/>
        <v>0</v>
      </c>
      <c r="M1735" s="24">
        <f t="shared" si="2373"/>
        <v>0</v>
      </c>
      <c r="N1735" s="14"/>
    </row>
    <row r="1736" spans="1:14" x14ac:dyDescent="0.25">
      <c r="A1736" s="20">
        <v>44588</v>
      </c>
      <c r="B1736" s="1">
        <f t="shared" ref="B1736" si="2425">B1730</f>
        <v>145</v>
      </c>
      <c r="C1736" s="1" t="s">
        <v>461</v>
      </c>
      <c r="D1736" s="1" t="s">
        <v>293</v>
      </c>
      <c r="E1736" s="26" t="e">
        <f t="shared" ref="E1736:F1736" si="2426">+E1735</f>
        <v>#REF!</v>
      </c>
      <c r="F1736" s="26" t="e">
        <f t="shared" si="2426"/>
        <v>#REF!</v>
      </c>
      <c r="G1736" s="17">
        <v>7</v>
      </c>
      <c r="H1736" s="17" t="s">
        <v>9</v>
      </c>
      <c r="I1736" s="30" t="s">
        <v>36</v>
      </c>
      <c r="J1736" s="22"/>
      <c r="K1736" s="22"/>
      <c r="L1736" s="8">
        <f t="shared" si="2417"/>
        <v>0</v>
      </c>
      <c r="M1736" s="24">
        <f t="shared" si="2373"/>
        <v>0</v>
      </c>
      <c r="N1736" s="14"/>
    </row>
    <row r="1737" spans="1:14" x14ac:dyDescent="0.25">
      <c r="A1737" s="20">
        <v>44588</v>
      </c>
      <c r="B1737" s="1">
        <f t="shared" ref="B1737" si="2427">B1730</f>
        <v>145</v>
      </c>
      <c r="C1737" s="1" t="s">
        <v>461</v>
      </c>
      <c r="D1737" s="1" t="s">
        <v>293</v>
      </c>
      <c r="E1737" s="26" t="e">
        <f>+E1736</f>
        <v>#REF!</v>
      </c>
      <c r="F1737" s="26" t="e">
        <f>+F1736</f>
        <v>#REF!</v>
      </c>
      <c r="G1737" s="17">
        <v>8</v>
      </c>
      <c r="H1737" s="17" t="s">
        <v>9</v>
      </c>
      <c r="I1737" s="30" t="s">
        <v>59</v>
      </c>
      <c r="J1737" s="22">
        <v>1</v>
      </c>
      <c r="K1737" s="22">
        <v>0.55000000000000004</v>
      </c>
      <c r="L1737" s="8">
        <f t="shared" si="2417"/>
        <v>0.44999999999999996</v>
      </c>
      <c r="M1737" s="24">
        <f t="shared" si="2373"/>
        <v>2.1531100478468897E-2</v>
      </c>
      <c r="N1737" s="14"/>
    </row>
    <row r="1738" spans="1:14" x14ac:dyDescent="0.25">
      <c r="A1738" s="20">
        <v>44588</v>
      </c>
      <c r="B1738" s="1">
        <f t="shared" ref="B1738" si="2428">B1730</f>
        <v>145</v>
      </c>
      <c r="C1738" s="1" t="s">
        <v>461</v>
      </c>
      <c r="D1738" s="1" t="s">
        <v>293</v>
      </c>
      <c r="E1738" s="26" t="e">
        <f t="shared" ref="E1738:F1738" si="2429">+E1737</f>
        <v>#REF!</v>
      </c>
      <c r="F1738" s="26" t="e">
        <f t="shared" si="2429"/>
        <v>#REF!</v>
      </c>
      <c r="G1738" s="17">
        <v>9</v>
      </c>
      <c r="H1738" s="17" t="s">
        <v>9</v>
      </c>
      <c r="I1738" s="30" t="s">
        <v>38</v>
      </c>
      <c r="J1738" s="22"/>
      <c r="K1738" s="22"/>
      <c r="L1738" s="8">
        <f t="shared" si="2417"/>
        <v>0</v>
      </c>
      <c r="M1738" s="24">
        <f t="shared" si="2373"/>
        <v>0</v>
      </c>
      <c r="N1738" s="14"/>
    </row>
    <row r="1739" spans="1:14" x14ac:dyDescent="0.25">
      <c r="A1739" s="20">
        <v>44588</v>
      </c>
      <c r="B1739" s="1">
        <f t="shared" ref="B1739" si="2430">B1730</f>
        <v>145</v>
      </c>
      <c r="C1739" s="1" t="s">
        <v>461</v>
      </c>
      <c r="D1739" s="1" t="s">
        <v>293</v>
      </c>
      <c r="E1739" s="26" t="e">
        <f t="shared" ref="E1739:F1739" si="2431">+E1738</f>
        <v>#REF!</v>
      </c>
      <c r="F1739" s="26" t="e">
        <f t="shared" si="2431"/>
        <v>#REF!</v>
      </c>
      <c r="G1739" s="17">
        <v>10</v>
      </c>
      <c r="H1739" s="17" t="s">
        <v>9</v>
      </c>
      <c r="I1739" s="30" t="s">
        <v>23</v>
      </c>
      <c r="J1739" s="22">
        <v>2.6</v>
      </c>
      <c r="K1739" s="22">
        <f>0.55+0.5</f>
        <v>1.05</v>
      </c>
      <c r="L1739" s="8">
        <f t="shared" si="2417"/>
        <v>1.55</v>
      </c>
      <c r="M1739" s="24">
        <f t="shared" si="2373"/>
        <v>7.4162679425837333E-2</v>
      </c>
      <c r="N1739" s="14"/>
    </row>
    <row r="1740" spans="1:14" x14ac:dyDescent="0.25">
      <c r="A1740" s="20">
        <v>44588</v>
      </c>
      <c r="B1740" s="1">
        <f t="shared" ref="B1740" si="2432">B1730</f>
        <v>145</v>
      </c>
      <c r="C1740" s="1" t="s">
        <v>461</v>
      </c>
      <c r="D1740" s="1" t="s">
        <v>293</v>
      </c>
      <c r="E1740" s="26" t="e">
        <f t="shared" ref="E1740:F1740" si="2433">+E1739</f>
        <v>#REF!</v>
      </c>
      <c r="F1740" s="26" t="e">
        <f t="shared" si="2433"/>
        <v>#REF!</v>
      </c>
      <c r="G1740" s="17">
        <v>11</v>
      </c>
      <c r="H1740" s="17" t="s">
        <v>9</v>
      </c>
      <c r="I1740" s="30" t="s">
        <v>60</v>
      </c>
      <c r="J1740" s="22">
        <v>8.8000000000000007</v>
      </c>
      <c r="K1740" s="22">
        <v>8.5500000000000007</v>
      </c>
      <c r="L1740" s="8">
        <f t="shared" si="2417"/>
        <v>0.25</v>
      </c>
      <c r="M1740" s="24">
        <f t="shared" si="2373"/>
        <v>1.1961722488038277E-2</v>
      </c>
      <c r="N1740" s="14"/>
    </row>
    <row r="1741" spans="1:14" ht="15.75" thickBot="1" x14ac:dyDescent="0.3">
      <c r="A1741" s="20">
        <v>44588</v>
      </c>
      <c r="B1741" s="57">
        <f t="shared" ref="B1741" si="2434">B1730</f>
        <v>145</v>
      </c>
      <c r="C1741" s="1" t="s">
        <v>461</v>
      </c>
      <c r="D1741" s="57" t="s">
        <v>293</v>
      </c>
      <c r="E1741" s="26" t="e">
        <f t="shared" ref="E1741:F1741" si="2435">+E1740</f>
        <v>#REF!</v>
      </c>
      <c r="F1741" s="26" t="e">
        <f t="shared" si="2435"/>
        <v>#REF!</v>
      </c>
      <c r="G1741" s="18">
        <f>+G1740+1</f>
        <v>12</v>
      </c>
      <c r="H1741" s="18" t="s">
        <v>10</v>
      </c>
      <c r="I1741" s="46" t="s">
        <v>10</v>
      </c>
      <c r="J1741" s="22">
        <f>10.05+10.2</f>
        <v>20.25</v>
      </c>
      <c r="K1741" s="63">
        <f>8.3+8.55</f>
        <v>16.850000000000001</v>
      </c>
      <c r="L1741" s="8">
        <f t="shared" si="2417"/>
        <v>3.3999999999999986</v>
      </c>
      <c r="M1741" s="24">
        <f t="shared" si="2373"/>
        <v>0.16267942583732051</v>
      </c>
      <c r="N1741" s="14"/>
    </row>
    <row r="1742" spans="1:14" x14ac:dyDescent="0.25">
      <c r="A1742" s="19">
        <v>44588</v>
      </c>
      <c r="B1742" s="15">
        <f t="shared" ref="B1742" si="2436">B1730+1</f>
        <v>146</v>
      </c>
      <c r="C1742" s="15" t="s">
        <v>462</v>
      </c>
      <c r="D1742" s="15" t="s">
        <v>301</v>
      </c>
      <c r="E1742" s="25">
        <f>9-1.2</f>
        <v>7.8</v>
      </c>
      <c r="F1742" s="25">
        <f>+SUM(L1742:L1753)</f>
        <v>7.4499999999999984</v>
      </c>
      <c r="G1742" s="16">
        <v>1</v>
      </c>
      <c r="H1742" s="16" t="s">
        <v>9</v>
      </c>
      <c r="I1742" s="59" t="s">
        <v>56</v>
      </c>
      <c r="J1742" s="21">
        <f>10.4+11.3+9.7</f>
        <v>31.400000000000002</v>
      </c>
      <c r="K1742" s="21">
        <f>8.5+8.3+8.55</f>
        <v>25.35</v>
      </c>
      <c r="L1742" s="12">
        <f>+J1742-K1742</f>
        <v>6.0500000000000007</v>
      </c>
      <c r="M1742" s="23">
        <f t="shared" si="2373"/>
        <v>0.81208053691275195</v>
      </c>
      <c r="N1742" s="13"/>
    </row>
    <row r="1743" spans="1:14" x14ac:dyDescent="0.25">
      <c r="A1743" s="20">
        <v>44588</v>
      </c>
      <c r="B1743" s="1">
        <f t="shared" ref="B1743" si="2437">B1742</f>
        <v>146</v>
      </c>
      <c r="C1743" s="1" t="s">
        <v>462</v>
      </c>
      <c r="D1743" s="1" t="s">
        <v>301</v>
      </c>
      <c r="E1743" s="26">
        <f>+E1742</f>
        <v>7.8</v>
      </c>
      <c r="F1743" s="28">
        <f>+(F1742-E1742)/E1742</f>
        <v>-4.4871794871795052E-2</v>
      </c>
      <c r="G1743" s="17">
        <v>2</v>
      </c>
      <c r="H1743" s="17" t="s">
        <v>9</v>
      </c>
      <c r="I1743" s="30" t="s">
        <v>57</v>
      </c>
      <c r="J1743" s="22">
        <v>9.6999999999999993</v>
      </c>
      <c r="K1743" s="22">
        <v>8.5500000000000007</v>
      </c>
      <c r="L1743" s="8">
        <f t="shared" ref="L1743:L1753" si="2438">+J1743-K1743</f>
        <v>1.1499999999999986</v>
      </c>
      <c r="M1743" s="24">
        <f t="shared" si="2373"/>
        <v>0.15436241610738238</v>
      </c>
      <c r="N1743" s="14"/>
    </row>
    <row r="1744" spans="1:14" x14ac:dyDescent="0.25">
      <c r="A1744" s="20">
        <v>44588</v>
      </c>
      <c r="B1744" s="1">
        <f t="shared" ref="B1744" si="2439">B1742</f>
        <v>146</v>
      </c>
      <c r="C1744" s="1" t="s">
        <v>462</v>
      </c>
      <c r="D1744" s="1" t="s">
        <v>301</v>
      </c>
      <c r="E1744" s="26" t="e">
        <f>+#REF!</f>
        <v>#REF!</v>
      </c>
      <c r="F1744" s="26" t="e">
        <f>+#REF!</f>
        <v>#REF!</v>
      </c>
      <c r="G1744" s="17">
        <v>3</v>
      </c>
      <c r="H1744" s="17" t="s">
        <v>9</v>
      </c>
      <c r="I1744" s="30" t="s">
        <v>58</v>
      </c>
      <c r="J1744" s="22"/>
      <c r="K1744" s="22"/>
      <c r="L1744" s="8">
        <f t="shared" si="2438"/>
        <v>0</v>
      </c>
      <c r="M1744" s="24">
        <f t="shared" si="2373"/>
        <v>0</v>
      </c>
      <c r="N1744" s="14"/>
    </row>
    <row r="1745" spans="1:14" x14ac:dyDescent="0.25">
      <c r="A1745" s="20">
        <v>44588</v>
      </c>
      <c r="B1745" s="1">
        <f t="shared" ref="B1745" si="2440">B1742</f>
        <v>146</v>
      </c>
      <c r="C1745" s="1" t="s">
        <v>462</v>
      </c>
      <c r="D1745" s="1" t="s">
        <v>301</v>
      </c>
      <c r="E1745" s="26" t="e">
        <f t="shared" ref="E1745:F1745" si="2441">+E1744</f>
        <v>#REF!</v>
      </c>
      <c r="F1745" s="26" t="e">
        <f t="shared" si="2441"/>
        <v>#REF!</v>
      </c>
      <c r="G1745" s="17">
        <v>4</v>
      </c>
      <c r="H1745" s="17" t="s">
        <v>9</v>
      </c>
      <c r="I1745" s="30" t="s">
        <v>22</v>
      </c>
      <c r="J1745" s="22"/>
      <c r="K1745" s="22"/>
      <c r="L1745" s="8">
        <f t="shared" si="2438"/>
        <v>0</v>
      </c>
      <c r="M1745" s="24">
        <f t="shared" si="2373"/>
        <v>0</v>
      </c>
      <c r="N1745" s="14"/>
    </row>
    <row r="1746" spans="1:14" x14ac:dyDescent="0.25">
      <c r="A1746" s="20">
        <v>44588</v>
      </c>
      <c r="B1746" s="1">
        <f t="shared" ref="B1746" si="2442">B1742</f>
        <v>146</v>
      </c>
      <c r="C1746" s="1" t="s">
        <v>462</v>
      </c>
      <c r="D1746" s="1" t="s">
        <v>301</v>
      </c>
      <c r="E1746" s="26" t="e">
        <f t="shared" ref="E1746:F1746" si="2443">+E1745</f>
        <v>#REF!</v>
      </c>
      <c r="F1746" s="26" t="e">
        <f t="shared" si="2443"/>
        <v>#REF!</v>
      </c>
      <c r="G1746" s="17">
        <v>5</v>
      </c>
      <c r="H1746" s="17" t="s">
        <v>9</v>
      </c>
      <c r="I1746" s="30" t="s">
        <v>34</v>
      </c>
      <c r="J1746" s="22">
        <v>0.55000000000000004</v>
      </c>
      <c r="K1746" s="63">
        <v>0.5</v>
      </c>
      <c r="L1746" s="8">
        <f t="shared" si="2438"/>
        <v>5.0000000000000044E-2</v>
      </c>
      <c r="M1746" s="24">
        <f t="shared" si="2373"/>
        <v>6.711409395973162E-3</v>
      </c>
      <c r="N1746" s="14"/>
    </row>
    <row r="1747" spans="1:14" x14ac:dyDescent="0.25">
      <c r="A1747" s="20">
        <v>44588</v>
      </c>
      <c r="B1747" s="1">
        <f t="shared" ref="B1747" si="2444">B1742</f>
        <v>146</v>
      </c>
      <c r="C1747" s="1" t="s">
        <v>462</v>
      </c>
      <c r="D1747" s="1" t="s">
        <v>301</v>
      </c>
      <c r="E1747" s="26" t="e">
        <f t="shared" ref="E1747:F1747" si="2445">+E1746</f>
        <v>#REF!</v>
      </c>
      <c r="F1747" s="26" t="e">
        <f t="shared" si="2445"/>
        <v>#REF!</v>
      </c>
      <c r="G1747" s="17">
        <v>6</v>
      </c>
      <c r="H1747" s="17" t="s">
        <v>9</v>
      </c>
      <c r="I1747" s="30" t="s">
        <v>35</v>
      </c>
      <c r="J1747" s="22"/>
      <c r="K1747" s="22"/>
      <c r="L1747" s="8">
        <f t="shared" si="2438"/>
        <v>0</v>
      </c>
      <c r="M1747" s="24">
        <f t="shared" si="2373"/>
        <v>0</v>
      </c>
      <c r="N1747" s="14"/>
    </row>
    <row r="1748" spans="1:14" x14ac:dyDescent="0.25">
      <c r="A1748" s="20">
        <v>44588</v>
      </c>
      <c r="B1748" s="1">
        <f t="shared" ref="B1748" si="2446">B1742</f>
        <v>146</v>
      </c>
      <c r="C1748" s="1" t="s">
        <v>462</v>
      </c>
      <c r="D1748" s="1" t="s">
        <v>301</v>
      </c>
      <c r="E1748" s="26" t="e">
        <f t="shared" ref="E1748:F1748" si="2447">+E1747</f>
        <v>#REF!</v>
      </c>
      <c r="F1748" s="26" t="e">
        <f t="shared" si="2447"/>
        <v>#REF!</v>
      </c>
      <c r="G1748" s="17">
        <v>7</v>
      </c>
      <c r="H1748" s="17" t="s">
        <v>9</v>
      </c>
      <c r="I1748" s="30" t="s">
        <v>36</v>
      </c>
      <c r="J1748" s="22"/>
      <c r="K1748" s="22"/>
      <c r="L1748" s="8">
        <f t="shared" si="2438"/>
        <v>0</v>
      </c>
      <c r="M1748" s="24">
        <f t="shared" si="2373"/>
        <v>0</v>
      </c>
      <c r="N1748" s="14"/>
    </row>
    <row r="1749" spans="1:14" x14ac:dyDescent="0.25">
      <c r="A1749" s="20">
        <v>44588</v>
      </c>
      <c r="B1749" s="1">
        <f t="shared" ref="B1749" si="2448">B1742</f>
        <v>146</v>
      </c>
      <c r="C1749" s="1" t="s">
        <v>462</v>
      </c>
      <c r="D1749" s="1" t="s">
        <v>301</v>
      </c>
      <c r="E1749" s="26" t="e">
        <f>+E1748</f>
        <v>#REF!</v>
      </c>
      <c r="F1749" s="26" t="e">
        <f>+F1748</f>
        <v>#REF!</v>
      </c>
      <c r="G1749" s="17">
        <v>8</v>
      </c>
      <c r="H1749" s="17" t="s">
        <v>9</v>
      </c>
      <c r="I1749" s="30" t="s">
        <v>59</v>
      </c>
      <c r="J1749" s="22">
        <v>0.65</v>
      </c>
      <c r="K1749" s="22">
        <v>0.55000000000000004</v>
      </c>
      <c r="L1749" s="8">
        <f t="shared" si="2438"/>
        <v>9.9999999999999978E-2</v>
      </c>
      <c r="M1749" s="24">
        <f t="shared" si="2373"/>
        <v>1.3422818791946308E-2</v>
      </c>
      <c r="N1749" s="14"/>
    </row>
    <row r="1750" spans="1:14" x14ac:dyDescent="0.25">
      <c r="A1750" s="20">
        <v>44588</v>
      </c>
      <c r="B1750" s="1">
        <f t="shared" ref="B1750" si="2449">B1742</f>
        <v>146</v>
      </c>
      <c r="C1750" s="1" t="s">
        <v>462</v>
      </c>
      <c r="D1750" s="1" t="s">
        <v>301</v>
      </c>
      <c r="E1750" s="26" t="e">
        <f t="shared" ref="E1750:F1750" si="2450">+E1749</f>
        <v>#REF!</v>
      </c>
      <c r="F1750" s="26" t="e">
        <f t="shared" si="2450"/>
        <v>#REF!</v>
      </c>
      <c r="G1750" s="17">
        <v>9</v>
      </c>
      <c r="H1750" s="17" t="s">
        <v>9</v>
      </c>
      <c r="I1750" s="30" t="s">
        <v>38</v>
      </c>
      <c r="J1750" s="22"/>
      <c r="K1750" s="22"/>
      <c r="L1750" s="8">
        <f t="shared" si="2438"/>
        <v>0</v>
      </c>
      <c r="M1750" s="24">
        <f t="shared" si="2373"/>
        <v>0</v>
      </c>
      <c r="N1750" s="14"/>
    </row>
    <row r="1751" spans="1:14" x14ac:dyDescent="0.25">
      <c r="A1751" s="20">
        <v>44588</v>
      </c>
      <c r="B1751" s="1">
        <f t="shared" ref="B1751" si="2451">B1742</f>
        <v>146</v>
      </c>
      <c r="C1751" s="1" t="s">
        <v>462</v>
      </c>
      <c r="D1751" s="1" t="s">
        <v>301</v>
      </c>
      <c r="E1751" s="26" t="e">
        <f t="shared" ref="E1751:F1751" si="2452">+E1750</f>
        <v>#REF!</v>
      </c>
      <c r="F1751" s="26" t="e">
        <f t="shared" si="2452"/>
        <v>#REF!</v>
      </c>
      <c r="G1751" s="17">
        <v>10</v>
      </c>
      <c r="H1751" s="17" t="s">
        <v>9</v>
      </c>
      <c r="I1751" s="30" t="s">
        <v>23</v>
      </c>
      <c r="J1751" s="22">
        <v>0.6</v>
      </c>
      <c r="K1751" s="22">
        <v>0.55000000000000004</v>
      </c>
      <c r="L1751" s="8">
        <f t="shared" si="2438"/>
        <v>4.9999999999999933E-2</v>
      </c>
      <c r="M1751" s="24">
        <f t="shared" si="2373"/>
        <v>6.7114093959731473E-3</v>
      </c>
      <c r="N1751" s="14"/>
    </row>
    <row r="1752" spans="1:14" x14ac:dyDescent="0.25">
      <c r="A1752" s="20">
        <v>44588</v>
      </c>
      <c r="B1752" s="1">
        <f t="shared" ref="B1752" si="2453">B1742</f>
        <v>146</v>
      </c>
      <c r="C1752" s="1" t="s">
        <v>462</v>
      </c>
      <c r="D1752" s="1" t="s">
        <v>301</v>
      </c>
      <c r="E1752" s="26" t="e">
        <f t="shared" ref="E1752:F1752" si="2454">+E1751</f>
        <v>#REF!</v>
      </c>
      <c r="F1752" s="26" t="e">
        <f t="shared" si="2454"/>
        <v>#REF!</v>
      </c>
      <c r="G1752" s="17">
        <v>11</v>
      </c>
      <c r="H1752" s="17" t="s">
        <v>9</v>
      </c>
      <c r="I1752" s="30" t="s">
        <v>60</v>
      </c>
      <c r="J1752" s="22"/>
      <c r="K1752" s="22"/>
      <c r="L1752" s="8">
        <f t="shared" si="2438"/>
        <v>0</v>
      </c>
      <c r="M1752" s="24">
        <f t="shared" si="2373"/>
        <v>0</v>
      </c>
      <c r="N1752" s="14"/>
    </row>
    <row r="1753" spans="1:14" ht="15.75" thickBot="1" x14ac:dyDescent="0.3">
      <c r="A1753" s="20">
        <v>44588</v>
      </c>
      <c r="B1753" s="57">
        <f t="shared" ref="B1753" si="2455">B1742</f>
        <v>146</v>
      </c>
      <c r="C1753" s="1" t="s">
        <v>462</v>
      </c>
      <c r="D1753" s="57" t="s">
        <v>301</v>
      </c>
      <c r="E1753" s="26" t="e">
        <f t="shared" ref="E1753:F1753" si="2456">+E1752</f>
        <v>#REF!</v>
      </c>
      <c r="F1753" s="26" t="e">
        <f t="shared" si="2456"/>
        <v>#REF!</v>
      </c>
      <c r="G1753" s="18">
        <f>+G1752+1</f>
        <v>12</v>
      </c>
      <c r="H1753" s="18" t="s">
        <v>10</v>
      </c>
      <c r="I1753" s="46" t="s">
        <v>10</v>
      </c>
      <c r="J1753" s="22">
        <v>0.6</v>
      </c>
      <c r="K1753" s="63">
        <v>0.55000000000000004</v>
      </c>
      <c r="L1753" s="8">
        <f t="shared" si="2438"/>
        <v>4.9999999999999933E-2</v>
      </c>
      <c r="M1753" s="24">
        <f t="shared" si="2373"/>
        <v>6.7114093959731473E-3</v>
      </c>
      <c r="N1753" s="14"/>
    </row>
    <row r="1754" spans="1:14" x14ac:dyDescent="0.25">
      <c r="A1754" s="19">
        <v>44588</v>
      </c>
      <c r="B1754" s="15">
        <f t="shared" ref="B1754" si="2457">B1742+1</f>
        <v>147</v>
      </c>
      <c r="C1754" s="15" t="s">
        <v>463</v>
      </c>
      <c r="D1754" s="15" t="s">
        <v>298</v>
      </c>
      <c r="E1754" s="25">
        <f>32-1.2</f>
        <v>30.8</v>
      </c>
      <c r="F1754" s="25">
        <f>+SUM(L1754:L1765)</f>
        <v>30.599999999999987</v>
      </c>
      <c r="G1754" s="16">
        <v>1</v>
      </c>
      <c r="H1754" s="16" t="s">
        <v>9</v>
      </c>
      <c r="I1754" s="59" t="s">
        <v>56</v>
      </c>
      <c r="J1754" s="21">
        <v>1.1499999999999999</v>
      </c>
      <c r="K1754" s="21">
        <v>0.55000000000000004</v>
      </c>
      <c r="L1754" s="12">
        <f>+J1754-K1754</f>
        <v>0.59999999999999987</v>
      </c>
      <c r="M1754" s="23">
        <f t="shared" si="2373"/>
        <v>1.9607843137254905E-2</v>
      </c>
      <c r="N1754" s="13"/>
    </row>
    <row r="1755" spans="1:14" x14ac:dyDescent="0.25">
      <c r="A1755" s="20">
        <v>44588</v>
      </c>
      <c r="B1755" s="1">
        <f t="shared" ref="B1755" si="2458">B1754</f>
        <v>147</v>
      </c>
      <c r="C1755" s="1" t="s">
        <v>463</v>
      </c>
      <c r="D1755" s="1" t="s">
        <v>298</v>
      </c>
      <c r="E1755" s="26">
        <f>+E1754</f>
        <v>30.8</v>
      </c>
      <c r="F1755" s="28">
        <f>+(F1754-E1754)/E1754</f>
        <v>-6.493506493506932E-3</v>
      </c>
      <c r="G1755" s="17">
        <v>2</v>
      </c>
      <c r="H1755" s="17" t="s">
        <v>9</v>
      </c>
      <c r="I1755" s="30" t="s">
        <v>57</v>
      </c>
      <c r="J1755" s="22">
        <v>1</v>
      </c>
      <c r="K1755" s="22">
        <v>0.5</v>
      </c>
      <c r="L1755" s="8">
        <f t="shared" ref="L1755:L1765" si="2459">+J1755-K1755</f>
        <v>0.5</v>
      </c>
      <c r="M1755" s="24">
        <f t="shared" si="2373"/>
        <v>1.633986928104576E-2</v>
      </c>
      <c r="N1755" s="14"/>
    </row>
    <row r="1756" spans="1:14" x14ac:dyDescent="0.25">
      <c r="A1756" s="20">
        <v>44588</v>
      </c>
      <c r="B1756" s="1">
        <f t="shared" ref="B1756" si="2460">B1754</f>
        <v>147</v>
      </c>
      <c r="C1756" s="1" t="s">
        <v>463</v>
      </c>
      <c r="D1756" s="1" t="s">
        <v>298</v>
      </c>
      <c r="E1756" s="26" t="e">
        <f>+#REF!</f>
        <v>#REF!</v>
      </c>
      <c r="F1756" s="26" t="e">
        <f>+#REF!</f>
        <v>#REF!</v>
      </c>
      <c r="G1756" s="17">
        <v>3</v>
      </c>
      <c r="H1756" s="17" t="s">
        <v>9</v>
      </c>
      <c r="I1756" s="30" t="s">
        <v>58</v>
      </c>
      <c r="J1756" s="22">
        <f>11.9+1.2</f>
        <v>13.1</v>
      </c>
      <c r="K1756" s="22">
        <f>8.55+0.55</f>
        <v>9.1000000000000014</v>
      </c>
      <c r="L1756" s="8">
        <f t="shared" si="2459"/>
        <v>3.9999999999999982</v>
      </c>
      <c r="M1756" s="24">
        <f t="shared" si="2373"/>
        <v>0.13071895424836602</v>
      </c>
      <c r="N1756" s="14"/>
    </row>
    <row r="1757" spans="1:14" x14ac:dyDescent="0.25">
      <c r="A1757" s="20">
        <v>44588</v>
      </c>
      <c r="B1757" s="1">
        <f t="shared" ref="B1757" si="2461">B1754</f>
        <v>147</v>
      </c>
      <c r="C1757" s="1" t="s">
        <v>463</v>
      </c>
      <c r="D1757" s="1" t="s">
        <v>298</v>
      </c>
      <c r="E1757" s="26" t="e">
        <f t="shared" ref="E1757:F1757" si="2462">+E1756</f>
        <v>#REF!</v>
      </c>
      <c r="F1757" s="26" t="e">
        <f t="shared" si="2462"/>
        <v>#REF!</v>
      </c>
      <c r="G1757" s="17">
        <v>4</v>
      </c>
      <c r="H1757" s="17" t="s">
        <v>9</v>
      </c>
      <c r="I1757" s="30" t="s">
        <v>22</v>
      </c>
      <c r="J1757" s="22">
        <v>1.1499999999999999</v>
      </c>
      <c r="K1757" s="22">
        <v>0.55000000000000004</v>
      </c>
      <c r="L1757" s="8">
        <f t="shared" si="2459"/>
        <v>0.59999999999999987</v>
      </c>
      <c r="M1757" s="24">
        <f t="shared" si="2373"/>
        <v>1.9607843137254905E-2</v>
      </c>
      <c r="N1757" s="14"/>
    </row>
    <row r="1758" spans="1:14" x14ac:dyDescent="0.25">
      <c r="A1758" s="20">
        <v>44588</v>
      </c>
      <c r="B1758" s="1">
        <f t="shared" ref="B1758" si="2463">B1754</f>
        <v>147</v>
      </c>
      <c r="C1758" s="1" t="s">
        <v>463</v>
      </c>
      <c r="D1758" s="1" t="s">
        <v>298</v>
      </c>
      <c r="E1758" s="26" t="e">
        <f t="shared" ref="E1758:F1758" si="2464">+E1757</f>
        <v>#REF!</v>
      </c>
      <c r="F1758" s="26" t="e">
        <f t="shared" si="2464"/>
        <v>#REF!</v>
      </c>
      <c r="G1758" s="17">
        <v>5</v>
      </c>
      <c r="H1758" s="17" t="s">
        <v>9</v>
      </c>
      <c r="I1758" s="30" t="s">
        <v>34</v>
      </c>
      <c r="J1758" s="22">
        <v>1.8</v>
      </c>
      <c r="K1758" s="63">
        <v>0.55000000000000004</v>
      </c>
      <c r="L1758" s="8">
        <f t="shared" si="2459"/>
        <v>1.25</v>
      </c>
      <c r="M1758" s="24">
        <f t="shared" si="2373"/>
        <v>4.0849673202614394E-2</v>
      </c>
      <c r="N1758" s="14"/>
    </row>
    <row r="1759" spans="1:14" x14ac:dyDescent="0.25">
      <c r="A1759" s="20">
        <v>44588</v>
      </c>
      <c r="B1759" s="1">
        <f t="shared" ref="B1759" si="2465">B1754</f>
        <v>147</v>
      </c>
      <c r="C1759" s="1" t="s">
        <v>463</v>
      </c>
      <c r="D1759" s="1" t="s">
        <v>298</v>
      </c>
      <c r="E1759" s="26" t="e">
        <f t="shared" ref="E1759:F1759" si="2466">+E1758</f>
        <v>#REF!</v>
      </c>
      <c r="F1759" s="26" t="e">
        <f t="shared" si="2466"/>
        <v>#REF!</v>
      </c>
      <c r="G1759" s="17">
        <v>6</v>
      </c>
      <c r="H1759" s="17" t="s">
        <v>9</v>
      </c>
      <c r="I1759" s="30" t="s">
        <v>35</v>
      </c>
      <c r="J1759" s="22"/>
      <c r="K1759" s="22"/>
      <c r="L1759" s="8">
        <f t="shared" si="2459"/>
        <v>0</v>
      </c>
      <c r="M1759" s="24">
        <f t="shared" si="2373"/>
        <v>0</v>
      </c>
      <c r="N1759" s="14"/>
    </row>
    <row r="1760" spans="1:14" x14ac:dyDescent="0.25">
      <c r="A1760" s="20">
        <v>44588</v>
      </c>
      <c r="B1760" s="1">
        <f t="shared" ref="B1760" si="2467">B1754</f>
        <v>147</v>
      </c>
      <c r="C1760" s="1" t="s">
        <v>463</v>
      </c>
      <c r="D1760" s="1" t="s">
        <v>298</v>
      </c>
      <c r="E1760" s="26" t="e">
        <f t="shared" ref="E1760:F1760" si="2468">+E1759</f>
        <v>#REF!</v>
      </c>
      <c r="F1760" s="26" t="e">
        <f t="shared" si="2468"/>
        <v>#REF!</v>
      </c>
      <c r="G1760" s="17">
        <v>7</v>
      </c>
      <c r="H1760" s="17" t="s">
        <v>9</v>
      </c>
      <c r="I1760" s="30" t="s">
        <v>36</v>
      </c>
      <c r="J1760" s="22"/>
      <c r="K1760" s="22"/>
      <c r="L1760" s="8">
        <f t="shared" si="2459"/>
        <v>0</v>
      </c>
      <c r="M1760" s="24">
        <f t="shared" si="2373"/>
        <v>0</v>
      </c>
      <c r="N1760" s="14"/>
    </row>
    <row r="1761" spans="1:14" x14ac:dyDescent="0.25">
      <c r="A1761" s="20">
        <v>44588</v>
      </c>
      <c r="B1761" s="1">
        <f t="shared" ref="B1761" si="2469">B1754</f>
        <v>147</v>
      </c>
      <c r="C1761" s="1" t="s">
        <v>463</v>
      </c>
      <c r="D1761" s="1" t="s">
        <v>298</v>
      </c>
      <c r="E1761" s="26" t="e">
        <f>+E1760</f>
        <v>#REF!</v>
      </c>
      <c r="F1761" s="26" t="e">
        <f>+F1760</f>
        <v>#REF!</v>
      </c>
      <c r="G1761" s="17">
        <v>8</v>
      </c>
      <c r="H1761" s="17" t="s">
        <v>9</v>
      </c>
      <c r="I1761" s="30" t="s">
        <v>59</v>
      </c>
      <c r="J1761" s="22">
        <v>3.25</v>
      </c>
      <c r="K1761" s="22">
        <v>0.55000000000000004</v>
      </c>
      <c r="L1761" s="8">
        <f t="shared" si="2459"/>
        <v>2.7</v>
      </c>
      <c r="M1761" s="24">
        <f t="shared" si="2373"/>
        <v>8.8235294117647106E-2</v>
      </c>
      <c r="N1761" s="14"/>
    </row>
    <row r="1762" spans="1:14" x14ac:dyDescent="0.25">
      <c r="A1762" s="20">
        <v>44588</v>
      </c>
      <c r="B1762" s="1">
        <f t="shared" ref="B1762" si="2470">B1754</f>
        <v>147</v>
      </c>
      <c r="C1762" s="1" t="s">
        <v>463</v>
      </c>
      <c r="D1762" s="1" t="s">
        <v>298</v>
      </c>
      <c r="E1762" s="26" t="e">
        <f t="shared" ref="E1762:F1762" si="2471">+E1761</f>
        <v>#REF!</v>
      </c>
      <c r="F1762" s="26" t="e">
        <f t="shared" si="2471"/>
        <v>#REF!</v>
      </c>
      <c r="G1762" s="17">
        <v>9</v>
      </c>
      <c r="H1762" s="17" t="s">
        <v>9</v>
      </c>
      <c r="I1762" s="30" t="s">
        <v>38</v>
      </c>
      <c r="J1762" s="22"/>
      <c r="K1762" s="22"/>
      <c r="L1762" s="8">
        <f t="shared" si="2459"/>
        <v>0</v>
      </c>
      <c r="M1762" s="24">
        <f t="shared" si="2373"/>
        <v>0</v>
      </c>
      <c r="N1762" s="14"/>
    </row>
    <row r="1763" spans="1:14" x14ac:dyDescent="0.25">
      <c r="A1763" s="20">
        <v>44588</v>
      </c>
      <c r="B1763" s="1">
        <f t="shared" ref="B1763" si="2472">B1754</f>
        <v>147</v>
      </c>
      <c r="C1763" s="1" t="s">
        <v>463</v>
      </c>
      <c r="D1763" s="1" t="s">
        <v>298</v>
      </c>
      <c r="E1763" s="26" t="e">
        <f t="shared" ref="E1763:F1763" si="2473">+E1762</f>
        <v>#REF!</v>
      </c>
      <c r="F1763" s="26" t="e">
        <f t="shared" si="2473"/>
        <v>#REF!</v>
      </c>
      <c r="G1763" s="17">
        <v>10</v>
      </c>
      <c r="H1763" s="17" t="s">
        <v>9</v>
      </c>
      <c r="I1763" s="30" t="s">
        <v>23</v>
      </c>
      <c r="J1763" s="22">
        <f>10.95+11.6+12.25</f>
        <v>34.799999999999997</v>
      </c>
      <c r="K1763" s="22">
        <f>8.3+8.55+8.55</f>
        <v>25.400000000000002</v>
      </c>
      <c r="L1763" s="8">
        <f t="shared" si="2459"/>
        <v>9.399999999999995</v>
      </c>
      <c r="M1763" s="24">
        <f t="shared" si="2373"/>
        <v>0.30718954248366009</v>
      </c>
      <c r="N1763" s="14"/>
    </row>
    <row r="1764" spans="1:14" x14ac:dyDescent="0.25">
      <c r="A1764" s="20">
        <v>44588</v>
      </c>
      <c r="B1764" s="1">
        <f t="shared" ref="B1764" si="2474">B1754</f>
        <v>147</v>
      </c>
      <c r="C1764" s="1" t="s">
        <v>463</v>
      </c>
      <c r="D1764" s="1" t="s">
        <v>298</v>
      </c>
      <c r="E1764" s="26" t="e">
        <f t="shared" ref="E1764:F1764" si="2475">+E1763</f>
        <v>#REF!</v>
      </c>
      <c r="F1764" s="26" t="e">
        <f t="shared" si="2475"/>
        <v>#REF!</v>
      </c>
      <c r="G1764" s="17">
        <v>11</v>
      </c>
      <c r="H1764" s="17" t="s">
        <v>9</v>
      </c>
      <c r="I1764" s="30" t="s">
        <v>60</v>
      </c>
      <c r="J1764" s="22">
        <v>8.75</v>
      </c>
      <c r="K1764" s="22">
        <v>8.5</v>
      </c>
      <c r="L1764" s="8">
        <f t="shared" si="2459"/>
        <v>0.25</v>
      </c>
      <c r="M1764" s="24">
        <f t="shared" si="2373"/>
        <v>8.1699346405228798E-3</v>
      </c>
      <c r="N1764" s="14"/>
    </row>
    <row r="1765" spans="1:14" ht="15.75" thickBot="1" x14ac:dyDescent="0.3">
      <c r="A1765" s="20">
        <v>44588</v>
      </c>
      <c r="B1765" s="57">
        <f t="shared" ref="B1765" si="2476">B1754</f>
        <v>147</v>
      </c>
      <c r="C1765" s="1" t="s">
        <v>463</v>
      </c>
      <c r="D1765" s="57" t="s">
        <v>298</v>
      </c>
      <c r="E1765" s="26" t="e">
        <f t="shared" ref="E1765:F1765" si="2477">+E1764</f>
        <v>#REF!</v>
      </c>
      <c r="F1765" s="26" t="e">
        <f t="shared" si="2477"/>
        <v>#REF!</v>
      </c>
      <c r="G1765" s="18">
        <f>+G1764+1</f>
        <v>12</v>
      </c>
      <c r="H1765" s="18" t="s">
        <v>10</v>
      </c>
      <c r="I1765" s="46" t="s">
        <v>10</v>
      </c>
      <c r="J1765" s="22">
        <f>14.2+11.6+10.9</f>
        <v>36.699999999999996</v>
      </c>
      <c r="K1765" s="63">
        <f>8.55+8.3+8.55</f>
        <v>25.400000000000002</v>
      </c>
      <c r="L1765" s="8">
        <f t="shared" si="2459"/>
        <v>11.299999999999994</v>
      </c>
      <c r="M1765" s="24">
        <f t="shared" si="2373"/>
        <v>0.36928104575163395</v>
      </c>
      <c r="N1765" s="14"/>
    </row>
    <row r="1766" spans="1:14" x14ac:dyDescent="0.25">
      <c r="A1766" s="19">
        <v>44588</v>
      </c>
      <c r="B1766" s="15">
        <f t="shared" ref="B1766" si="2478">B1754+1</f>
        <v>148</v>
      </c>
      <c r="C1766" s="15" t="s">
        <v>464</v>
      </c>
      <c r="D1766" s="15" t="s">
        <v>290</v>
      </c>
      <c r="E1766" s="25">
        <f>17-1.2</f>
        <v>15.8</v>
      </c>
      <c r="F1766" s="25">
        <f>+SUM(L1766:L1777)</f>
        <v>16.949999999999992</v>
      </c>
      <c r="G1766" s="16">
        <v>1</v>
      </c>
      <c r="H1766" s="16" t="s">
        <v>9</v>
      </c>
      <c r="I1766" s="59" t="s">
        <v>56</v>
      </c>
      <c r="J1766" s="21">
        <v>10.4</v>
      </c>
      <c r="K1766" s="21">
        <v>8.5500000000000007</v>
      </c>
      <c r="L1766" s="12">
        <f>+J1766-K1766</f>
        <v>1.8499999999999996</v>
      </c>
      <c r="M1766" s="23">
        <f t="shared" si="2373"/>
        <v>0.10914454277286138</v>
      </c>
      <c r="N1766" s="13"/>
    </row>
    <row r="1767" spans="1:14" x14ac:dyDescent="0.25">
      <c r="A1767" s="20">
        <v>44588</v>
      </c>
      <c r="B1767" s="1">
        <f t="shared" ref="B1767" si="2479">B1766</f>
        <v>148</v>
      </c>
      <c r="C1767" s="1" t="s">
        <v>464</v>
      </c>
      <c r="D1767" s="1" t="s">
        <v>290</v>
      </c>
      <c r="E1767" s="26">
        <f>+E1766</f>
        <v>15.8</v>
      </c>
      <c r="F1767" s="28">
        <f>+(F1766-E1766)/E1766</f>
        <v>7.2784810126581737E-2</v>
      </c>
      <c r="G1767" s="17">
        <v>2</v>
      </c>
      <c r="H1767" s="17" t="s">
        <v>9</v>
      </c>
      <c r="I1767" s="30" t="s">
        <v>57</v>
      </c>
      <c r="J1767" s="22">
        <f>11.1+11.55+10</f>
        <v>32.65</v>
      </c>
      <c r="K1767" s="22">
        <f>8.3+8.55+8.55</f>
        <v>25.400000000000002</v>
      </c>
      <c r="L1767" s="8">
        <f t="shared" ref="L1767:L1777" si="2480">+J1767-K1767</f>
        <v>7.2499999999999964</v>
      </c>
      <c r="M1767" s="24">
        <f t="shared" si="2373"/>
        <v>0.42772861356932151</v>
      </c>
      <c r="N1767" s="14"/>
    </row>
    <row r="1768" spans="1:14" x14ac:dyDescent="0.25">
      <c r="A1768" s="20">
        <v>44588</v>
      </c>
      <c r="B1768" s="1">
        <f t="shared" ref="B1768" si="2481">B1766</f>
        <v>148</v>
      </c>
      <c r="C1768" s="1" t="s">
        <v>464</v>
      </c>
      <c r="D1768" s="1" t="s">
        <v>290</v>
      </c>
      <c r="E1768" s="26" t="e">
        <f>+#REF!</f>
        <v>#REF!</v>
      </c>
      <c r="F1768" s="26" t="e">
        <f>+#REF!</f>
        <v>#REF!</v>
      </c>
      <c r="G1768" s="17">
        <v>3</v>
      </c>
      <c r="H1768" s="17" t="s">
        <v>9</v>
      </c>
      <c r="I1768" s="30" t="s">
        <v>58</v>
      </c>
      <c r="J1768" s="22">
        <v>10.4</v>
      </c>
      <c r="K1768" s="22">
        <v>8.5500000000000007</v>
      </c>
      <c r="L1768" s="8">
        <f t="shared" si="2480"/>
        <v>1.8499999999999996</v>
      </c>
      <c r="M1768" s="24">
        <f t="shared" si="2373"/>
        <v>0.10914454277286138</v>
      </c>
      <c r="N1768" s="14"/>
    </row>
    <row r="1769" spans="1:14" x14ac:dyDescent="0.25">
      <c r="A1769" s="20">
        <v>44588</v>
      </c>
      <c r="B1769" s="1">
        <f t="shared" ref="B1769" si="2482">B1766</f>
        <v>148</v>
      </c>
      <c r="C1769" s="1" t="s">
        <v>464</v>
      </c>
      <c r="D1769" s="1" t="s">
        <v>290</v>
      </c>
      <c r="E1769" s="26" t="e">
        <f t="shared" ref="E1769:F1769" si="2483">+E1768</f>
        <v>#REF!</v>
      </c>
      <c r="F1769" s="26" t="e">
        <f t="shared" si="2483"/>
        <v>#REF!</v>
      </c>
      <c r="G1769" s="17">
        <v>4</v>
      </c>
      <c r="H1769" s="17" t="s">
        <v>9</v>
      </c>
      <c r="I1769" s="30" t="s">
        <v>22</v>
      </c>
      <c r="J1769" s="22"/>
      <c r="K1769" s="22"/>
      <c r="L1769" s="8">
        <f t="shared" si="2480"/>
        <v>0</v>
      </c>
      <c r="M1769" s="24">
        <f t="shared" si="2373"/>
        <v>0</v>
      </c>
      <c r="N1769" s="14"/>
    </row>
    <row r="1770" spans="1:14" x14ac:dyDescent="0.25">
      <c r="A1770" s="20">
        <v>44588</v>
      </c>
      <c r="B1770" s="1">
        <f t="shared" ref="B1770" si="2484">B1766</f>
        <v>148</v>
      </c>
      <c r="C1770" s="1" t="s">
        <v>464</v>
      </c>
      <c r="D1770" s="1" t="s">
        <v>290</v>
      </c>
      <c r="E1770" s="26" t="e">
        <f t="shared" ref="E1770:F1770" si="2485">+E1769</f>
        <v>#REF!</v>
      </c>
      <c r="F1770" s="26" t="e">
        <f t="shared" si="2485"/>
        <v>#REF!</v>
      </c>
      <c r="G1770" s="17">
        <v>5</v>
      </c>
      <c r="H1770" s="17" t="s">
        <v>9</v>
      </c>
      <c r="I1770" s="30" t="s">
        <v>34</v>
      </c>
      <c r="J1770" s="22">
        <v>0.9</v>
      </c>
      <c r="K1770" s="63">
        <v>0.55000000000000004</v>
      </c>
      <c r="L1770" s="8">
        <f t="shared" si="2480"/>
        <v>0.35</v>
      </c>
      <c r="M1770" s="24">
        <f t="shared" ref="M1770:M1781" si="2486">+L1770/SUMIF(C:C,C1770,L:L)</f>
        <v>2.0648967551622426E-2</v>
      </c>
      <c r="N1770" s="14"/>
    </row>
    <row r="1771" spans="1:14" x14ac:dyDescent="0.25">
      <c r="A1771" s="20">
        <v>44588</v>
      </c>
      <c r="B1771" s="1">
        <f t="shared" ref="B1771" si="2487">B1766</f>
        <v>148</v>
      </c>
      <c r="C1771" s="1" t="s">
        <v>464</v>
      </c>
      <c r="D1771" s="1" t="s">
        <v>290</v>
      </c>
      <c r="E1771" s="26" t="e">
        <f t="shared" ref="E1771:F1771" si="2488">+E1770</f>
        <v>#REF!</v>
      </c>
      <c r="F1771" s="26" t="e">
        <f t="shared" si="2488"/>
        <v>#REF!</v>
      </c>
      <c r="G1771" s="17">
        <v>6</v>
      </c>
      <c r="H1771" s="17" t="s">
        <v>9</v>
      </c>
      <c r="I1771" s="30" t="s">
        <v>35</v>
      </c>
      <c r="J1771" s="22"/>
      <c r="K1771" s="22"/>
      <c r="L1771" s="8">
        <f t="shared" si="2480"/>
        <v>0</v>
      </c>
      <c r="M1771" s="24">
        <f t="shared" si="2486"/>
        <v>0</v>
      </c>
      <c r="N1771" s="14"/>
    </row>
    <row r="1772" spans="1:14" x14ac:dyDescent="0.25">
      <c r="A1772" s="20">
        <v>44588</v>
      </c>
      <c r="B1772" s="1">
        <f t="shared" ref="B1772" si="2489">B1766</f>
        <v>148</v>
      </c>
      <c r="C1772" s="1" t="s">
        <v>464</v>
      </c>
      <c r="D1772" s="1" t="s">
        <v>290</v>
      </c>
      <c r="E1772" s="26" t="e">
        <f t="shared" ref="E1772:F1772" si="2490">+E1771</f>
        <v>#REF!</v>
      </c>
      <c r="F1772" s="26" t="e">
        <f t="shared" si="2490"/>
        <v>#REF!</v>
      </c>
      <c r="G1772" s="17">
        <v>7</v>
      </c>
      <c r="H1772" s="17" t="s">
        <v>9</v>
      </c>
      <c r="I1772" s="30" t="s">
        <v>36</v>
      </c>
      <c r="J1772" s="22"/>
      <c r="K1772" s="22"/>
      <c r="L1772" s="8">
        <f t="shared" si="2480"/>
        <v>0</v>
      </c>
      <c r="M1772" s="24">
        <f t="shared" si="2486"/>
        <v>0</v>
      </c>
      <c r="N1772" s="14"/>
    </row>
    <row r="1773" spans="1:14" x14ac:dyDescent="0.25">
      <c r="A1773" s="20">
        <v>44588</v>
      </c>
      <c r="B1773" s="1">
        <f t="shared" ref="B1773" si="2491">B1766</f>
        <v>148</v>
      </c>
      <c r="C1773" s="1" t="s">
        <v>464</v>
      </c>
      <c r="D1773" s="1" t="s">
        <v>290</v>
      </c>
      <c r="E1773" s="26" t="e">
        <f>+E1772</f>
        <v>#REF!</v>
      </c>
      <c r="F1773" s="26" t="e">
        <f>+F1772</f>
        <v>#REF!</v>
      </c>
      <c r="G1773" s="17">
        <v>8</v>
      </c>
      <c r="H1773" s="17" t="s">
        <v>9</v>
      </c>
      <c r="I1773" s="30" t="s">
        <v>59</v>
      </c>
      <c r="J1773" s="22">
        <v>0.95</v>
      </c>
      <c r="K1773" s="22">
        <v>0.55000000000000004</v>
      </c>
      <c r="L1773" s="8">
        <f t="shared" si="2480"/>
        <v>0.39999999999999991</v>
      </c>
      <c r="M1773" s="24">
        <f t="shared" si="2486"/>
        <v>2.3598820058997057E-2</v>
      </c>
      <c r="N1773" s="14"/>
    </row>
    <row r="1774" spans="1:14" x14ac:dyDescent="0.25">
      <c r="A1774" s="20">
        <v>44588</v>
      </c>
      <c r="B1774" s="1">
        <f t="shared" ref="B1774" si="2492">B1766</f>
        <v>148</v>
      </c>
      <c r="C1774" s="1" t="s">
        <v>464</v>
      </c>
      <c r="D1774" s="1" t="s">
        <v>290</v>
      </c>
      <c r="E1774" s="26" t="e">
        <f t="shared" ref="E1774:F1774" si="2493">+E1773</f>
        <v>#REF!</v>
      </c>
      <c r="F1774" s="26" t="e">
        <f t="shared" si="2493"/>
        <v>#REF!</v>
      </c>
      <c r="G1774" s="17">
        <v>9</v>
      </c>
      <c r="H1774" s="17" t="s">
        <v>9</v>
      </c>
      <c r="I1774" s="30" t="s">
        <v>38</v>
      </c>
      <c r="J1774" s="22"/>
      <c r="K1774" s="22"/>
      <c r="L1774" s="8">
        <f t="shared" si="2480"/>
        <v>0</v>
      </c>
      <c r="M1774" s="24">
        <f t="shared" si="2486"/>
        <v>0</v>
      </c>
      <c r="N1774" s="14"/>
    </row>
    <row r="1775" spans="1:14" x14ac:dyDescent="0.25">
      <c r="A1775" s="20">
        <v>44588</v>
      </c>
      <c r="B1775" s="1">
        <f t="shared" ref="B1775" si="2494">B1766</f>
        <v>148</v>
      </c>
      <c r="C1775" s="1" t="s">
        <v>464</v>
      </c>
      <c r="D1775" s="1" t="s">
        <v>290</v>
      </c>
      <c r="E1775" s="26" t="e">
        <f t="shared" ref="E1775:F1775" si="2495">+E1774</f>
        <v>#REF!</v>
      </c>
      <c r="F1775" s="26" t="e">
        <f t="shared" si="2495"/>
        <v>#REF!</v>
      </c>
      <c r="G1775" s="17">
        <v>10</v>
      </c>
      <c r="H1775" s="17" t="s">
        <v>9</v>
      </c>
      <c r="I1775" s="30" t="s">
        <v>23</v>
      </c>
      <c r="J1775" s="22">
        <v>2.2000000000000002</v>
      </c>
      <c r="K1775" s="22">
        <f>0.55*2</f>
        <v>1.1000000000000001</v>
      </c>
      <c r="L1775" s="8">
        <f t="shared" si="2480"/>
        <v>1.1000000000000001</v>
      </c>
      <c r="M1775" s="24">
        <f t="shared" si="2486"/>
        <v>6.4896755162241929E-2</v>
      </c>
      <c r="N1775" s="14"/>
    </row>
    <row r="1776" spans="1:14" x14ac:dyDescent="0.25">
      <c r="A1776" s="20">
        <v>44588</v>
      </c>
      <c r="B1776" s="1">
        <f t="shared" ref="B1776" si="2496">B1766</f>
        <v>148</v>
      </c>
      <c r="C1776" s="1" t="s">
        <v>464</v>
      </c>
      <c r="D1776" s="1" t="s">
        <v>290</v>
      </c>
      <c r="E1776" s="26" t="e">
        <f t="shared" ref="E1776:F1776" si="2497">+E1775</f>
        <v>#REF!</v>
      </c>
      <c r="F1776" s="26" t="e">
        <f t="shared" si="2497"/>
        <v>#REF!</v>
      </c>
      <c r="G1776" s="17">
        <v>11</v>
      </c>
      <c r="H1776" s="17" t="s">
        <v>9</v>
      </c>
      <c r="I1776" s="30" t="s">
        <v>60</v>
      </c>
      <c r="J1776" s="22">
        <v>0.6</v>
      </c>
      <c r="K1776" s="22">
        <v>0.5</v>
      </c>
      <c r="L1776" s="8">
        <f t="shared" si="2480"/>
        <v>9.9999999999999978E-2</v>
      </c>
      <c r="M1776" s="24">
        <f t="shared" si="2486"/>
        <v>5.8997050147492642E-3</v>
      </c>
      <c r="N1776" s="14"/>
    </row>
    <row r="1777" spans="1:14" ht="15.75" thickBot="1" x14ac:dyDescent="0.3">
      <c r="A1777" s="20">
        <v>44588</v>
      </c>
      <c r="B1777" s="57">
        <f t="shared" ref="B1777" si="2498">B1766</f>
        <v>148</v>
      </c>
      <c r="C1777" s="1" t="s">
        <v>464</v>
      </c>
      <c r="D1777" s="57" t="s">
        <v>290</v>
      </c>
      <c r="E1777" s="26" t="e">
        <f t="shared" ref="E1777:F1777" si="2499">+E1776</f>
        <v>#REF!</v>
      </c>
      <c r="F1777" s="26" t="e">
        <f t="shared" si="2499"/>
        <v>#REF!</v>
      </c>
      <c r="G1777" s="18">
        <f>+G1776+1</f>
        <v>12</v>
      </c>
      <c r="H1777" s="18" t="s">
        <v>10</v>
      </c>
      <c r="I1777" s="46" t="s">
        <v>10</v>
      </c>
      <c r="J1777" s="22">
        <f>10+10.65</f>
        <v>20.65</v>
      </c>
      <c r="K1777" s="63">
        <f>8.3+8.3</f>
        <v>16.600000000000001</v>
      </c>
      <c r="L1777" s="8">
        <f t="shared" si="2480"/>
        <v>4.0499999999999972</v>
      </c>
      <c r="M1777" s="24">
        <f t="shared" si="2486"/>
        <v>0.23893805309734509</v>
      </c>
      <c r="N1777" s="14"/>
    </row>
    <row r="1778" spans="1:14" x14ac:dyDescent="0.25">
      <c r="A1778" s="19">
        <v>44588</v>
      </c>
      <c r="B1778" s="15">
        <f t="shared" ref="B1778" si="2500">B1766+1</f>
        <v>149</v>
      </c>
      <c r="C1778" s="15" t="s">
        <v>465</v>
      </c>
      <c r="D1778" s="15" t="s">
        <v>295</v>
      </c>
      <c r="E1778" s="25">
        <f>23.5-1.2</f>
        <v>22.3</v>
      </c>
      <c r="F1778" s="25">
        <f>+SUM(L1778:L1789)</f>
        <v>22.299999999999986</v>
      </c>
      <c r="G1778" s="16">
        <v>1</v>
      </c>
      <c r="H1778" s="16" t="s">
        <v>9</v>
      </c>
      <c r="I1778" s="59" t="s">
        <v>56</v>
      </c>
      <c r="J1778" s="21">
        <v>0.7</v>
      </c>
      <c r="K1778" s="21">
        <v>0.55000000000000004</v>
      </c>
      <c r="L1778" s="12">
        <f>+J1778-K1778</f>
        <v>0.14999999999999991</v>
      </c>
      <c r="M1778" s="23">
        <f t="shared" si="2486"/>
        <v>6.7264573991031393E-3</v>
      </c>
      <c r="N1778" s="13"/>
    </row>
    <row r="1779" spans="1:14" x14ac:dyDescent="0.25">
      <c r="A1779" s="20">
        <v>44588</v>
      </c>
      <c r="B1779" s="1">
        <f t="shared" ref="B1779" si="2501">B1778</f>
        <v>149</v>
      </c>
      <c r="C1779" s="1" t="s">
        <v>465</v>
      </c>
      <c r="D1779" s="1" t="s">
        <v>295</v>
      </c>
      <c r="E1779" s="26">
        <f>+E1778</f>
        <v>22.3</v>
      </c>
      <c r="F1779" s="28">
        <f>+(F1778-E1778)/E1778</f>
        <v>-6.3725805897766829E-16</v>
      </c>
      <c r="G1779" s="17">
        <v>2</v>
      </c>
      <c r="H1779" s="17" t="s">
        <v>9</v>
      </c>
      <c r="I1779" s="30" t="s">
        <v>57</v>
      </c>
      <c r="J1779" s="22">
        <v>11.05</v>
      </c>
      <c r="K1779" s="22">
        <v>8.5500000000000007</v>
      </c>
      <c r="L1779" s="8">
        <f t="shared" ref="L1779:L1789" si="2502">+J1779-K1779</f>
        <v>2.5</v>
      </c>
      <c r="M1779" s="24">
        <f t="shared" si="2486"/>
        <v>0.11210762331838572</v>
      </c>
      <c r="N1779" s="14"/>
    </row>
    <row r="1780" spans="1:14" x14ac:dyDescent="0.25">
      <c r="A1780" s="20">
        <v>44588</v>
      </c>
      <c r="B1780" s="1">
        <f t="shared" ref="B1780" si="2503">B1778</f>
        <v>149</v>
      </c>
      <c r="C1780" s="1" t="s">
        <v>465</v>
      </c>
      <c r="D1780" s="1" t="s">
        <v>295</v>
      </c>
      <c r="E1780" s="26" t="e">
        <f>+#REF!</f>
        <v>#REF!</v>
      </c>
      <c r="F1780" s="26" t="e">
        <f>+#REF!</f>
        <v>#REF!</v>
      </c>
      <c r="G1780" s="17">
        <v>3</v>
      </c>
      <c r="H1780" s="17" t="s">
        <v>9</v>
      </c>
      <c r="I1780" s="30" t="s">
        <v>58</v>
      </c>
      <c r="J1780" s="22">
        <f>11.7+12.25+11.9+11.4</f>
        <v>47.25</v>
      </c>
      <c r="K1780" s="22">
        <f>8.55+8.3+8.3+8.5</f>
        <v>33.650000000000006</v>
      </c>
      <c r="L1780" s="8">
        <f t="shared" si="2502"/>
        <v>13.599999999999994</v>
      </c>
      <c r="M1780" s="24">
        <f t="shared" si="2486"/>
        <v>0.60986547085201803</v>
      </c>
      <c r="N1780" s="14"/>
    </row>
    <row r="1781" spans="1:14" x14ac:dyDescent="0.25">
      <c r="A1781" s="20">
        <v>44588</v>
      </c>
      <c r="B1781" s="1">
        <f t="shared" ref="B1781" si="2504">B1778</f>
        <v>149</v>
      </c>
      <c r="C1781" s="1" t="s">
        <v>465</v>
      </c>
      <c r="D1781" s="1" t="s">
        <v>295</v>
      </c>
      <c r="E1781" s="26" t="e">
        <f t="shared" ref="E1781:F1781" si="2505">+E1780</f>
        <v>#REF!</v>
      </c>
      <c r="F1781" s="26" t="e">
        <f t="shared" si="2505"/>
        <v>#REF!</v>
      </c>
      <c r="G1781" s="17">
        <v>4</v>
      </c>
      <c r="H1781" s="17" t="s">
        <v>9</v>
      </c>
      <c r="I1781" s="30" t="s">
        <v>22</v>
      </c>
      <c r="J1781" s="22">
        <v>1.55</v>
      </c>
      <c r="K1781" s="22">
        <v>0.5</v>
      </c>
      <c r="L1781" s="8">
        <f t="shared" si="2502"/>
        <v>1.05</v>
      </c>
      <c r="M1781" s="24">
        <f t="shared" si="2486"/>
        <v>4.7085201793722005E-2</v>
      </c>
      <c r="N1781" s="14"/>
    </row>
    <row r="1782" spans="1:14" x14ac:dyDescent="0.25">
      <c r="A1782" s="20">
        <v>44588</v>
      </c>
      <c r="B1782" s="1">
        <f t="shared" ref="B1782" si="2506">B1778</f>
        <v>149</v>
      </c>
      <c r="C1782" s="1" t="s">
        <v>465</v>
      </c>
      <c r="D1782" s="1" t="s">
        <v>295</v>
      </c>
      <c r="E1782" s="26" t="e">
        <f t="shared" ref="E1782:F1782" si="2507">+E1781</f>
        <v>#REF!</v>
      </c>
      <c r="F1782" s="26" t="e">
        <f t="shared" si="2507"/>
        <v>#REF!</v>
      </c>
      <c r="G1782" s="17">
        <v>5</v>
      </c>
      <c r="H1782" s="17" t="s">
        <v>9</v>
      </c>
      <c r="I1782" s="30" t="s">
        <v>34</v>
      </c>
      <c r="J1782" s="22">
        <v>0.75</v>
      </c>
      <c r="K1782" s="63">
        <v>0.55000000000000004</v>
      </c>
      <c r="L1782" s="8">
        <f t="shared" si="2502"/>
        <v>0.19999999999999996</v>
      </c>
      <c r="M1782" s="24">
        <f t="shared" ref="M1782:M1845" si="2508">+L1782/SUMIF(C:C,C1782,L:L)</f>
        <v>8.9686098654708554E-3</v>
      </c>
      <c r="N1782" s="14"/>
    </row>
    <row r="1783" spans="1:14" x14ac:dyDescent="0.25">
      <c r="A1783" s="20">
        <v>44588</v>
      </c>
      <c r="B1783" s="1">
        <f t="shared" ref="B1783" si="2509">B1778</f>
        <v>149</v>
      </c>
      <c r="C1783" s="1" t="s">
        <v>465</v>
      </c>
      <c r="D1783" s="1" t="s">
        <v>295</v>
      </c>
      <c r="E1783" s="26" t="e">
        <f t="shared" ref="E1783:F1783" si="2510">+E1782</f>
        <v>#REF!</v>
      </c>
      <c r="F1783" s="26" t="e">
        <f t="shared" si="2510"/>
        <v>#REF!</v>
      </c>
      <c r="G1783" s="17">
        <v>6</v>
      </c>
      <c r="H1783" s="17" t="s">
        <v>9</v>
      </c>
      <c r="I1783" s="30" t="s">
        <v>35</v>
      </c>
      <c r="J1783" s="22"/>
      <c r="K1783" s="22"/>
      <c r="L1783" s="8">
        <f t="shared" si="2502"/>
        <v>0</v>
      </c>
      <c r="M1783" s="24">
        <f t="shared" si="2508"/>
        <v>0</v>
      </c>
      <c r="N1783" s="14"/>
    </row>
    <row r="1784" spans="1:14" x14ac:dyDescent="0.25">
      <c r="A1784" s="20">
        <v>44588</v>
      </c>
      <c r="B1784" s="1">
        <f t="shared" ref="B1784" si="2511">B1778</f>
        <v>149</v>
      </c>
      <c r="C1784" s="1" t="s">
        <v>465</v>
      </c>
      <c r="D1784" s="1" t="s">
        <v>295</v>
      </c>
      <c r="E1784" s="26" t="e">
        <f t="shared" ref="E1784:F1784" si="2512">+E1783</f>
        <v>#REF!</v>
      </c>
      <c r="F1784" s="26" t="e">
        <f t="shared" si="2512"/>
        <v>#REF!</v>
      </c>
      <c r="G1784" s="17">
        <v>7</v>
      </c>
      <c r="H1784" s="17" t="s">
        <v>9</v>
      </c>
      <c r="I1784" s="30" t="s">
        <v>36</v>
      </c>
      <c r="J1784" s="22"/>
      <c r="K1784" s="22"/>
      <c r="L1784" s="8">
        <f t="shared" si="2502"/>
        <v>0</v>
      </c>
      <c r="M1784" s="24">
        <f t="shared" si="2508"/>
        <v>0</v>
      </c>
      <c r="N1784" s="14"/>
    </row>
    <row r="1785" spans="1:14" x14ac:dyDescent="0.25">
      <c r="A1785" s="20">
        <v>44588</v>
      </c>
      <c r="B1785" s="1">
        <f t="shared" ref="B1785" si="2513">B1778</f>
        <v>149</v>
      </c>
      <c r="C1785" s="1" t="s">
        <v>465</v>
      </c>
      <c r="D1785" s="1" t="s">
        <v>295</v>
      </c>
      <c r="E1785" s="26" t="e">
        <f>+E1784</f>
        <v>#REF!</v>
      </c>
      <c r="F1785" s="26" t="e">
        <f>+F1784</f>
        <v>#REF!</v>
      </c>
      <c r="G1785" s="17">
        <v>8</v>
      </c>
      <c r="H1785" s="17" t="s">
        <v>9</v>
      </c>
      <c r="I1785" s="30" t="s">
        <v>59</v>
      </c>
      <c r="J1785" s="22">
        <v>1.05</v>
      </c>
      <c r="K1785" s="22">
        <v>0.5</v>
      </c>
      <c r="L1785" s="8">
        <f t="shared" si="2502"/>
        <v>0.55000000000000004</v>
      </c>
      <c r="M1785" s="24">
        <f t="shared" si="2508"/>
        <v>2.4663677130044859E-2</v>
      </c>
      <c r="N1785" s="14"/>
    </row>
    <row r="1786" spans="1:14" x14ac:dyDescent="0.25">
      <c r="A1786" s="20">
        <v>44588</v>
      </c>
      <c r="B1786" s="1">
        <f t="shared" ref="B1786" si="2514">B1778</f>
        <v>149</v>
      </c>
      <c r="C1786" s="1" t="s">
        <v>465</v>
      </c>
      <c r="D1786" s="1" t="s">
        <v>295</v>
      </c>
      <c r="E1786" s="26" t="e">
        <f t="shared" ref="E1786:F1786" si="2515">+E1785</f>
        <v>#REF!</v>
      </c>
      <c r="F1786" s="26" t="e">
        <f t="shared" si="2515"/>
        <v>#REF!</v>
      </c>
      <c r="G1786" s="17">
        <v>9</v>
      </c>
      <c r="H1786" s="17" t="s">
        <v>9</v>
      </c>
      <c r="I1786" s="30" t="s">
        <v>38</v>
      </c>
      <c r="J1786" s="22"/>
      <c r="K1786" s="22"/>
      <c r="L1786" s="8">
        <f t="shared" si="2502"/>
        <v>0</v>
      </c>
      <c r="M1786" s="24">
        <f t="shared" si="2508"/>
        <v>0</v>
      </c>
      <c r="N1786" s="14"/>
    </row>
    <row r="1787" spans="1:14" x14ac:dyDescent="0.25">
      <c r="A1787" s="20">
        <v>44588</v>
      </c>
      <c r="B1787" s="1">
        <f t="shared" ref="B1787" si="2516">B1778</f>
        <v>149</v>
      </c>
      <c r="C1787" s="1" t="s">
        <v>465</v>
      </c>
      <c r="D1787" s="1" t="s">
        <v>295</v>
      </c>
      <c r="E1787" s="26" t="e">
        <f t="shared" ref="E1787:F1787" si="2517">+E1786</f>
        <v>#REF!</v>
      </c>
      <c r="F1787" s="26" t="e">
        <f t="shared" si="2517"/>
        <v>#REF!</v>
      </c>
      <c r="G1787" s="17">
        <v>10</v>
      </c>
      <c r="H1787" s="17" t="s">
        <v>9</v>
      </c>
      <c r="I1787" s="30" t="s">
        <v>23</v>
      </c>
      <c r="J1787" s="22">
        <f>9.1+0.95</f>
        <v>10.049999999999999</v>
      </c>
      <c r="K1787" s="22">
        <f>8.5+0.55</f>
        <v>9.0500000000000007</v>
      </c>
      <c r="L1787" s="8">
        <f t="shared" si="2502"/>
        <v>0.99999999999999822</v>
      </c>
      <c r="M1787" s="24">
        <f t="shared" si="2508"/>
        <v>4.4843049327354209E-2</v>
      </c>
      <c r="N1787" s="14"/>
    </row>
    <row r="1788" spans="1:14" x14ac:dyDescent="0.25">
      <c r="A1788" s="20">
        <v>44588</v>
      </c>
      <c r="B1788" s="1">
        <f t="shared" ref="B1788" si="2518">B1778</f>
        <v>149</v>
      </c>
      <c r="C1788" s="1" t="s">
        <v>465</v>
      </c>
      <c r="D1788" s="1" t="s">
        <v>295</v>
      </c>
      <c r="E1788" s="26" t="e">
        <f t="shared" ref="E1788:F1788" si="2519">+E1787</f>
        <v>#REF!</v>
      </c>
      <c r="F1788" s="26" t="e">
        <f t="shared" si="2519"/>
        <v>#REF!</v>
      </c>
      <c r="G1788" s="17">
        <v>11</v>
      </c>
      <c r="H1788" s="17" t="s">
        <v>9</v>
      </c>
      <c r="I1788" s="30" t="s">
        <v>60</v>
      </c>
      <c r="J1788" s="22">
        <v>1</v>
      </c>
      <c r="K1788" s="22">
        <v>0.55000000000000004</v>
      </c>
      <c r="L1788" s="8">
        <f t="shared" si="2502"/>
        <v>0.44999999999999996</v>
      </c>
      <c r="M1788" s="24">
        <f t="shared" si="2508"/>
        <v>2.0179372197309427E-2</v>
      </c>
      <c r="N1788" s="14"/>
    </row>
    <row r="1789" spans="1:14" ht="15.75" thickBot="1" x14ac:dyDescent="0.3">
      <c r="A1789" s="20">
        <v>44588</v>
      </c>
      <c r="B1789" s="57">
        <f t="shared" ref="B1789" si="2520">B1778</f>
        <v>149</v>
      </c>
      <c r="C1789" s="1" t="s">
        <v>465</v>
      </c>
      <c r="D1789" s="57" t="s">
        <v>295</v>
      </c>
      <c r="E1789" s="26" t="e">
        <f t="shared" ref="E1789:F1789" si="2521">+E1788</f>
        <v>#REF!</v>
      </c>
      <c r="F1789" s="26" t="e">
        <f t="shared" si="2521"/>
        <v>#REF!</v>
      </c>
      <c r="G1789" s="18">
        <f>+G1788+1</f>
        <v>12</v>
      </c>
      <c r="H1789" s="18" t="s">
        <v>10</v>
      </c>
      <c r="I1789" s="46" t="s">
        <v>10</v>
      </c>
      <c r="J1789" s="22">
        <f>10.25+9.65</f>
        <v>19.899999999999999</v>
      </c>
      <c r="K1789" s="63">
        <f>8.55+8.55</f>
        <v>17.100000000000001</v>
      </c>
      <c r="L1789" s="8">
        <f t="shared" si="2502"/>
        <v>2.7999999999999972</v>
      </c>
      <c r="M1789" s="24">
        <f t="shared" si="2508"/>
        <v>0.12556053811659187</v>
      </c>
      <c r="N1789" s="14"/>
    </row>
    <row r="1790" spans="1:14" x14ac:dyDescent="0.25">
      <c r="A1790" s="19">
        <v>44588</v>
      </c>
      <c r="B1790" s="15">
        <f t="shared" ref="B1790" si="2522">B1778+1</f>
        <v>150</v>
      </c>
      <c r="C1790" s="15" t="s">
        <v>466</v>
      </c>
      <c r="D1790" s="15" t="s">
        <v>284</v>
      </c>
      <c r="E1790" s="25">
        <f>11.3-1.2</f>
        <v>10.100000000000001</v>
      </c>
      <c r="F1790" s="25">
        <f>+SUM(L1790:L1801)</f>
        <v>10.099999999999996</v>
      </c>
      <c r="G1790" s="16">
        <v>1</v>
      </c>
      <c r="H1790" s="16" t="s">
        <v>9</v>
      </c>
      <c r="I1790" s="59" t="s">
        <v>56</v>
      </c>
      <c r="J1790" s="21"/>
      <c r="K1790" s="21"/>
      <c r="L1790" s="12">
        <f>+J1790-K1790</f>
        <v>0</v>
      </c>
      <c r="M1790" s="23">
        <f t="shared" si="2508"/>
        <v>0</v>
      </c>
      <c r="N1790" s="13"/>
    </row>
    <row r="1791" spans="1:14" x14ac:dyDescent="0.25">
      <c r="A1791" s="20">
        <v>44588</v>
      </c>
      <c r="B1791" s="1">
        <f t="shared" ref="B1791" si="2523">B1790</f>
        <v>150</v>
      </c>
      <c r="C1791" s="1" t="s">
        <v>466</v>
      </c>
      <c r="D1791" s="1" t="s">
        <v>284</v>
      </c>
      <c r="E1791" s="26">
        <f>+E1790</f>
        <v>10.100000000000001</v>
      </c>
      <c r="F1791" s="28">
        <f>+(F1790-E1790)/E1790</f>
        <v>-5.276307443763119E-16</v>
      </c>
      <c r="G1791" s="17">
        <v>2</v>
      </c>
      <c r="H1791" s="17" t="s">
        <v>9</v>
      </c>
      <c r="I1791" s="30" t="s">
        <v>57</v>
      </c>
      <c r="J1791" s="22">
        <v>0.95</v>
      </c>
      <c r="K1791" s="22">
        <v>0.55000000000000004</v>
      </c>
      <c r="L1791" s="8">
        <f t="shared" ref="L1791:L1801" si="2524">+J1791-K1791</f>
        <v>0.39999999999999991</v>
      </c>
      <c r="M1791" s="24">
        <f t="shared" si="2508"/>
        <v>3.9603960396039611E-2</v>
      </c>
      <c r="N1791" s="14"/>
    </row>
    <row r="1792" spans="1:14" x14ac:dyDescent="0.25">
      <c r="A1792" s="20">
        <v>44588</v>
      </c>
      <c r="B1792" s="1">
        <f t="shared" ref="B1792" si="2525">B1790</f>
        <v>150</v>
      </c>
      <c r="C1792" s="1" t="s">
        <v>466</v>
      </c>
      <c r="D1792" s="1" t="s">
        <v>284</v>
      </c>
      <c r="E1792" s="26" t="e">
        <f>+#REF!</f>
        <v>#REF!</v>
      </c>
      <c r="F1792" s="26" t="e">
        <f>+#REF!</f>
        <v>#REF!</v>
      </c>
      <c r="G1792" s="17">
        <v>3</v>
      </c>
      <c r="H1792" s="17" t="s">
        <v>9</v>
      </c>
      <c r="I1792" s="30" t="s">
        <v>58</v>
      </c>
      <c r="J1792" s="22">
        <f>0.65+1</f>
        <v>1.65</v>
      </c>
      <c r="K1792" s="22">
        <f>0.5+0.55</f>
        <v>1.05</v>
      </c>
      <c r="L1792" s="8">
        <f t="shared" si="2524"/>
        <v>0.59999999999999987</v>
      </c>
      <c r="M1792" s="24">
        <f t="shared" si="2508"/>
        <v>5.9405940594059417E-2</v>
      </c>
      <c r="N1792" s="14"/>
    </row>
    <row r="1793" spans="1:14" x14ac:dyDescent="0.25">
      <c r="A1793" s="20">
        <v>44588</v>
      </c>
      <c r="B1793" s="1">
        <f t="shared" ref="B1793" si="2526">B1790</f>
        <v>150</v>
      </c>
      <c r="C1793" s="1" t="s">
        <v>466</v>
      </c>
      <c r="D1793" s="1" t="s">
        <v>284</v>
      </c>
      <c r="E1793" s="26" t="e">
        <f t="shared" ref="E1793:F1793" si="2527">+E1792</f>
        <v>#REF!</v>
      </c>
      <c r="F1793" s="26" t="e">
        <f t="shared" si="2527"/>
        <v>#REF!</v>
      </c>
      <c r="G1793" s="17">
        <v>4</v>
      </c>
      <c r="H1793" s="17" t="s">
        <v>9</v>
      </c>
      <c r="I1793" s="30" t="s">
        <v>22</v>
      </c>
      <c r="J1793" s="22">
        <f>10.15+13.5</f>
        <v>23.65</v>
      </c>
      <c r="K1793" s="22">
        <f>8.3+8.55</f>
        <v>16.850000000000001</v>
      </c>
      <c r="L1793" s="8">
        <f t="shared" si="2524"/>
        <v>6.7999999999999972</v>
      </c>
      <c r="M1793" s="24">
        <f t="shared" si="2508"/>
        <v>0.6732673267326732</v>
      </c>
      <c r="N1793" s="14"/>
    </row>
    <row r="1794" spans="1:14" x14ac:dyDescent="0.25">
      <c r="A1794" s="20">
        <v>44588</v>
      </c>
      <c r="B1794" s="1">
        <f t="shared" ref="B1794" si="2528">B1790</f>
        <v>150</v>
      </c>
      <c r="C1794" s="1" t="s">
        <v>466</v>
      </c>
      <c r="D1794" s="1" t="s">
        <v>284</v>
      </c>
      <c r="E1794" s="26" t="e">
        <f t="shared" ref="E1794:F1794" si="2529">+E1793</f>
        <v>#REF!</v>
      </c>
      <c r="F1794" s="26" t="e">
        <f t="shared" si="2529"/>
        <v>#REF!</v>
      </c>
      <c r="G1794" s="17">
        <v>5</v>
      </c>
      <c r="H1794" s="17" t="s">
        <v>9</v>
      </c>
      <c r="I1794" s="30" t="s">
        <v>34</v>
      </c>
      <c r="J1794" s="22"/>
      <c r="K1794" s="63"/>
      <c r="L1794" s="8">
        <f t="shared" si="2524"/>
        <v>0</v>
      </c>
      <c r="M1794" s="24">
        <f t="shared" si="2508"/>
        <v>0</v>
      </c>
      <c r="N1794" s="14"/>
    </row>
    <row r="1795" spans="1:14" x14ac:dyDescent="0.25">
      <c r="A1795" s="20">
        <v>44588</v>
      </c>
      <c r="B1795" s="1">
        <f t="shared" ref="B1795" si="2530">B1790</f>
        <v>150</v>
      </c>
      <c r="C1795" s="1" t="s">
        <v>466</v>
      </c>
      <c r="D1795" s="1" t="s">
        <v>284</v>
      </c>
      <c r="E1795" s="26" t="e">
        <f t="shared" ref="E1795:F1795" si="2531">+E1794</f>
        <v>#REF!</v>
      </c>
      <c r="F1795" s="26" t="e">
        <f t="shared" si="2531"/>
        <v>#REF!</v>
      </c>
      <c r="G1795" s="17">
        <v>6</v>
      </c>
      <c r="H1795" s="17" t="s">
        <v>9</v>
      </c>
      <c r="I1795" s="30" t="s">
        <v>35</v>
      </c>
      <c r="J1795" s="22"/>
      <c r="K1795" s="22"/>
      <c r="L1795" s="8">
        <f t="shared" si="2524"/>
        <v>0</v>
      </c>
      <c r="M1795" s="24">
        <f t="shared" si="2508"/>
        <v>0</v>
      </c>
      <c r="N1795" s="14"/>
    </row>
    <row r="1796" spans="1:14" x14ac:dyDescent="0.25">
      <c r="A1796" s="20">
        <v>44588</v>
      </c>
      <c r="B1796" s="1">
        <f t="shared" ref="B1796" si="2532">B1790</f>
        <v>150</v>
      </c>
      <c r="C1796" s="1" t="s">
        <v>466</v>
      </c>
      <c r="D1796" s="1" t="s">
        <v>284</v>
      </c>
      <c r="E1796" s="26" t="e">
        <f t="shared" ref="E1796:F1796" si="2533">+E1795</f>
        <v>#REF!</v>
      </c>
      <c r="F1796" s="26" t="e">
        <f t="shared" si="2533"/>
        <v>#REF!</v>
      </c>
      <c r="G1796" s="17">
        <v>7</v>
      </c>
      <c r="H1796" s="17" t="s">
        <v>9</v>
      </c>
      <c r="I1796" s="30" t="s">
        <v>36</v>
      </c>
      <c r="J1796" s="22"/>
      <c r="K1796" s="22"/>
      <c r="L1796" s="8">
        <f t="shared" si="2524"/>
        <v>0</v>
      </c>
      <c r="M1796" s="24">
        <f t="shared" si="2508"/>
        <v>0</v>
      </c>
      <c r="N1796" s="14"/>
    </row>
    <row r="1797" spans="1:14" x14ac:dyDescent="0.25">
      <c r="A1797" s="20">
        <v>44588</v>
      </c>
      <c r="B1797" s="1">
        <f t="shared" ref="B1797" si="2534">B1790</f>
        <v>150</v>
      </c>
      <c r="C1797" s="1" t="s">
        <v>466</v>
      </c>
      <c r="D1797" s="1" t="s">
        <v>284</v>
      </c>
      <c r="E1797" s="26" t="e">
        <f>+E1796</f>
        <v>#REF!</v>
      </c>
      <c r="F1797" s="26" t="e">
        <f>+F1796</f>
        <v>#REF!</v>
      </c>
      <c r="G1797" s="17">
        <v>8</v>
      </c>
      <c r="H1797" s="17" t="s">
        <v>9</v>
      </c>
      <c r="I1797" s="30" t="s">
        <v>59</v>
      </c>
      <c r="J1797" s="22">
        <v>0.8</v>
      </c>
      <c r="K1797" s="22">
        <v>0.55000000000000004</v>
      </c>
      <c r="L1797" s="8">
        <f t="shared" si="2524"/>
        <v>0.25</v>
      </c>
      <c r="M1797" s="24">
        <f t="shared" si="2508"/>
        <v>2.4752475247524761E-2</v>
      </c>
      <c r="N1797" s="14"/>
    </row>
    <row r="1798" spans="1:14" x14ac:dyDescent="0.25">
      <c r="A1798" s="20">
        <v>44588</v>
      </c>
      <c r="B1798" s="1">
        <f t="shared" ref="B1798" si="2535">B1790</f>
        <v>150</v>
      </c>
      <c r="C1798" s="1" t="s">
        <v>466</v>
      </c>
      <c r="D1798" s="1" t="s">
        <v>284</v>
      </c>
      <c r="E1798" s="26" t="e">
        <f t="shared" ref="E1798:F1798" si="2536">+E1797</f>
        <v>#REF!</v>
      </c>
      <c r="F1798" s="26" t="e">
        <f t="shared" si="2536"/>
        <v>#REF!</v>
      </c>
      <c r="G1798" s="17">
        <v>9</v>
      </c>
      <c r="H1798" s="17" t="s">
        <v>9</v>
      </c>
      <c r="I1798" s="30" t="s">
        <v>38</v>
      </c>
      <c r="J1798" s="22"/>
      <c r="K1798" s="22"/>
      <c r="L1798" s="8">
        <f t="shared" si="2524"/>
        <v>0</v>
      </c>
      <c r="M1798" s="24">
        <f t="shared" si="2508"/>
        <v>0</v>
      </c>
      <c r="N1798" s="14"/>
    </row>
    <row r="1799" spans="1:14" x14ac:dyDescent="0.25">
      <c r="A1799" s="20">
        <v>44588</v>
      </c>
      <c r="B1799" s="1">
        <f t="shared" ref="B1799" si="2537">B1790</f>
        <v>150</v>
      </c>
      <c r="C1799" s="1" t="s">
        <v>466</v>
      </c>
      <c r="D1799" s="1" t="s">
        <v>284</v>
      </c>
      <c r="E1799" s="26" t="e">
        <f t="shared" ref="E1799:F1799" si="2538">+E1798</f>
        <v>#REF!</v>
      </c>
      <c r="F1799" s="26" t="e">
        <f t="shared" si="2538"/>
        <v>#REF!</v>
      </c>
      <c r="G1799" s="17">
        <v>10</v>
      </c>
      <c r="H1799" s="17" t="s">
        <v>9</v>
      </c>
      <c r="I1799" s="30" t="s">
        <v>23</v>
      </c>
      <c r="J1799" s="22">
        <v>1.2</v>
      </c>
      <c r="K1799" s="22">
        <v>0.5</v>
      </c>
      <c r="L1799" s="8">
        <f t="shared" si="2524"/>
        <v>0.7</v>
      </c>
      <c r="M1799" s="24">
        <f t="shared" si="2508"/>
        <v>6.9306930693069327E-2</v>
      </c>
      <c r="N1799" s="14"/>
    </row>
    <row r="1800" spans="1:14" x14ac:dyDescent="0.25">
      <c r="A1800" s="20">
        <v>44588</v>
      </c>
      <c r="B1800" s="1">
        <f t="shared" ref="B1800" si="2539">B1790</f>
        <v>150</v>
      </c>
      <c r="C1800" s="1" t="s">
        <v>466</v>
      </c>
      <c r="D1800" s="1" t="s">
        <v>284</v>
      </c>
      <c r="E1800" s="26" t="e">
        <f t="shared" ref="E1800:F1800" si="2540">+E1799</f>
        <v>#REF!</v>
      </c>
      <c r="F1800" s="26" t="e">
        <f t="shared" si="2540"/>
        <v>#REF!</v>
      </c>
      <c r="G1800" s="17">
        <v>11</v>
      </c>
      <c r="H1800" s="17" t="s">
        <v>9</v>
      </c>
      <c r="I1800" s="30" t="s">
        <v>60</v>
      </c>
      <c r="J1800" s="22">
        <v>0.8</v>
      </c>
      <c r="K1800" s="22">
        <v>0.55000000000000004</v>
      </c>
      <c r="L1800" s="8">
        <f t="shared" si="2524"/>
        <v>0.25</v>
      </c>
      <c r="M1800" s="24">
        <f t="shared" si="2508"/>
        <v>2.4752475247524761E-2</v>
      </c>
      <c r="N1800" s="14"/>
    </row>
    <row r="1801" spans="1:14" ht="15.75" thickBot="1" x14ac:dyDescent="0.3">
      <c r="A1801" s="20">
        <v>44588</v>
      </c>
      <c r="B1801" s="57">
        <f t="shared" ref="B1801" si="2541">B1790</f>
        <v>150</v>
      </c>
      <c r="C1801" s="1" t="s">
        <v>466</v>
      </c>
      <c r="D1801" s="57" t="s">
        <v>284</v>
      </c>
      <c r="E1801" s="26" t="e">
        <f t="shared" ref="E1801:F1801" si="2542">+E1800</f>
        <v>#REF!</v>
      </c>
      <c r="F1801" s="26" t="e">
        <f t="shared" si="2542"/>
        <v>#REF!</v>
      </c>
      <c r="G1801" s="18">
        <f>+G1800+1</f>
        <v>12</v>
      </c>
      <c r="H1801" s="18" t="s">
        <v>10</v>
      </c>
      <c r="I1801" s="46" t="s">
        <v>10</v>
      </c>
      <c r="J1801" s="22">
        <v>9.65</v>
      </c>
      <c r="K1801" s="63">
        <v>8.5500000000000007</v>
      </c>
      <c r="L1801" s="8">
        <f t="shared" si="2524"/>
        <v>1.0999999999999996</v>
      </c>
      <c r="M1801" s="24">
        <f t="shared" si="2508"/>
        <v>0.10891089108910892</v>
      </c>
      <c r="N1801" s="14"/>
    </row>
    <row r="1802" spans="1:14" x14ac:dyDescent="0.25">
      <c r="A1802" s="19">
        <v>44588</v>
      </c>
      <c r="B1802" s="15">
        <f t="shared" ref="B1802" si="2543">B1790+1</f>
        <v>151</v>
      </c>
      <c r="C1802" s="15" t="s">
        <v>467</v>
      </c>
      <c r="D1802" s="15" t="s">
        <v>271</v>
      </c>
      <c r="E1802" s="25">
        <f>9.8-1.2</f>
        <v>8.6000000000000014</v>
      </c>
      <c r="F1802" s="25">
        <f>+SUM(L1802:L1813)</f>
        <v>8.2999999999999954</v>
      </c>
      <c r="G1802" s="16">
        <v>1</v>
      </c>
      <c r="H1802" s="16" t="s">
        <v>9</v>
      </c>
      <c r="I1802" s="59" t="s">
        <v>56</v>
      </c>
      <c r="J1802" s="21">
        <v>1.2</v>
      </c>
      <c r="K1802" s="21">
        <v>0.55000000000000004</v>
      </c>
      <c r="L1802" s="12">
        <f>+J1802-K1802</f>
        <v>0.64999999999999991</v>
      </c>
      <c r="M1802" s="23">
        <f t="shared" si="2508"/>
        <v>7.8313253012048223E-2</v>
      </c>
      <c r="N1802" s="13"/>
    </row>
    <row r="1803" spans="1:14" x14ac:dyDescent="0.25">
      <c r="A1803" s="20">
        <v>44588</v>
      </c>
      <c r="B1803" s="1">
        <f t="shared" ref="B1803" si="2544">B1802</f>
        <v>151</v>
      </c>
      <c r="C1803" s="1" t="s">
        <v>467</v>
      </c>
      <c r="D1803" s="1" t="s">
        <v>271</v>
      </c>
      <c r="E1803" s="26">
        <f>+E1802</f>
        <v>8.6000000000000014</v>
      </c>
      <c r="F1803" s="28">
        <f>+(F1802-E1802)/E1802</f>
        <v>-3.4883720930233252E-2</v>
      </c>
      <c r="G1803" s="17">
        <v>2</v>
      </c>
      <c r="H1803" s="17" t="s">
        <v>9</v>
      </c>
      <c r="I1803" s="30" t="s">
        <v>57</v>
      </c>
      <c r="J1803" s="22">
        <v>10.050000000000001</v>
      </c>
      <c r="K1803" s="22">
        <v>8.5500000000000007</v>
      </c>
      <c r="L1803" s="8">
        <f t="shared" ref="L1803:L1813" si="2545">+J1803-K1803</f>
        <v>1.5</v>
      </c>
      <c r="M1803" s="24">
        <f t="shared" si="2508"/>
        <v>0.18072289156626517</v>
      </c>
      <c r="N1803" s="14"/>
    </row>
    <row r="1804" spans="1:14" x14ac:dyDescent="0.25">
      <c r="A1804" s="20">
        <v>44588</v>
      </c>
      <c r="B1804" s="1">
        <f t="shared" ref="B1804" si="2546">B1802</f>
        <v>151</v>
      </c>
      <c r="C1804" s="1" t="s">
        <v>467</v>
      </c>
      <c r="D1804" s="1" t="s">
        <v>271</v>
      </c>
      <c r="E1804" s="26" t="e">
        <f>+#REF!</f>
        <v>#REF!</v>
      </c>
      <c r="F1804" s="26" t="e">
        <f>+#REF!</f>
        <v>#REF!</v>
      </c>
      <c r="G1804" s="17">
        <v>3</v>
      </c>
      <c r="H1804" s="17" t="s">
        <v>9</v>
      </c>
      <c r="I1804" s="30" t="s">
        <v>58</v>
      </c>
      <c r="J1804" s="22">
        <v>10.95</v>
      </c>
      <c r="K1804" s="22">
        <v>8.3000000000000007</v>
      </c>
      <c r="L1804" s="8">
        <f t="shared" si="2545"/>
        <v>2.6499999999999986</v>
      </c>
      <c r="M1804" s="24">
        <f t="shared" si="2508"/>
        <v>0.31927710843373497</v>
      </c>
      <c r="N1804" s="14"/>
    </row>
    <row r="1805" spans="1:14" x14ac:dyDescent="0.25">
      <c r="A1805" s="20">
        <v>44588</v>
      </c>
      <c r="B1805" s="1">
        <f t="shared" ref="B1805" si="2547">B1802</f>
        <v>151</v>
      </c>
      <c r="C1805" s="1" t="s">
        <v>467</v>
      </c>
      <c r="D1805" s="1" t="s">
        <v>271</v>
      </c>
      <c r="E1805" s="26" t="e">
        <f t="shared" ref="E1805:F1805" si="2548">+E1804</f>
        <v>#REF!</v>
      </c>
      <c r="F1805" s="26" t="e">
        <f t="shared" si="2548"/>
        <v>#REF!</v>
      </c>
      <c r="G1805" s="17">
        <v>4</v>
      </c>
      <c r="H1805" s="17" t="s">
        <v>9</v>
      </c>
      <c r="I1805" s="30" t="s">
        <v>22</v>
      </c>
      <c r="J1805" s="22">
        <v>0.9</v>
      </c>
      <c r="K1805" s="22">
        <v>0.55000000000000004</v>
      </c>
      <c r="L1805" s="8">
        <f t="shared" si="2545"/>
        <v>0.35</v>
      </c>
      <c r="M1805" s="24">
        <f t="shared" si="2508"/>
        <v>4.2168674698795199E-2</v>
      </c>
      <c r="N1805" s="14"/>
    </row>
    <row r="1806" spans="1:14" x14ac:dyDescent="0.25">
      <c r="A1806" s="20">
        <v>44588</v>
      </c>
      <c r="B1806" s="1">
        <f t="shared" ref="B1806" si="2549">B1802</f>
        <v>151</v>
      </c>
      <c r="C1806" s="1" t="s">
        <v>467</v>
      </c>
      <c r="D1806" s="1" t="s">
        <v>271</v>
      </c>
      <c r="E1806" s="26" t="e">
        <f t="shared" ref="E1806:F1806" si="2550">+E1805</f>
        <v>#REF!</v>
      </c>
      <c r="F1806" s="26" t="e">
        <f t="shared" si="2550"/>
        <v>#REF!</v>
      </c>
      <c r="G1806" s="17">
        <v>5</v>
      </c>
      <c r="H1806" s="17" t="s">
        <v>9</v>
      </c>
      <c r="I1806" s="30" t="s">
        <v>34</v>
      </c>
      <c r="J1806" s="22">
        <v>0.55000000000000004</v>
      </c>
      <c r="K1806" s="63">
        <v>0.5</v>
      </c>
      <c r="L1806" s="8">
        <f t="shared" si="2545"/>
        <v>5.0000000000000044E-2</v>
      </c>
      <c r="M1806" s="24">
        <f t="shared" si="2508"/>
        <v>6.0240963855421777E-3</v>
      </c>
      <c r="N1806" s="14"/>
    </row>
    <row r="1807" spans="1:14" x14ac:dyDescent="0.25">
      <c r="A1807" s="20">
        <v>44588</v>
      </c>
      <c r="B1807" s="1">
        <f t="shared" ref="B1807" si="2551">B1802</f>
        <v>151</v>
      </c>
      <c r="C1807" s="1" t="s">
        <v>467</v>
      </c>
      <c r="D1807" s="1" t="s">
        <v>271</v>
      </c>
      <c r="E1807" s="26" t="e">
        <f t="shared" ref="E1807:F1807" si="2552">+E1806</f>
        <v>#REF!</v>
      </c>
      <c r="F1807" s="26" t="e">
        <f t="shared" si="2552"/>
        <v>#REF!</v>
      </c>
      <c r="G1807" s="17">
        <v>6</v>
      </c>
      <c r="H1807" s="17" t="s">
        <v>9</v>
      </c>
      <c r="I1807" s="30" t="s">
        <v>35</v>
      </c>
      <c r="J1807" s="22"/>
      <c r="K1807" s="22"/>
      <c r="L1807" s="8">
        <f t="shared" si="2545"/>
        <v>0</v>
      </c>
      <c r="M1807" s="24">
        <f t="shared" si="2508"/>
        <v>0</v>
      </c>
      <c r="N1807" s="14"/>
    </row>
    <row r="1808" spans="1:14" x14ac:dyDescent="0.25">
      <c r="A1808" s="20">
        <v>44588</v>
      </c>
      <c r="B1808" s="1">
        <f t="shared" ref="B1808" si="2553">B1802</f>
        <v>151</v>
      </c>
      <c r="C1808" s="1" t="s">
        <v>467</v>
      </c>
      <c r="D1808" s="1" t="s">
        <v>271</v>
      </c>
      <c r="E1808" s="26" t="e">
        <f t="shared" ref="E1808:F1808" si="2554">+E1807</f>
        <v>#REF!</v>
      </c>
      <c r="F1808" s="26" t="e">
        <f t="shared" si="2554"/>
        <v>#REF!</v>
      </c>
      <c r="G1808" s="17">
        <v>7</v>
      </c>
      <c r="H1808" s="17" t="s">
        <v>9</v>
      </c>
      <c r="I1808" s="30" t="s">
        <v>36</v>
      </c>
      <c r="J1808" s="22"/>
      <c r="K1808" s="22"/>
      <c r="L1808" s="8">
        <f t="shared" si="2545"/>
        <v>0</v>
      </c>
      <c r="M1808" s="24">
        <f t="shared" si="2508"/>
        <v>0</v>
      </c>
      <c r="N1808" s="14"/>
    </row>
    <row r="1809" spans="1:14" x14ac:dyDescent="0.25">
      <c r="A1809" s="20">
        <v>44588</v>
      </c>
      <c r="B1809" s="1">
        <f t="shared" ref="B1809" si="2555">B1802</f>
        <v>151</v>
      </c>
      <c r="C1809" s="1" t="s">
        <v>467</v>
      </c>
      <c r="D1809" s="1" t="s">
        <v>271</v>
      </c>
      <c r="E1809" s="26" t="e">
        <f>+E1808</f>
        <v>#REF!</v>
      </c>
      <c r="F1809" s="26" t="e">
        <f>+F1808</f>
        <v>#REF!</v>
      </c>
      <c r="G1809" s="17">
        <v>8</v>
      </c>
      <c r="H1809" s="17" t="s">
        <v>9</v>
      </c>
      <c r="I1809" s="30" t="s">
        <v>59</v>
      </c>
      <c r="J1809" s="22"/>
      <c r="K1809" s="22"/>
      <c r="L1809" s="8">
        <f t="shared" si="2545"/>
        <v>0</v>
      </c>
      <c r="M1809" s="24">
        <f t="shared" si="2508"/>
        <v>0</v>
      </c>
      <c r="N1809" s="14"/>
    </row>
    <row r="1810" spans="1:14" x14ac:dyDescent="0.25">
      <c r="A1810" s="20">
        <v>44588</v>
      </c>
      <c r="B1810" s="1">
        <f t="shared" ref="B1810" si="2556">B1802</f>
        <v>151</v>
      </c>
      <c r="C1810" s="1" t="s">
        <v>467</v>
      </c>
      <c r="D1810" s="1" t="s">
        <v>271</v>
      </c>
      <c r="E1810" s="26" t="e">
        <f t="shared" ref="E1810:F1810" si="2557">+E1809</f>
        <v>#REF!</v>
      </c>
      <c r="F1810" s="26" t="e">
        <f t="shared" si="2557"/>
        <v>#REF!</v>
      </c>
      <c r="G1810" s="17">
        <v>9</v>
      </c>
      <c r="H1810" s="17" t="s">
        <v>9</v>
      </c>
      <c r="I1810" s="30" t="s">
        <v>38</v>
      </c>
      <c r="J1810" s="22"/>
      <c r="K1810" s="22"/>
      <c r="L1810" s="8">
        <f t="shared" si="2545"/>
        <v>0</v>
      </c>
      <c r="M1810" s="24">
        <f t="shared" si="2508"/>
        <v>0</v>
      </c>
      <c r="N1810" s="14"/>
    </row>
    <row r="1811" spans="1:14" x14ac:dyDescent="0.25">
      <c r="A1811" s="20">
        <v>44588</v>
      </c>
      <c r="B1811" s="1">
        <f t="shared" ref="B1811" si="2558">B1802</f>
        <v>151</v>
      </c>
      <c r="C1811" s="1" t="s">
        <v>467</v>
      </c>
      <c r="D1811" s="1" t="s">
        <v>271</v>
      </c>
      <c r="E1811" s="26" t="e">
        <f t="shared" ref="E1811:F1811" si="2559">+E1810</f>
        <v>#REF!</v>
      </c>
      <c r="F1811" s="26" t="e">
        <f t="shared" si="2559"/>
        <v>#REF!</v>
      </c>
      <c r="G1811" s="17">
        <v>10</v>
      </c>
      <c r="H1811" s="17" t="s">
        <v>9</v>
      </c>
      <c r="I1811" s="30" t="s">
        <v>23</v>
      </c>
      <c r="J1811" s="22">
        <v>1</v>
      </c>
      <c r="K1811" s="22">
        <v>0.55000000000000004</v>
      </c>
      <c r="L1811" s="8">
        <f t="shared" si="2545"/>
        <v>0.44999999999999996</v>
      </c>
      <c r="M1811" s="24">
        <f t="shared" si="2508"/>
        <v>5.421686746987954E-2</v>
      </c>
      <c r="N1811" s="14"/>
    </row>
    <row r="1812" spans="1:14" x14ac:dyDescent="0.25">
      <c r="A1812" s="20">
        <v>44588</v>
      </c>
      <c r="B1812" s="1">
        <f t="shared" ref="B1812" si="2560">B1802</f>
        <v>151</v>
      </c>
      <c r="C1812" s="1" t="s">
        <v>467</v>
      </c>
      <c r="D1812" s="1" t="s">
        <v>271</v>
      </c>
      <c r="E1812" s="26" t="e">
        <f t="shared" ref="E1812:F1812" si="2561">+E1811</f>
        <v>#REF!</v>
      </c>
      <c r="F1812" s="26" t="e">
        <f t="shared" si="2561"/>
        <v>#REF!</v>
      </c>
      <c r="G1812" s="17">
        <v>11</v>
      </c>
      <c r="H1812" s="17" t="s">
        <v>9</v>
      </c>
      <c r="I1812" s="30" t="s">
        <v>60</v>
      </c>
      <c r="J1812" s="22">
        <v>9.1</v>
      </c>
      <c r="K1812" s="22">
        <v>8.5500000000000007</v>
      </c>
      <c r="L1812" s="8">
        <f t="shared" si="2545"/>
        <v>0.54999999999999893</v>
      </c>
      <c r="M1812" s="24">
        <f t="shared" si="2508"/>
        <v>6.6265060240963763E-2</v>
      </c>
      <c r="N1812" s="14"/>
    </row>
    <row r="1813" spans="1:14" ht="15.75" thickBot="1" x14ac:dyDescent="0.3">
      <c r="A1813" s="20">
        <v>44588</v>
      </c>
      <c r="B1813" s="57">
        <f t="shared" ref="B1813" si="2562">B1802</f>
        <v>151</v>
      </c>
      <c r="C1813" s="1" t="s">
        <v>467</v>
      </c>
      <c r="D1813" s="57" t="s">
        <v>271</v>
      </c>
      <c r="E1813" s="26" t="e">
        <f t="shared" ref="E1813:F1813" si="2563">+E1812</f>
        <v>#REF!</v>
      </c>
      <c r="F1813" s="26" t="e">
        <f t="shared" si="2563"/>
        <v>#REF!</v>
      </c>
      <c r="G1813" s="18">
        <f>+G1812+1</f>
        <v>12</v>
      </c>
      <c r="H1813" s="18" t="s">
        <v>10</v>
      </c>
      <c r="I1813" s="46" t="s">
        <v>10</v>
      </c>
      <c r="J1813" s="22">
        <f>9.7+9.5</f>
        <v>19.2</v>
      </c>
      <c r="K1813" s="63">
        <f>8.55+8.55</f>
        <v>17.100000000000001</v>
      </c>
      <c r="L1813" s="8">
        <f t="shared" si="2545"/>
        <v>2.0999999999999979</v>
      </c>
      <c r="M1813" s="24">
        <f t="shared" si="2508"/>
        <v>0.25301204819277096</v>
      </c>
      <c r="N1813" s="14"/>
    </row>
    <row r="1814" spans="1:14" x14ac:dyDescent="0.25">
      <c r="A1814" s="19">
        <v>44588</v>
      </c>
      <c r="B1814" s="15">
        <f t="shared" ref="B1814" si="2564">B1802+1</f>
        <v>152</v>
      </c>
      <c r="C1814" s="15" t="s">
        <v>468</v>
      </c>
      <c r="D1814" s="15" t="s">
        <v>276</v>
      </c>
      <c r="E1814" s="25">
        <f>16.4-1.2</f>
        <v>15.2</v>
      </c>
      <c r="F1814" s="25">
        <f>+SUM(L1814:L1825)</f>
        <v>15.049999999999997</v>
      </c>
      <c r="G1814" s="16">
        <v>1</v>
      </c>
      <c r="H1814" s="16" t="s">
        <v>9</v>
      </c>
      <c r="I1814" s="59" t="s">
        <v>56</v>
      </c>
      <c r="J1814" s="21">
        <v>1.1499999999999999</v>
      </c>
      <c r="K1814" s="21">
        <v>0.5</v>
      </c>
      <c r="L1814" s="12">
        <f>+J1814-K1814</f>
        <v>0.64999999999999991</v>
      </c>
      <c r="M1814" s="23">
        <f t="shared" si="2508"/>
        <v>4.3189368770764125E-2</v>
      </c>
      <c r="N1814" s="13"/>
    </row>
    <row r="1815" spans="1:14" x14ac:dyDescent="0.25">
      <c r="A1815" s="20">
        <v>44588</v>
      </c>
      <c r="B1815" s="1">
        <f t="shared" ref="B1815" si="2565">B1814</f>
        <v>152</v>
      </c>
      <c r="C1815" s="1" t="s">
        <v>468</v>
      </c>
      <c r="D1815" s="1" t="s">
        <v>276</v>
      </c>
      <c r="E1815" s="26">
        <f>+E1814</f>
        <v>15.2</v>
      </c>
      <c r="F1815" s="28">
        <f>+(F1814-E1814)/E1814</f>
        <v>-9.8684210526317189E-3</v>
      </c>
      <c r="G1815" s="17">
        <v>2</v>
      </c>
      <c r="H1815" s="17" t="s">
        <v>9</v>
      </c>
      <c r="I1815" s="30" t="s">
        <v>57</v>
      </c>
      <c r="J1815" s="22">
        <v>9.8000000000000007</v>
      </c>
      <c r="K1815" s="22">
        <v>8.5500000000000007</v>
      </c>
      <c r="L1815" s="8">
        <f t="shared" ref="L1815:L1825" si="2566">+J1815-K1815</f>
        <v>1.25</v>
      </c>
      <c r="M1815" s="24">
        <f t="shared" si="2508"/>
        <v>8.3056478405315631E-2</v>
      </c>
      <c r="N1815" s="14"/>
    </row>
    <row r="1816" spans="1:14" x14ac:dyDescent="0.25">
      <c r="A1816" s="20">
        <v>44588</v>
      </c>
      <c r="B1816" s="1">
        <f t="shared" ref="B1816" si="2567">B1814</f>
        <v>152</v>
      </c>
      <c r="C1816" s="1" t="s">
        <v>468</v>
      </c>
      <c r="D1816" s="1" t="s">
        <v>276</v>
      </c>
      <c r="E1816" s="26" t="e">
        <f>+#REF!</f>
        <v>#REF!</v>
      </c>
      <c r="F1816" s="26" t="e">
        <f>+#REF!</f>
        <v>#REF!</v>
      </c>
      <c r="G1816" s="17">
        <v>3</v>
      </c>
      <c r="H1816" s="17" t="s">
        <v>9</v>
      </c>
      <c r="I1816" s="30" t="s">
        <v>58</v>
      </c>
      <c r="J1816" s="22">
        <v>10.199999999999999</v>
      </c>
      <c r="K1816" s="22">
        <v>8.5500000000000007</v>
      </c>
      <c r="L1816" s="8">
        <f t="shared" si="2566"/>
        <v>1.6499999999999986</v>
      </c>
      <c r="M1816" s="24">
        <f t="shared" si="2508"/>
        <v>0.10963455149501654</v>
      </c>
      <c r="N1816" s="14"/>
    </row>
    <row r="1817" spans="1:14" x14ac:dyDescent="0.25">
      <c r="A1817" s="20">
        <v>44588</v>
      </c>
      <c r="B1817" s="1">
        <f t="shared" ref="B1817" si="2568">B1814</f>
        <v>152</v>
      </c>
      <c r="C1817" s="1" t="s">
        <v>468</v>
      </c>
      <c r="D1817" s="1" t="s">
        <v>276</v>
      </c>
      <c r="E1817" s="26" t="e">
        <f t="shared" ref="E1817:F1817" si="2569">+E1816</f>
        <v>#REF!</v>
      </c>
      <c r="F1817" s="26" t="e">
        <f t="shared" si="2569"/>
        <v>#REF!</v>
      </c>
      <c r="G1817" s="17">
        <v>4</v>
      </c>
      <c r="H1817" s="17" t="s">
        <v>9</v>
      </c>
      <c r="I1817" s="30" t="s">
        <v>22</v>
      </c>
      <c r="J1817" s="22">
        <v>0.65</v>
      </c>
      <c r="K1817" s="22">
        <v>0.55000000000000004</v>
      </c>
      <c r="L1817" s="8">
        <f t="shared" si="2566"/>
        <v>9.9999999999999978E-2</v>
      </c>
      <c r="M1817" s="24">
        <f t="shared" si="2508"/>
        <v>6.6445182724252493E-3</v>
      </c>
      <c r="N1817" s="14"/>
    </row>
    <row r="1818" spans="1:14" x14ac:dyDescent="0.25">
      <c r="A1818" s="20">
        <v>44588</v>
      </c>
      <c r="B1818" s="1">
        <f t="shared" ref="B1818" si="2570">B1814</f>
        <v>152</v>
      </c>
      <c r="C1818" s="1" t="s">
        <v>468</v>
      </c>
      <c r="D1818" s="1" t="s">
        <v>276</v>
      </c>
      <c r="E1818" s="26" t="e">
        <f t="shared" ref="E1818:F1818" si="2571">+E1817</f>
        <v>#REF!</v>
      </c>
      <c r="F1818" s="26" t="e">
        <f t="shared" si="2571"/>
        <v>#REF!</v>
      </c>
      <c r="G1818" s="17">
        <v>5</v>
      </c>
      <c r="H1818" s="17" t="s">
        <v>9</v>
      </c>
      <c r="I1818" s="30" t="s">
        <v>34</v>
      </c>
      <c r="J1818" s="22">
        <v>0.95</v>
      </c>
      <c r="K1818" s="63">
        <v>0.55000000000000004</v>
      </c>
      <c r="L1818" s="8">
        <f t="shared" si="2566"/>
        <v>0.39999999999999991</v>
      </c>
      <c r="M1818" s="24">
        <f t="shared" si="2508"/>
        <v>2.6578073089700997E-2</v>
      </c>
      <c r="N1818" s="14"/>
    </row>
    <row r="1819" spans="1:14" x14ac:dyDescent="0.25">
      <c r="A1819" s="20">
        <v>44588</v>
      </c>
      <c r="B1819" s="1">
        <f t="shared" ref="B1819" si="2572">B1814</f>
        <v>152</v>
      </c>
      <c r="C1819" s="1" t="s">
        <v>468</v>
      </c>
      <c r="D1819" s="1" t="s">
        <v>276</v>
      </c>
      <c r="E1819" s="26" t="e">
        <f t="shared" ref="E1819:F1819" si="2573">+E1818</f>
        <v>#REF!</v>
      </c>
      <c r="F1819" s="26" t="e">
        <f t="shared" si="2573"/>
        <v>#REF!</v>
      </c>
      <c r="G1819" s="17">
        <v>6</v>
      </c>
      <c r="H1819" s="17" t="s">
        <v>9</v>
      </c>
      <c r="I1819" s="30" t="s">
        <v>35</v>
      </c>
      <c r="J1819" s="22"/>
      <c r="K1819" s="22"/>
      <c r="L1819" s="8">
        <f t="shared" si="2566"/>
        <v>0</v>
      </c>
      <c r="M1819" s="24">
        <f t="shared" si="2508"/>
        <v>0</v>
      </c>
      <c r="N1819" s="14"/>
    </row>
    <row r="1820" spans="1:14" x14ac:dyDescent="0.25">
      <c r="A1820" s="20">
        <v>44588</v>
      </c>
      <c r="B1820" s="1">
        <f t="shared" ref="B1820" si="2574">B1814</f>
        <v>152</v>
      </c>
      <c r="C1820" s="1" t="s">
        <v>468</v>
      </c>
      <c r="D1820" s="1" t="s">
        <v>276</v>
      </c>
      <c r="E1820" s="26" t="e">
        <f t="shared" ref="E1820:F1820" si="2575">+E1819</f>
        <v>#REF!</v>
      </c>
      <c r="F1820" s="26" t="e">
        <f t="shared" si="2575"/>
        <v>#REF!</v>
      </c>
      <c r="G1820" s="17">
        <v>7</v>
      </c>
      <c r="H1820" s="17" t="s">
        <v>9</v>
      </c>
      <c r="I1820" s="30" t="s">
        <v>36</v>
      </c>
      <c r="J1820" s="22"/>
      <c r="K1820" s="22"/>
      <c r="L1820" s="8">
        <f t="shared" si="2566"/>
        <v>0</v>
      </c>
      <c r="M1820" s="24">
        <f t="shared" si="2508"/>
        <v>0</v>
      </c>
      <c r="N1820" s="14"/>
    </row>
    <row r="1821" spans="1:14" x14ac:dyDescent="0.25">
      <c r="A1821" s="20">
        <v>44588</v>
      </c>
      <c r="B1821" s="1">
        <f t="shared" ref="B1821" si="2576">B1814</f>
        <v>152</v>
      </c>
      <c r="C1821" s="1" t="s">
        <v>468</v>
      </c>
      <c r="D1821" s="1" t="s">
        <v>276</v>
      </c>
      <c r="E1821" s="26" t="e">
        <f>+E1820</f>
        <v>#REF!</v>
      </c>
      <c r="F1821" s="26" t="e">
        <f>+F1820</f>
        <v>#REF!</v>
      </c>
      <c r="G1821" s="17">
        <v>8</v>
      </c>
      <c r="H1821" s="17" t="s">
        <v>9</v>
      </c>
      <c r="I1821" s="30" t="s">
        <v>59</v>
      </c>
      <c r="J1821" s="22">
        <v>1.75</v>
      </c>
      <c r="K1821" s="22">
        <v>0.55000000000000004</v>
      </c>
      <c r="L1821" s="8">
        <f t="shared" si="2566"/>
        <v>1.2</v>
      </c>
      <c r="M1821" s="24">
        <f t="shared" si="2508"/>
        <v>7.9734219269102999E-2</v>
      </c>
      <c r="N1821" s="14"/>
    </row>
    <row r="1822" spans="1:14" x14ac:dyDescent="0.25">
      <c r="A1822" s="20">
        <v>44588</v>
      </c>
      <c r="B1822" s="1">
        <f t="shared" ref="B1822" si="2577">B1814</f>
        <v>152</v>
      </c>
      <c r="C1822" s="1" t="s">
        <v>468</v>
      </c>
      <c r="D1822" s="1" t="s">
        <v>276</v>
      </c>
      <c r="E1822" s="26" t="e">
        <f t="shared" ref="E1822:F1822" si="2578">+E1821</f>
        <v>#REF!</v>
      </c>
      <c r="F1822" s="26" t="e">
        <f t="shared" si="2578"/>
        <v>#REF!</v>
      </c>
      <c r="G1822" s="17">
        <v>9</v>
      </c>
      <c r="H1822" s="17" t="s">
        <v>9</v>
      </c>
      <c r="I1822" s="30" t="s">
        <v>38</v>
      </c>
      <c r="J1822" s="22"/>
      <c r="K1822" s="22"/>
      <c r="L1822" s="8">
        <f t="shared" si="2566"/>
        <v>0</v>
      </c>
      <c r="M1822" s="24">
        <f t="shared" si="2508"/>
        <v>0</v>
      </c>
      <c r="N1822" s="14"/>
    </row>
    <row r="1823" spans="1:14" x14ac:dyDescent="0.25">
      <c r="A1823" s="20">
        <v>44588</v>
      </c>
      <c r="B1823" s="1">
        <f t="shared" ref="B1823" si="2579">B1814</f>
        <v>152</v>
      </c>
      <c r="C1823" s="1" t="s">
        <v>468</v>
      </c>
      <c r="D1823" s="1" t="s">
        <v>276</v>
      </c>
      <c r="E1823" s="26" t="e">
        <f t="shared" ref="E1823:F1823" si="2580">+E1822</f>
        <v>#REF!</v>
      </c>
      <c r="F1823" s="26" t="e">
        <f t="shared" si="2580"/>
        <v>#REF!</v>
      </c>
      <c r="G1823" s="17">
        <v>10</v>
      </c>
      <c r="H1823" s="17" t="s">
        <v>9</v>
      </c>
      <c r="I1823" s="30" t="s">
        <v>23</v>
      </c>
      <c r="J1823" s="22">
        <f>10.35</f>
        <v>10.35</v>
      </c>
      <c r="K1823" s="22">
        <v>8.5500000000000007</v>
      </c>
      <c r="L1823" s="8">
        <f t="shared" si="2566"/>
        <v>1.7999999999999989</v>
      </c>
      <c r="M1823" s="24">
        <f t="shared" si="2508"/>
        <v>0.11960132890365444</v>
      </c>
      <c r="N1823" s="14"/>
    </row>
    <row r="1824" spans="1:14" x14ac:dyDescent="0.25">
      <c r="A1824" s="20">
        <v>44588</v>
      </c>
      <c r="B1824" s="1">
        <f t="shared" ref="B1824" si="2581">B1814</f>
        <v>152</v>
      </c>
      <c r="C1824" s="1" t="s">
        <v>468</v>
      </c>
      <c r="D1824" s="1" t="s">
        <v>276</v>
      </c>
      <c r="E1824" s="26" t="e">
        <f t="shared" ref="E1824:F1824" si="2582">+E1823</f>
        <v>#REF!</v>
      </c>
      <c r="F1824" s="26" t="e">
        <f t="shared" si="2582"/>
        <v>#REF!</v>
      </c>
      <c r="G1824" s="17">
        <v>11</v>
      </c>
      <c r="H1824" s="17" t="s">
        <v>9</v>
      </c>
      <c r="I1824" s="30" t="s">
        <v>60</v>
      </c>
      <c r="J1824" s="22">
        <v>9.3000000000000007</v>
      </c>
      <c r="K1824" s="22">
        <v>8.5500000000000007</v>
      </c>
      <c r="L1824" s="8">
        <f t="shared" si="2566"/>
        <v>0.75</v>
      </c>
      <c r="M1824" s="24">
        <f t="shared" si="2508"/>
        <v>4.9833887043189376E-2</v>
      </c>
      <c r="N1824" s="14"/>
    </row>
    <row r="1825" spans="1:14" ht="15.75" thickBot="1" x14ac:dyDescent="0.3">
      <c r="A1825" s="20">
        <v>44588</v>
      </c>
      <c r="B1825" s="57">
        <f t="shared" ref="B1825" si="2583">B1814</f>
        <v>152</v>
      </c>
      <c r="C1825" s="1" t="s">
        <v>468</v>
      </c>
      <c r="D1825" s="57" t="s">
        <v>276</v>
      </c>
      <c r="E1825" s="26" t="e">
        <f t="shared" ref="E1825:F1825" si="2584">+E1824</f>
        <v>#REF!</v>
      </c>
      <c r="F1825" s="26" t="e">
        <f t="shared" si="2584"/>
        <v>#REF!</v>
      </c>
      <c r="G1825" s="18">
        <f>+G1824+1</f>
        <v>12</v>
      </c>
      <c r="H1825" s="18" t="s">
        <v>10</v>
      </c>
      <c r="I1825" s="46" t="s">
        <v>10</v>
      </c>
      <c r="J1825" s="22">
        <f>13.35+10.75</f>
        <v>24.1</v>
      </c>
      <c r="K1825" s="63">
        <f>8.3+8.55</f>
        <v>16.850000000000001</v>
      </c>
      <c r="L1825" s="8">
        <f t="shared" si="2566"/>
        <v>7.25</v>
      </c>
      <c r="M1825" s="24">
        <f t="shared" si="2508"/>
        <v>0.48172757475083067</v>
      </c>
      <c r="N1825" s="14"/>
    </row>
    <row r="1826" spans="1:14" x14ac:dyDescent="0.25">
      <c r="A1826" s="19">
        <v>44588</v>
      </c>
      <c r="B1826" s="15">
        <f t="shared" ref="B1826" si="2585">B1814+1</f>
        <v>153</v>
      </c>
      <c r="C1826" s="15" t="s">
        <v>469</v>
      </c>
      <c r="D1826" s="15" t="s">
        <v>274</v>
      </c>
      <c r="E1826" s="25">
        <f>13.9-1.2</f>
        <v>12.700000000000001</v>
      </c>
      <c r="F1826" s="25">
        <f>+SUM(L1826:L1837)</f>
        <v>12.749999999999993</v>
      </c>
      <c r="G1826" s="16">
        <v>1</v>
      </c>
      <c r="H1826" s="16" t="s">
        <v>9</v>
      </c>
      <c r="I1826" s="59" t="s">
        <v>56</v>
      </c>
      <c r="J1826" s="21"/>
      <c r="K1826" s="21"/>
      <c r="L1826" s="12">
        <f>+J1826-K1826</f>
        <v>0</v>
      </c>
      <c r="M1826" s="23">
        <f t="shared" si="2508"/>
        <v>0</v>
      </c>
      <c r="N1826" s="13"/>
    </row>
    <row r="1827" spans="1:14" x14ac:dyDescent="0.25">
      <c r="A1827" s="20">
        <v>44588</v>
      </c>
      <c r="B1827" s="1">
        <f t="shared" ref="B1827" si="2586">B1826</f>
        <v>153</v>
      </c>
      <c r="C1827" s="1" t="s">
        <v>469</v>
      </c>
      <c r="D1827" s="1" t="s">
        <v>274</v>
      </c>
      <c r="E1827" s="26">
        <f>+E1826</f>
        <v>12.700000000000001</v>
      </c>
      <c r="F1827" s="28">
        <f>+(F1826-E1826)/E1826</f>
        <v>3.9370078740151044E-3</v>
      </c>
      <c r="G1827" s="17">
        <v>2</v>
      </c>
      <c r="H1827" s="17" t="s">
        <v>9</v>
      </c>
      <c r="I1827" s="30" t="s">
        <v>57</v>
      </c>
      <c r="J1827" s="22">
        <v>0.65</v>
      </c>
      <c r="K1827" s="22">
        <v>0.55000000000000004</v>
      </c>
      <c r="L1827" s="8">
        <f t="shared" ref="L1827:L1837" si="2587">+J1827-K1827</f>
        <v>9.9999999999999978E-2</v>
      </c>
      <c r="M1827" s="24">
        <f t="shared" si="2508"/>
        <v>7.8431372549019641E-3</v>
      </c>
      <c r="N1827" s="14"/>
    </row>
    <row r="1828" spans="1:14" x14ac:dyDescent="0.25">
      <c r="A1828" s="20">
        <v>44588</v>
      </c>
      <c r="B1828" s="1">
        <f t="shared" ref="B1828" si="2588">B1826</f>
        <v>153</v>
      </c>
      <c r="C1828" s="1" t="s">
        <v>469</v>
      </c>
      <c r="D1828" s="1" t="s">
        <v>274</v>
      </c>
      <c r="E1828" s="26" t="e">
        <f>+#REF!</f>
        <v>#REF!</v>
      </c>
      <c r="F1828" s="26" t="e">
        <f>+#REF!</f>
        <v>#REF!</v>
      </c>
      <c r="G1828" s="17">
        <v>3</v>
      </c>
      <c r="H1828" s="17" t="s">
        <v>9</v>
      </c>
      <c r="I1828" s="30" t="s">
        <v>58</v>
      </c>
      <c r="J1828" s="22">
        <v>0.85</v>
      </c>
      <c r="K1828" s="22">
        <v>0.55000000000000004</v>
      </c>
      <c r="L1828" s="8">
        <f t="shared" si="2587"/>
        <v>0.29999999999999993</v>
      </c>
      <c r="M1828" s="24">
        <f t="shared" si="2508"/>
        <v>2.3529411764705889E-2</v>
      </c>
      <c r="N1828" s="14"/>
    </row>
    <row r="1829" spans="1:14" x14ac:dyDescent="0.25">
      <c r="A1829" s="20">
        <v>44588</v>
      </c>
      <c r="B1829" s="1">
        <f t="shared" ref="B1829" si="2589">B1826</f>
        <v>153</v>
      </c>
      <c r="C1829" s="1" t="s">
        <v>469</v>
      </c>
      <c r="D1829" s="1" t="s">
        <v>274</v>
      </c>
      <c r="E1829" s="26" t="e">
        <f t="shared" ref="E1829:F1829" si="2590">+E1828</f>
        <v>#REF!</v>
      </c>
      <c r="F1829" s="26" t="e">
        <f t="shared" si="2590"/>
        <v>#REF!</v>
      </c>
      <c r="G1829" s="17">
        <v>4</v>
      </c>
      <c r="H1829" s="17" t="s">
        <v>9</v>
      </c>
      <c r="I1829" s="30" t="s">
        <v>22</v>
      </c>
      <c r="J1829" s="22"/>
      <c r="K1829" s="22"/>
      <c r="L1829" s="8">
        <f t="shared" si="2587"/>
        <v>0</v>
      </c>
      <c r="M1829" s="24">
        <f t="shared" si="2508"/>
        <v>0</v>
      </c>
      <c r="N1829" s="14"/>
    </row>
    <row r="1830" spans="1:14" x14ac:dyDescent="0.25">
      <c r="A1830" s="20">
        <v>44588</v>
      </c>
      <c r="B1830" s="1">
        <f t="shared" ref="B1830" si="2591">B1826</f>
        <v>153</v>
      </c>
      <c r="C1830" s="1" t="s">
        <v>469</v>
      </c>
      <c r="D1830" s="1" t="s">
        <v>274</v>
      </c>
      <c r="E1830" s="26" t="e">
        <f t="shared" ref="E1830:F1830" si="2592">+E1829</f>
        <v>#REF!</v>
      </c>
      <c r="F1830" s="26" t="e">
        <f t="shared" si="2592"/>
        <v>#REF!</v>
      </c>
      <c r="G1830" s="17">
        <v>5</v>
      </c>
      <c r="H1830" s="17" t="s">
        <v>9</v>
      </c>
      <c r="I1830" s="30" t="s">
        <v>34</v>
      </c>
      <c r="J1830" s="22">
        <v>0.65</v>
      </c>
      <c r="K1830" s="63">
        <v>0.55000000000000004</v>
      </c>
      <c r="L1830" s="8">
        <f t="shared" si="2587"/>
        <v>9.9999999999999978E-2</v>
      </c>
      <c r="M1830" s="24">
        <f t="shared" si="2508"/>
        <v>7.8431372549019641E-3</v>
      </c>
      <c r="N1830" s="14"/>
    </row>
    <row r="1831" spans="1:14" x14ac:dyDescent="0.25">
      <c r="A1831" s="20">
        <v>44588</v>
      </c>
      <c r="B1831" s="1">
        <f t="shared" ref="B1831" si="2593">B1826</f>
        <v>153</v>
      </c>
      <c r="C1831" s="1" t="s">
        <v>469</v>
      </c>
      <c r="D1831" s="1" t="s">
        <v>274</v>
      </c>
      <c r="E1831" s="26" t="e">
        <f t="shared" ref="E1831:F1831" si="2594">+E1830</f>
        <v>#REF!</v>
      </c>
      <c r="F1831" s="26" t="e">
        <f t="shared" si="2594"/>
        <v>#REF!</v>
      </c>
      <c r="G1831" s="17">
        <v>6</v>
      </c>
      <c r="H1831" s="17" t="s">
        <v>9</v>
      </c>
      <c r="I1831" s="30" t="s">
        <v>35</v>
      </c>
      <c r="J1831" s="22"/>
      <c r="K1831" s="22"/>
      <c r="L1831" s="8">
        <f t="shared" si="2587"/>
        <v>0</v>
      </c>
      <c r="M1831" s="24">
        <f t="shared" si="2508"/>
        <v>0</v>
      </c>
      <c r="N1831" s="14"/>
    </row>
    <row r="1832" spans="1:14" x14ac:dyDescent="0.25">
      <c r="A1832" s="20">
        <v>44588</v>
      </c>
      <c r="B1832" s="1">
        <f t="shared" ref="B1832" si="2595">B1826</f>
        <v>153</v>
      </c>
      <c r="C1832" s="1" t="s">
        <v>469</v>
      </c>
      <c r="D1832" s="1" t="s">
        <v>274</v>
      </c>
      <c r="E1832" s="26" t="e">
        <f t="shared" ref="E1832:F1832" si="2596">+E1831</f>
        <v>#REF!</v>
      </c>
      <c r="F1832" s="26" t="e">
        <f t="shared" si="2596"/>
        <v>#REF!</v>
      </c>
      <c r="G1832" s="17">
        <v>7</v>
      </c>
      <c r="H1832" s="17" t="s">
        <v>9</v>
      </c>
      <c r="I1832" s="30" t="s">
        <v>36</v>
      </c>
      <c r="J1832" s="22"/>
      <c r="K1832" s="22"/>
      <c r="L1832" s="8">
        <f t="shared" si="2587"/>
        <v>0</v>
      </c>
      <c r="M1832" s="24">
        <f t="shared" si="2508"/>
        <v>0</v>
      </c>
      <c r="N1832" s="14"/>
    </row>
    <row r="1833" spans="1:14" x14ac:dyDescent="0.25">
      <c r="A1833" s="20">
        <v>44588</v>
      </c>
      <c r="B1833" s="1">
        <f t="shared" ref="B1833" si="2597">B1826</f>
        <v>153</v>
      </c>
      <c r="C1833" s="1" t="s">
        <v>469</v>
      </c>
      <c r="D1833" s="1" t="s">
        <v>274</v>
      </c>
      <c r="E1833" s="26" t="e">
        <f>+E1832</f>
        <v>#REF!</v>
      </c>
      <c r="F1833" s="26" t="e">
        <f>+F1832</f>
        <v>#REF!</v>
      </c>
      <c r="G1833" s="17">
        <v>8</v>
      </c>
      <c r="H1833" s="17" t="s">
        <v>9</v>
      </c>
      <c r="I1833" s="30" t="s">
        <v>59</v>
      </c>
      <c r="J1833" s="22">
        <v>12.6</v>
      </c>
      <c r="K1833" s="22">
        <v>8.5500000000000007</v>
      </c>
      <c r="L1833" s="8">
        <f t="shared" si="2587"/>
        <v>4.0499999999999989</v>
      </c>
      <c r="M1833" s="24">
        <f t="shared" si="2508"/>
        <v>0.3176470588235295</v>
      </c>
      <c r="N1833" s="14"/>
    </row>
    <row r="1834" spans="1:14" x14ac:dyDescent="0.25">
      <c r="A1834" s="20">
        <v>44588</v>
      </c>
      <c r="B1834" s="1">
        <f t="shared" ref="B1834" si="2598">B1826</f>
        <v>153</v>
      </c>
      <c r="C1834" s="1" t="s">
        <v>469</v>
      </c>
      <c r="D1834" s="1" t="s">
        <v>274</v>
      </c>
      <c r="E1834" s="26" t="e">
        <f t="shared" ref="E1834:F1834" si="2599">+E1833</f>
        <v>#REF!</v>
      </c>
      <c r="F1834" s="26" t="e">
        <f t="shared" si="2599"/>
        <v>#REF!</v>
      </c>
      <c r="G1834" s="17">
        <v>9</v>
      </c>
      <c r="H1834" s="17" t="s">
        <v>9</v>
      </c>
      <c r="I1834" s="30" t="s">
        <v>38</v>
      </c>
      <c r="J1834" s="22"/>
      <c r="K1834" s="22"/>
      <c r="L1834" s="8">
        <f t="shared" si="2587"/>
        <v>0</v>
      </c>
      <c r="M1834" s="24">
        <f t="shared" si="2508"/>
        <v>0</v>
      </c>
      <c r="N1834" s="14"/>
    </row>
    <row r="1835" spans="1:14" x14ac:dyDescent="0.25">
      <c r="A1835" s="20">
        <v>44588</v>
      </c>
      <c r="B1835" s="1">
        <f t="shared" ref="B1835" si="2600">B1826</f>
        <v>153</v>
      </c>
      <c r="C1835" s="1" t="s">
        <v>469</v>
      </c>
      <c r="D1835" s="1" t="s">
        <v>274</v>
      </c>
      <c r="E1835" s="26" t="e">
        <f t="shared" ref="E1835:F1835" si="2601">+E1834</f>
        <v>#REF!</v>
      </c>
      <c r="F1835" s="26" t="e">
        <f t="shared" si="2601"/>
        <v>#REF!</v>
      </c>
      <c r="G1835" s="17">
        <v>10</v>
      </c>
      <c r="H1835" s="17" t="s">
        <v>9</v>
      </c>
      <c r="I1835" s="30" t="s">
        <v>23</v>
      </c>
      <c r="J1835" s="22">
        <f>9.7+13.85</f>
        <v>23.549999999999997</v>
      </c>
      <c r="K1835" s="22">
        <f>8.55+8.3</f>
        <v>16.850000000000001</v>
      </c>
      <c r="L1835" s="8">
        <f t="shared" si="2587"/>
        <v>6.6999999999999957</v>
      </c>
      <c r="M1835" s="24">
        <f t="shared" si="2508"/>
        <v>0.52549019607843128</v>
      </c>
      <c r="N1835" s="14"/>
    </row>
    <row r="1836" spans="1:14" x14ac:dyDescent="0.25">
      <c r="A1836" s="20">
        <v>44588</v>
      </c>
      <c r="B1836" s="1">
        <f t="shared" ref="B1836" si="2602">B1826</f>
        <v>153</v>
      </c>
      <c r="C1836" s="1" t="s">
        <v>469</v>
      </c>
      <c r="D1836" s="1" t="s">
        <v>274</v>
      </c>
      <c r="E1836" s="26" t="e">
        <f t="shared" ref="E1836:F1836" si="2603">+E1835</f>
        <v>#REF!</v>
      </c>
      <c r="F1836" s="26" t="e">
        <f t="shared" si="2603"/>
        <v>#REF!</v>
      </c>
      <c r="G1836" s="17">
        <v>11</v>
      </c>
      <c r="H1836" s="17" t="s">
        <v>9</v>
      </c>
      <c r="I1836" s="30" t="s">
        <v>60</v>
      </c>
      <c r="J1836" s="22">
        <v>0.6</v>
      </c>
      <c r="K1836" s="22">
        <v>0.5</v>
      </c>
      <c r="L1836" s="8">
        <f t="shared" si="2587"/>
        <v>9.9999999999999978E-2</v>
      </c>
      <c r="M1836" s="24">
        <f t="shared" si="2508"/>
        <v>7.8431372549019641E-3</v>
      </c>
      <c r="N1836" s="14"/>
    </row>
    <row r="1837" spans="1:14" ht="15.75" thickBot="1" x14ac:dyDescent="0.3">
      <c r="A1837" s="20">
        <v>44588</v>
      </c>
      <c r="B1837" s="57">
        <f t="shared" ref="B1837" si="2604">B1826</f>
        <v>153</v>
      </c>
      <c r="C1837" s="1" t="s">
        <v>469</v>
      </c>
      <c r="D1837" s="57" t="s">
        <v>274</v>
      </c>
      <c r="E1837" s="26" t="e">
        <f t="shared" ref="E1837:F1837" si="2605">+E1836</f>
        <v>#REF!</v>
      </c>
      <c r="F1837" s="26" t="e">
        <f t="shared" si="2605"/>
        <v>#REF!</v>
      </c>
      <c r="G1837" s="18">
        <f>+G1836+1</f>
        <v>12</v>
      </c>
      <c r="H1837" s="18" t="s">
        <v>10</v>
      </c>
      <c r="I1837" s="46" t="s">
        <v>10</v>
      </c>
      <c r="J1837" s="22">
        <f>9.7</f>
        <v>9.6999999999999993</v>
      </c>
      <c r="K1837" s="63">
        <f>8.3</f>
        <v>8.3000000000000007</v>
      </c>
      <c r="L1837" s="8">
        <f t="shared" si="2587"/>
        <v>1.3999999999999986</v>
      </c>
      <c r="M1837" s="24">
        <f t="shared" si="2508"/>
        <v>0.10980392156862739</v>
      </c>
      <c r="N1837" s="14"/>
    </row>
    <row r="1838" spans="1:14" x14ac:dyDescent="0.25">
      <c r="A1838" s="19">
        <v>44588</v>
      </c>
      <c r="B1838" s="15">
        <f t="shared" ref="B1838" si="2606">B1826+1</f>
        <v>154</v>
      </c>
      <c r="C1838" s="15" t="s">
        <v>470</v>
      </c>
      <c r="D1838" s="15" t="s">
        <v>186</v>
      </c>
      <c r="E1838" s="25"/>
      <c r="F1838" s="25">
        <f>+SUM(L1838:L1849)</f>
        <v>27.099999999999998</v>
      </c>
      <c r="G1838" s="16">
        <v>1</v>
      </c>
      <c r="H1838" s="16" t="s">
        <v>9</v>
      </c>
      <c r="I1838" s="59" t="s">
        <v>56</v>
      </c>
      <c r="J1838" s="21">
        <v>0.85</v>
      </c>
      <c r="K1838" s="21">
        <v>0.55000000000000004</v>
      </c>
      <c r="L1838" s="12">
        <f>+J1838-K1838</f>
        <v>0.29999999999999993</v>
      </c>
      <c r="M1838" s="23">
        <f t="shared" si="2508"/>
        <v>1.107011070110701E-2</v>
      </c>
      <c r="N1838" s="13"/>
    </row>
    <row r="1839" spans="1:14" x14ac:dyDescent="0.25">
      <c r="A1839" s="20">
        <v>44588</v>
      </c>
      <c r="B1839" s="1">
        <f t="shared" ref="B1839" si="2607">B1838</f>
        <v>154</v>
      </c>
      <c r="C1839" s="1" t="s">
        <v>470</v>
      </c>
      <c r="D1839" s="1" t="s">
        <v>186</v>
      </c>
      <c r="E1839" s="26">
        <f>+E1838</f>
        <v>0</v>
      </c>
      <c r="F1839" s="28" t="e">
        <f>+(F1838-E1838)/E1838</f>
        <v>#DIV/0!</v>
      </c>
      <c r="G1839" s="17">
        <v>2</v>
      </c>
      <c r="H1839" s="17" t="s">
        <v>9</v>
      </c>
      <c r="I1839" s="30" t="s">
        <v>57</v>
      </c>
      <c r="J1839" s="22">
        <v>0.55000000000000004</v>
      </c>
      <c r="K1839" s="22">
        <v>0.5</v>
      </c>
      <c r="L1839" s="8">
        <f t="shared" ref="L1839:L1849" si="2608">+J1839-K1839</f>
        <v>5.0000000000000044E-2</v>
      </c>
      <c r="M1839" s="24">
        <f t="shared" si="2508"/>
        <v>1.8450184501845035E-3</v>
      </c>
      <c r="N1839" s="14"/>
    </row>
    <row r="1840" spans="1:14" x14ac:dyDescent="0.25">
      <c r="A1840" s="20">
        <v>44588</v>
      </c>
      <c r="B1840" s="1">
        <f t="shared" ref="B1840" si="2609">B1838</f>
        <v>154</v>
      </c>
      <c r="C1840" s="1" t="s">
        <v>470</v>
      </c>
      <c r="D1840" s="1" t="s">
        <v>186</v>
      </c>
      <c r="E1840" s="26" t="e">
        <f>+#REF!</f>
        <v>#REF!</v>
      </c>
      <c r="F1840" s="26" t="e">
        <f>+#REF!</f>
        <v>#REF!</v>
      </c>
      <c r="G1840" s="17">
        <v>3</v>
      </c>
      <c r="H1840" s="17" t="s">
        <v>9</v>
      </c>
      <c r="I1840" s="30" t="s">
        <v>58</v>
      </c>
      <c r="J1840" s="22">
        <v>0.75</v>
      </c>
      <c r="K1840" s="22">
        <v>0.55000000000000004</v>
      </c>
      <c r="L1840" s="8">
        <f t="shared" si="2608"/>
        <v>0.19999999999999996</v>
      </c>
      <c r="M1840" s="24">
        <f t="shared" si="2508"/>
        <v>7.3800738007380063E-3</v>
      </c>
      <c r="N1840" s="14"/>
    </row>
    <row r="1841" spans="1:14" x14ac:dyDescent="0.25">
      <c r="A1841" s="20">
        <v>44588</v>
      </c>
      <c r="B1841" s="1">
        <f t="shared" ref="B1841" si="2610">B1838</f>
        <v>154</v>
      </c>
      <c r="C1841" s="1" t="s">
        <v>470</v>
      </c>
      <c r="D1841" s="1" t="s">
        <v>186</v>
      </c>
      <c r="E1841" s="26" t="e">
        <f t="shared" ref="E1841:F1841" si="2611">+E1840</f>
        <v>#REF!</v>
      </c>
      <c r="F1841" s="26" t="e">
        <f t="shared" si="2611"/>
        <v>#REF!</v>
      </c>
      <c r="G1841" s="17">
        <v>4</v>
      </c>
      <c r="H1841" s="17" t="s">
        <v>9</v>
      </c>
      <c r="I1841" s="30" t="s">
        <v>22</v>
      </c>
      <c r="J1841" s="22">
        <v>2.8</v>
      </c>
      <c r="K1841" s="22">
        <v>0.55000000000000004</v>
      </c>
      <c r="L1841" s="8">
        <f t="shared" si="2608"/>
        <v>2.25</v>
      </c>
      <c r="M1841" s="24">
        <f t="shared" si="2508"/>
        <v>8.3025830258302596E-2</v>
      </c>
      <c r="N1841" s="14"/>
    </row>
    <row r="1842" spans="1:14" x14ac:dyDescent="0.25">
      <c r="A1842" s="20">
        <v>44588</v>
      </c>
      <c r="B1842" s="1">
        <f t="shared" ref="B1842" si="2612">B1838</f>
        <v>154</v>
      </c>
      <c r="C1842" s="1" t="s">
        <v>470</v>
      </c>
      <c r="D1842" s="1" t="s">
        <v>186</v>
      </c>
      <c r="E1842" s="26" t="e">
        <f t="shared" ref="E1842:F1842" si="2613">+E1841</f>
        <v>#REF!</v>
      </c>
      <c r="F1842" s="26" t="e">
        <f t="shared" si="2613"/>
        <v>#REF!</v>
      </c>
      <c r="G1842" s="17">
        <v>5</v>
      </c>
      <c r="H1842" s="17" t="s">
        <v>9</v>
      </c>
      <c r="I1842" s="30" t="s">
        <v>34</v>
      </c>
      <c r="J1842" s="22">
        <v>18.850000000000001</v>
      </c>
      <c r="K1842" s="63">
        <v>8.5500000000000007</v>
      </c>
      <c r="L1842" s="8">
        <f t="shared" si="2608"/>
        <v>10.3</v>
      </c>
      <c r="M1842" s="24">
        <f t="shared" si="2508"/>
        <v>0.38007380073800745</v>
      </c>
      <c r="N1842" s="14"/>
    </row>
    <row r="1843" spans="1:14" x14ac:dyDescent="0.25">
      <c r="A1843" s="20">
        <v>44588</v>
      </c>
      <c r="B1843" s="1">
        <f t="shared" ref="B1843" si="2614">B1838</f>
        <v>154</v>
      </c>
      <c r="C1843" s="1" t="s">
        <v>470</v>
      </c>
      <c r="D1843" s="1" t="s">
        <v>186</v>
      </c>
      <c r="E1843" s="26" t="e">
        <f t="shared" ref="E1843:F1843" si="2615">+E1842</f>
        <v>#REF!</v>
      </c>
      <c r="F1843" s="26" t="e">
        <f t="shared" si="2615"/>
        <v>#REF!</v>
      </c>
      <c r="G1843" s="17">
        <v>6</v>
      </c>
      <c r="H1843" s="17" t="s">
        <v>9</v>
      </c>
      <c r="I1843" s="30" t="s">
        <v>35</v>
      </c>
      <c r="J1843" s="22">
        <v>2.2000000000000002</v>
      </c>
      <c r="K1843" s="22">
        <v>0.5</v>
      </c>
      <c r="L1843" s="8">
        <f t="shared" si="2608"/>
        <v>1.7000000000000002</v>
      </c>
      <c r="M1843" s="24">
        <f t="shared" si="2508"/>
        <v>6.2730627306273073E-2</v>
      </c>
      <c r="N1843" s="14"/>
    </row>
    <row r="1844" spans="1:14" x14ac:dyDescent="0.25">
      <c r="A1844" s="20">
        <v>44588</v>
      </c>
      <c r="B1844" s="1">
        <f t="shared" ref="B1844" si="2616">B1838</f>
        <v>154</v>
      </c>
      <c r="C1844" s="1" t="s">
        <v>470</v>
      </c>
      <c r="D1844" s="1" t="s">
        <v>186</v>
      </c>
      <c r="E1844" s="26" t="e">
        <f t="shared" ref="E1844:F1844" si="2617">+E1843</f>
        <v>#REF!</v>
      </c>
      <c r="F1844" s="26" t="e">
        <f t="shared" si="2617"/>
        <v>#REF!</v>
      </c>
      <c r="G1844" s="17">
        <v>7</v>
      </c>
      <c r="H1844" s="17" t="s">
        <v>9</v>
      </c>
      <c r="I1844" s="30" t="s">
        <v>36</v>
      </c>
      <c r="J1844" s="22"/>
      <c r="K1844" s="22"/>
      <c r="L1844" s="8">
        <f t="shared" si="2608"/>
        <v>0</v>
      </c>
      <c r="M1844" s="24">
        <f t="shared" si="2508"/>
        <v>0</v>
      </c>
      <c r="N1844" s="14"/>
    </row>
    <row r="1845" spans="1:14" x14ac:dyDescent="0.25">
      <c r="A1845" s="20">
        <v>44588</v>
      </c>
      <c r="B1845" s="1">
        <f t="shared" ref="B1845" si="2618">B1838</f>
        <v>154</v>
      </c>
      <c r="C1845" s="1" t="s">
        <v>470</v>
      </c>
      <c r="D1845" s="1" t="s">
        <v>186</v>
      </c>
      <c r="E1845" s="26" t="e">
        <f>+E1844</f>
        <v>#REF!</v>
      </c>
      <c r="F1845" s="26" t="e">
        <f>+F1844</f>
        <v>#REF!</v>
      </c>
      <c r="G1845" s="17">
        <v>8</v>
      </c>
      <c r="H1845" s="17" t="s">
        <v>9</v>
      </c>
      <c r="I1845" s="30" t="s">
        <v>59</v>
      </c>
      <c r="J1845" s="22">
        <v>0.7</v>
      </c>
      <c r="K1845" s="22">
        <v>0.5</v>
      </c>
      <c r="L1845" s="8">
        <f t="shared" si="2608"/>
        <v>0.19999999999999996</v>
      </c>
      <c r="M1845" s="24">
        <f t="shared" si="2508"/>
        <v>7.3800738007380063E-3</v>
      </c>
      <c r="N1845" s="14"/>
    </row>
    <row r="1846" spans="1:14" x14ac:dyDescent="0.25">
      <c r="A1846" s="20">
        <v>44588</v>
      </c>
      <c r="B1846" s="1">
        <f t="shared" ref="B1846" si="2619">B1838</f>
        <v>154</v>
      </c>
      <c r="C1846" s="1" t="s">
        <v>470</v>
      </c>
      <c r="D1846" s="1" t="s">
        <v>186</v>
      </c>
      <c r="E1846" s="26" t="e">
        <f t="shared" ref="E1846:F1846" si="2620">+E1845</f>
        <v>#REF!</v>
      </c>
      <c r="F1846" s="26" t="e">
        <f t="shared" si="2620"/>
        <v>#REF!</v>
      </c>
      <c r="G1846" s="17">
        <v>9</v>
      </c>
      <c r="H1846" s="17" t="s">
        <v>9</v>
      </c>
      <c r="I1846" s="30" t="s">
        <v>38</v>
      </c>
      <c r="J1846" s="22"/>
      <c r="K1846" s="22"/>
      <c r="L1846" s="8">
        <f t="shared" si="2608"/>
        <v>0</v>
      </c>
      <c r="M1846" s="24">
        <f t="shared" ref="M1846:M1857" si="2621">+L1846/SUMIF(C:C,C1846,L:L)</f>
        <v>0</v>
      </c>
      <c r="N1846" s="14"/>
    </row>
    <row r="1847" spans="1:14" x14ac:dyDescent="0.25">
      <c r="A1847" s="20">
        <v>44588</v>
      </c>
      <c r="B1847" s="1">
        <f t="shared" ref="B1847" si="2622">B1838</f>
        <v>154</v>
      </c>
      <c r="C1847" s="1" t="s">
        <v>470</v>
      </c>
      <c r="D1847" s="1" t="s">
        <v>186</v>
      </c>
      <c r="E1847" s="26" t="e">
        <f t="shared" ref="E1847:F1847" si="2623">+E1846</f>
        <v>#REF!</v>
      </c>
      <c r="F1847" s="26" t="e">
        <f t="shared" si="2623"/>
        <v>#REF!</v>
      </c>
      <c r="G1847" s="17">
        <v>10</v>
      </c>
      <c r="H1847" s="17" t="s">
        <v>9</v>
      </c>
      <c r="I1847" s="30" t="s">
        <v>23</v>
      </c>
      <c r="J1847" s="22">
        <v>0.75</v>
      </c>
      <c r="K1847" s="22">
        <v>0.55000000000000004</v>
      </c>
      <c r="L1847" s="8">
        <f t="shared" si="2608"/>
        <v>0.19999999999999996</v>
      </c>
      <c r="M1847" s="24">
        <f t="shared" si="2621"/>
        <v>7.3800738007380063E-3</v>
      </c>
      <c r="N1847" s="14"/>
    </row>
    <row r="1848" spans="1:14" x14ac:dyDescent="0.25">
      <c r="A1848" s="20">
        <v>44588</v>
      </c>
      <c r="B1848" s="1">
        <f t="shared" ref="B1848" si="2624">B1838</f>
        <v>154</v>
      </c>
      <c r="C1848" s="1" t="s">
        <v>470</v>
      </c>
      <c r="D1848" s="1" t="s">
        <v>186</v>
      </c>
      <c r="E1848" s="26" t="e">
        <f t="shared" ref="E1848:F1848" si="2625">+E1847</f>
        <v>#REF!</v>
      </c>
      <c r="F1848" s="26" t="e">
        <f t="shared" si="2625"/>
        <v>#REF!</v>
      </c>
      <c r="G1848" s="17">
        <v>11</v>
      </c>
      <c r="H1848" s="17" t="s">
        <v>9</v>
      </c>
      <c r="I1848" s="30" t="s">
        <v>60</v>
      </c>
      <c r="J1848" s="22"/>
      <c r="K1848" s="22"/>
      <c r="L1848" s="8">
        <f t="shared" si="2608"/>
        <v>0</v>
      </c>
      <c r="M1848" s="24">
        <f t="shared" si="2621"/>
        <v>0</v>
      </c>
      <c r="N1848" s="14"/>
    </row>
    <row r="1849" spans="1:14" ht="15.75" thickBot="1" x14ac:dyDescent="0.3">
      <c r="A1849" s="20">
        <v>44588</v>
      </c>
      <c r="B1849" s="57">
        <f t="shared" ref="B1849" si="2626">B1838</f>
        <v>154</v>
      </c>
      <c r="C1849" s="1" t="s">
        <v>470</v>
      </c>
      <c r="D1849" s="1" t="s">
        <v>186</v>
      </c>
      <c r="E1849" s="26" t="e">
        <f t="shared" ref="E1849:F1849" si="2627">+E1848</f>
        <v>#REF!</v>
      </c>
      <c r="F1849" s="26" t="e">
        <f t="shared" si="2627"/>
        <v>#REF!</v>
      </c>
      <c r="G1849" s="18">
        <f>+G1848+1</f>
        <v>12</v>
      </c>
      <c r="H1849" s="18" t="s">
        <v>10</v>
      </c>
      <c r="I1849" s="46" t="s">
        <v>10</v>
      </c>
      <c r="J1849" s="22">
        <v>20.2</v>
      </c>
      <c r="K1849" s="63">
        <v>8.3000000000000007</v>
      </c>
      <c r="L1849" s="8">
        <f t="shared" si="2608"/>
        <v>11.899999999999999</v>
      </c>
      <c r="M1849" s="24">
        <f t="shared" si="2621"/>
        <v>0.43911439114391143</v>
      </c>
      <c r="N1849" s="14"/>
    </row>
    <row r="1850" spans="1:14" x14ac:dyDescent="0.25">
      <c r="A1850" s="19">
        <v>44589</v>
      </c>
      <c r="B1850" s="15">
        <f t="shared" ref="B1850" si="2628">B1838+1</f>
        <v>155</v>
      </c>
      <c r="C1850" s="15" t="s">
        <v>482</v>
      </c>
      <c r="D1850" s="15" t="s">
        <v>305</v>
      </c>
      <c r="E1850" s="25">
        <f>6-1.2</f>
        <v>4.8</v>
      </c>
      <c r="F1850" s="25">
        <f>+SUM(L1850:L1861)</f>
        <v>4.9000000000000004</v>
      </c>
      <c r="G1850" s="16">
        <v>1</v>
      </c>
      <c r="H1850" s="16" t="s">
        <v>9</v>
      </c>
      <c r="I1850" s="59" t="s">
        <v>56</v>
      </c>
      <c r="J1850" s="21"/>
      <c r="K1850" s="21"/>
      <c r="L1850" s="12">
        <f>+J1850-K1850</f>
        <v>0</v>
      </c>
      <c r="M1850" s="23">
        <f t="shared" si="2621"/>
        <v>0</v>
      </c>
      <c r="N1850" s="13"/>
    </row>
    <row r="1851" spans="1:14" x14ac:dyDescent="0.25">
      <c r="A1851" s="20">
        <v>44589</v>
      </c>
      <c r="B1851" s="1">
        <f t="shared" ref="B1851" si="2629">B1850</f>
        <v>155</v>
      </c>
      <c r="C1851" s="1" t="s">
        <v>482</v>
      </c>
      <c r="D1851" s="1" t="s">
        <v>305</v>
      </c>
      <c r="E1851" s="26">
        <f>+E1850</f>
        <v>4.8</v>
      </c>
      <c r="F1851" s="28">
        <f>+(F1850-E1850)/E1850</f>
        <v>2.0833333333333447E-2</v>
      </c>
      <c r="G1851" s="17">
        <v>2</v>
      </c>
      <c r="H1851" s="17" t="s">
        <v>9</v>
      </c>
      <c r="I1851" s="30" t="s">
        <v>57</v>
      </c>
      <c r="J1851" s="22"/>
      <c r="K1851" s="22"/>
      <c r="L1851" s="8">
        <f t="shared" ref="L1851:L1861" si="2630">+J1851-K1851</f>
        <v>0</v>
      </c>
      <c r="M1851" s="24">
        <f t="shared" si="2621"/>
        <v>0</v>
      </c>
      <c r="N1851" s="14"/>
    </row>
    <row r="1852" spans="1:14" x14ac:dyDescent="0.25">
      <c r="A1852" s="20">
        <v>44589</v>
      </c>
      <c r="B1852" s="1">
        <f t="shared" ref="B1852" si="2631">B1850</f>
        <v>155</v>
      </c>
      <c r="C1852" s="1" t="s">
        <v>482</v>
      </c>
      <c r="D1852" s="1" t="s">
        <v>305</v>
      </c>
      <c r="E1852" s="26" t="e">
        <f>+#REF!</f>
        <v>#REF!</v>
      </c>
      <c r="F1852" s="26" t="e">
        <f>+#REF!</f>
        <v>#REF!</v>
      </c>
      <c r="G1852" s="17">
        <v>3</v>
      </c>
      <c r="H1852" s="17" t="s">
        <v>9</v>
      </c>
      <c r="I1852" s="30" t="s">
        <v>58</v>
      </c>
      <c r="J1852" s="22"/>
      <c r="K1852" s="22"/>
      <c r="L1852" s="8">
        <f t="shared" si="2630"/>
        <v>0</v>
      </c>
      <c r="M1852" s="24">
        <f t="shared" si="2621"/>
        <v>0</v>
      </c>
      <c r="N1852" s="14"/>
    </row>
    <row r="1853" spans="1:14" x14ac:dyDescent="0.25">
      <c r="A1853" s="20">
        <v>44589</v>
      </c>
      <c r="B1853" s="1">
        <f t="shared" ref="B1853" si="2632">B1850</f>
        <v>155</v>
      </c>
      <c r="C1853" s="1" t="s">
        <v>482</v>
      </c>
      <c r="D1853" s="1" t="s">
        <v>305</v>
      </c>
      <c r="E1853" s="26" t="e">
        <f t="shared" ref="E1853:F1853" si="2633">+E1852</f>
        <v>#REF!</v>
      </c>
      <c r="F1853" s="26" t="e">
        <f t="shared" si="2633"/>
        <v>#REF!</v>
      </c>
      <c r="G1853" s="17">
        <v>4</v>
      </c>
      <c r="H1853" s="17" t="s">
        <v>9</v>
      </c>
      <c r="I1853" s="30" t="s">
        <v>22</v>
      </c>
      <c r="J1853" s="22"/>
      <c r="K1853" s="22"/>
      <c r="L1853" s="8">
        <f t="shared" si="2630"/>
        <v>0</v>
      </c>
      <c r="M1853" s="24">
        <f t="shared" si="2621"/>
        <v>0</v>
      </c>
      <c r="N1853" s="14"/>
    </row>
    <row r="1854" spans="1:14" x14ac:dyDescent="0.25">
      <c r="A1854" s="20">
        <v>44589</v>
      </c>
      <c r="B1854" s="1">
        <f t="shared" ref="B1854" si="2634">B1850</f>
        <v>155</v>
      </c>
      <c r="C1854" s="1" t="s">
        <v>482</v>
      </c>
      <c r="D1854" s="1" t="s">
        <v>305</v>
      </c>
      <c r="E1854" s="26" t="e">
        <f t="shared" ref="E1854:F1854" si="2635">+E1853</f>
        <v>#REF!</v>
      </c>
      <c r="F1854" s="26" t="e">
        <f t="shared" si="2635"/>
        <v>#REF!</v>
      </c>
      <c r="G1854" s="17">
        <v>5</v>
      </c>
      <c r="H1854" s="17" t="s">
        <v>9</v>
      </c>
      <c r="I1854" s="30" t="s">
        <v>34</v>
      </c>
      <c r="J1854" s="22"/>
      <c r="K1854" s="63"/>
      <c r="L1854" s="8">
        <f t="shared" si="2630"/>
        <v>0</v>
      </c>
      <c r="M1854" s="24">
        <f t="shared" si="2621"/>
        <v>0</v>
      </c>
      <c r="N1854" s="14"/>
    </row>
    <row r="1855" spans="1:14" x14ac:dyDescent="0.25">
      <c r="A1855" s="20">
        <v>44589</v>
      </c>
      <c r="B1855" s="1">
        <f t="shared" ref="B1855" si="2636">B1850</f>
        <v>155</v>
      </c>
      <c r="C1855" s="1" t="s">
        <v>482</v>
      </c>
      <c r="D1855" s="1" t="s">
        <v>305</v>
      </c>
      <c r="E1855" s="26" t="e">
        <f t="shared" ref="E1855:F1855" si="2637">+E1854</f>
        <v>#REF!</v>
      </c>
      <c r="F1855" s="26" t="e">
        <f t="shared" si="2637"/>
        <v>#REF!</v>
      </c>
      <c r="G1855" s="17">
        <v>6</v>
      </c>
      <c r="H1855" s="17" t="s">
        <v>9</v>
      </c>
      <c r="I1855" s="30" t="s">
        <v>35</v>
      </c>
      <c r="J1855" s="22"/>
      <c r="K1855" s="22"/>
      <c r="L1855" s="8">
        <f t="shared" si="2630"/>
        <v>0</v>
      </c>
      <c r="M1855" s="24">
        <f t="shared" si="2621"/>
        <v>0</v>
      </c>
      <c r="N1855" s="14"/>
    </row>
    <row r="1856" spans="1:14" x14ac:dyDescent="0.25">
      <c r="A1856" s="20">
        <v>44589</v>
      </c>
      <c r="B1856" s="1">
        <f t="shared" ref="B1856" si="2638">B1850</f>
        <v>155</v>
      </c>
      <c r="C1856" s="1" t="s">
        <v>482</v>
      </c>
      <c r="D1856" s="1" t="s">
        <v>305</v>
      </c>
      <c r="E1856" s="26" t="e">
        <f t="shared" ref="E1856:F1856" si="2639">+E1855</f>
        <v>#REF!</v>
      </c>
      <c r="F1856" s="26" t="e">
        <f t="shared" si="2639"/>
        <v>#REF!</v>
      </c>
      <c r="G1856" s="17">
        <v>7</v>
      </c>
      <c r="H1856" s="17" t="s">
        <v>9</v>
      </c>
      <c r="I1856" s="30" t="s">
        <v>36</v>
      </c>
      <c r="J1856" s="22"/>
      <c r="K1856" s="22"/>
      <c r="L1856" s="8">
        <f t="shared" si="2630"/>
        <v>0</v>
      </c>
      <c r="M1856" s="24">
        <f t="shared" si="2621"/>
        <v>0</v>
      </c>
      <c r="N1856" s="14"/>
    </row>
    <row r="1857" spans="1:14" x14ac:dyDescent="0.25">
      <c r="A1857" s="20">
        <v>44589</v>
      </c>
      <c r="B1857" s="1">
        <f t="shared" ref="B1857" si="2640">B1850</f>
        <v>155</v>
      </c>
      <c r="C1857" s="1" t="s">
        <v>482</v>
      </c>
      <c r="D1857" s="1" t="s">
        <v>305</v>
      </c>
      <c r="E1857" s="26" t="e">
        <f>+E1856</f>
        <v>#REF!</v>
      </c>
      <c r="F1857" s="26" t="e">
        <f>+F1856</f>
        <v>#REF!</v>
      </c>
      <c r="G1857" s="17">
        <v>8</v>
      </c>
      <c r="H1857" s="17" t="s">
        <v>9</v>
      </c>
      <c r="I1857" s="30" t="s">
        <v>59</v>
      </c>
      <c r="J1857" s="22">
        <v>10.8</v>
      </c>
      <c r="K1857" s="22">
        <v>8.3000000000000007</v>
      </c>
      <c r="L1857" s="8">
        <f t="shared" si="2630"/>
        <v>2.5</v>
      </c>
      <c r="M1857" s="24">
        <f t="shared" si="2621"/>
        <v>0.51020408163265307</v>
      </c>
      <c r="N1857" s="14"/>
    </row>
    <row r="1858" spans="1:14" x14ac:dyDescent="0.25">
      <c r="A1858" s="20">
        <v>44589</v>
      </c>
      <c r="B1858" s="1">
        <f t="shared" ref="B1858" si="2641">B1850</f>
        <v>155</v>
      </c>
      <c r="C1858" s="1" t="s">
        <v>482</v>
      </c>
      <c r="D1858" s="1" t="s">
        <v>305</v>
      </c>
      <c r="E1858" s="26" t="e">
        <f t="shared" ref="E1858:F1858" si="2642">+E1857</f>
        <v>#REF!</v>
      </c>
      <c r="F1858" s="26" t="e">
        <f t="shared" si="2642"/>
        <v>#REF!</v>
      </c>
      <c r="G1858" s="17">
        <v>9</v>
      </c>
      <c r="H1858" s="17" t="s">
        <v>9</v>
      </c>
      <c r="I1858" s="30" t="s">
        <v>38</v>
      </c>
      <c r="J1858" s="22"/>
      <c r="K1858" s="22"/>
      <c r="L1858" s="8">
        <f t="shared" si="2630"/>
        <v>0</v>
      </c>
      <c r="M1858" s="24">
        <f t="shared" ref="M1858:M1869" si="2643">+L1858/SUMIF(C:C,C1858,L:L)</f>
        <v>0</v>
      </c>
      <c r="N1858" s="14"/>
    </row>
    <row r="1859" spans="1:14" x14ac:dyDescent="0.25">
      <c r="A1859" s="20">
        <v>44589</v>
      </c>
      <c r="B1859" s="1">
        <f t="shared" ref="B1859" si="2644">B1850</f>
        <v>155</v>
      </c>
      <c r="C1859" s="1" t="s">
        <v>482</v>
      </c>
      <c r="D1859" s="1" t="s">
        <v>305</v>
      </c>
      <c r="E1859" s="26" t="e">
        <f t="shared" ref="E1859:F1859" si="2645">+E1858</f>
        <v>#REF!</v>
      </c>
      <c r="F1859" s="26" t="e">
        <f t="shared" si="2645"/>
        <v>#REF!</v>
      </c>
      <c r="G1859" s="17">
        <v>10</v>
      </c>
      <c r="H1859" s="17" t="s">
        <v>9</v>
      </c>
      <c r="I1859" s="30" t="s">
        <v>23</v>
      </c>
      <c r="J1859" s="22">
        <v>2.7</v>
      </c>
      <c r="K1859" s="22">
        <v>0.55000000000000004</v>
      </c>
      <c r="L1859" s="8">
        <f t="shared" si="2630"/>
        <v>2.1500000000000004</v>
      </c>
      <c r="M1859" s="24">
        <f t="shared" si="2643"/>
        <v>0.43877551020408168</v>
      </c>
      <c r="N1859" s="14"/>
    </row>
    <row r="1860" spans="1:14" x14ac:dyDescent="0.25">
      <c r="A1860" s="20">
        <v>44589</v>
      </c>
      <c r="B1860" s="1">
        <f t="shared" ref="B1860" si="2646">B1850</f>
        <v>155</v>
      </c>
      <c r="C1860" s="1" t="s">
        <v>482</v>
      </c>
      <c r="D1860" s="1" t="s">
        <v>305</v>
      </c>
      <c r="E1860" s="26" t="e">
        <f t="shared" ref="E1860:F1860" si="2647">+E1859</f>
        <v>#REF!</v>
      </c>
      <c r="F1860" s="26" t="e">
        <f t="shared" si="2647"/>
        <v>#REF!</v>
      </c>
      <c r="G1860" s="17">
        <v>11</v>
      </c>
      <c r="H1860" s="17" t="s">
        <v>9</v>
      </c>
      <c r="I1860" s="30" t="s">
        <v>60</v>
      </c>
      <c r="J1860" s="22"/>
      <c r="K1860" s="22"/>
      <c r="L1860" s="8">
        <f t="shared" si="2630"/>
        <v>0</v>
      </c>
      <c r="M1860" s="24">
        <f t="shared" si="2643"/>
        <v>0</v>
      </c>
      <c r="N1860" s="14"/>
    </row>
    <row r="1861" spans="1:14" ht="15.75" thickBot="1" x14ac:dyDescent="0.3">
      <c r="A1861" s="20">
        <v>44589</v>
      </c>
      <c r="B1861" s="57">
        <f t="shared" ref="B1861" si="2648">B1850</f>
        <v>155</v>
      </c>
      <c r="C1861" s="57" t="s">
        <v>482</v>
      </c>
      <c r="D1861" s="57" t="s">
        <v>305</v>
      </c>
      <c r="E1861" s="26" t="e">
        <f t="shared" ref="E1861:F1861" si="2649">+E1860</f>
        <v>#REF!</v>
      </c>
      <c r="F1861" s="26" t="e">
        <f t="shared" si="2649"/>
        <v>#REF!</v>
      </c>
      <c r="G1861" s="18">
        <f>+G1860+1</f>
        <v>12</v>
      </c>
      <c r="H1861" s="18" t="s">
        <v>10</v>
      </c>
      <c r="I1861" s="46" t="s">
        <v>10</v>
      </c>
      <c r="J1861" s="22">
        <v>0.8</v>
      </c>
      <c r="K1861" s="63">
        <v>0.55000000000000004</v>
      </c>
      <c r="L1861" s="8">
        <f t="shared" si="2630"/>
        <v>0.25</v>
      </c>
      <c r="M1861" s="24">
        <f t="shared" si="2643"/>
        <v>5.10204081632653E-2</v>
      </c>
      <c r="N1861" s="14"/>
    </row>
    <row r="1862" spans="1:14" x14ac:dyDescent="0.25">
      <c r="A1862" s="19">
        <v>44589</v>
      </c>
      <c r="B1862" s="15">
        <f t="shared" ref="B1862" si="2650">B1850+1</f>
        <v>156</v>
      </c>
      <c r="C1862" s="15" t="s">
        <v>472</v>
      </c>
      <c r="D1862" s="15" t="s">
        <v>307</v>
      </c>
      <c r="E1862" s="25"/>
      <c r="F1862" s="25">
        <f>+SUM(L1862:L1873)</f>
        <v>1.0999999999999994</v>
      </c>
      <c r="G1862" s="16">
        <v>1</v>
      </c>
      <c r="H1862" s="16" t="s">
        <v>9</v>
      </c>
      <c r="I1862" s="59" t="s">
        <v>56</v>
      </c>
      <c r="J1862" s="21"/>
      <c r="K1862" s="21"/>
      <c r="L1862" s="12">
        <f>+J1862-K1862</f>
        <v>0</v>
      </c>
      <c r="M1862" s="23">
        <f t="shared" si="2643"/>
        <v>0</v>
      </c>
      <c r="N1862" s="13"/>
    </row>
    <row r="1863" spans="1:14" x14ac:dyDescent="0.25">
      <c r="A1863" s="20">
        <v>44589</v>
      </c>
      <c r="B1863" s="1">
        <f t="shared" ref="B1863" si="2651">B1862</f>
        <v>156</v>
      </c>
      <c r="C1863" s="1" t="s">
        <v>472</v>
      </c>
      <c r="D1863" s="1" t="s">
        <v>307</v>
      </c>
      <c r="E1863" s="26">
        <f>+E1862</f>
        <v>0</v>
      </c>
      <c r="F1863" s="28" t="e">
        <f>+(F1862-E1862)/E1862</f>
        <v>#DIV/0!</v>
      </c>
      <c r="G1863" s="17">
        <v>2</v>
      </c>
      <c r="H1863" s="17" t="s">
        <v>9</v>
      </c>
      <c r="I1863" s="30" t="s">
        <v>57</v>
      </c>
      <c r="J1863" s="22">
        <v>0.7</v>
      </c>
      <c r="K1863" s="22">
        <v>0.55000000000000004</v>
      </c>
      <c r="L1863" s="8">
        <f t="shared" ref="L1863:L1873" si="2652">+J1863-K1863</f>
        <v>0.14999999999999991</v>
      </c>
      <c r="M1863" s="24">
        <f t="shared" si="2643"/>
        <v>0.13636363636363635</v>
      </c>
      <c r="N1863" s="14"/>
    </row>
    <row r="1864" spans="1:14" x14ac:dyDescent="0.25">
      <c r="A1864" s="20">
        <v>44589</v>
      </c>
      <c r="B1864" s="1">
        <f t="shared" ref="B1864" si="2653">B1862</f>
        <v>156</v>
      </c>
      <c r="C1864" s="1" t="s">
        <v>472</v>
      </c>
      <c r="D1864" s="1" t="s">
        <v>307</v>
      </c>
      <c r="E1864" s="26" t="e">
        <f>+#REF!</f>
        <v>#REF!</v>
      </c>
      <c r="F1864" s="26" t="e">
        <f>+#REF!</f>
        <v>#REF!</v>
      </c>
      <c r="G1864" s="17">
        <v>3</v>
      </c>
      <c r="H1864" s="17" t="s">
        <v>9</v>
      </c>
      <c r="I1864" s="30" t="s">
        <v>58</v>
      </c>
      <c r="J1864" s="22">
        <v>0.9</v>
      </c>
      <c r="K1864" s="22">
        <v>0.55000000000000004</v>
      </c>
      <c r="L1864" s="8">
        <f t="shared" si="2652"/>
        <v>0.35</v>
      </c>
      <c r="M1864" s="24">
        <f t="shared" si="2643"/>
        <v>0.31818181818181834</v>
      </c>
      <c r="N1864" s="14"/>
    </row>
    <row r="1865" spans="1:14" x14ac:dyDescent="0.25">
      <c r="A1865" s="20">
        <v>44589</v>
      </c>
      <c r="B1865" s="1">
        <f t="shared" ref="B1865" si="2654">B1862</f>
        <v>156</v>
      </c>
      <c r="C1865" s="1" t="s">
        <v>472</v>
      </c>
      <c r="D1865" s="1" t="s">
        <v>307</v>
      </c>
      <c r="E1865" s="26" t="e">
        <f t="shared" ref="E1865:F1865" si="2655">+E1864</f>
        <v>#REF!</v>
      </c>
      <c r="F1865" s="26" t="e">
        <f t="shared" si="2655"/>
        <v>#REF!</v>
      </c>
      <c r="G1865" s="17">
        <v>4</v>
      </c>
      <c r="H1865" s="17" t="s">
        <v>9</v>
      </c>
      <c r="I1865" s="30" t="s">
        <v>22</v>
      </c>
      <c r="J1865" s="22">
        <v>0.6</v>
      </c>
      <c r="K1865" s="22">
        <v>0.55000000000000004</v>
      </c>
      <c r="L1865" s="8">
        <f t="shared" si="2652"/>
        <v>4.9999999999999933E-2</v>
      </c>
      <c r="M1865" s="24">
        <f t="shared" si="2643"/>
        <v>4.5454545454545421E-2</v>
      </c>
      <c r="N1865" s="14"/>
    </row>
    <row r="1866" spans="1:14" x14ac:dyDescent="0.25">
      <c r="A1866" s="20">
        <v>44589</v>
      </c>
      <c r="B1866" s="1">
        <f t="shared" ref="B1866" si="2656">B1862</f>
        <v>156</v>
      </c>
      <c r="C1866" s="1" t="s">
        <v>472</v>
      </c>
      <c r="D1866" s="1" t="s">
        <v>307</v>
      </c>
      <c r="E1866" s="26" t="e">
        <f t="shared" ref="E1866:F1866" si="2657">+E1865</f>
        <v>#REF!</v>
      </c>
      <c r="F1866" s="26" t="e">
        <f t="shared" si="2657"/>
        <v>#REF!</v>
      </c>
      <c r="G1866" s="17">
        <v>5</v>
      </c>
      <c r="H1866" s="17" t="s">
        <v>9</v>
      </c>
      <c r="I1866" s="30" t="s">
        <v>34</v>
      </c>
      <c r="J1866" s="22"/>
      <c r="K1866" s="63"/>
      <c r="L1866" s="8">
        <f t="shared" si="2652"/>
        <v>0</v>
      </c>
      <c r="M1866" s="24">
        <f t="shared" si="2643"/>
        <v>0</v>
      </c>
      <c r="N1866" s="14"/>
    </row>
    <row r="1867" spans="1:14" x14ac:dyDescent="0.25">
      <c r="A1867" s="20">
        <v>44589</v>
      </c>
      <c r="B1867" s="1">
        <f t="shared" ref="B1867" si="2658">B1862</f>
        <v>156</v>
      </c>
      <c r="C1867" s="1" t="s">
        <v>472</v>
      </c>
      <c r="D1867" s="1" t="s">
        <v>307</v>
      </c>
      <c r="E1867" s="26" t="e">
        <f t="shared" ref="E1867:F1867" si="2659">+E1866</f>
        <v>#REF!</v>
      </c>
      <c r="F1867" s="26" t="e">
        <f t="shared" si="2659"/>
        <v>#REF!</v>
      </c>
      <c r="G1867" s="17">
        <v>6</v>
      </c>
      <c r="H1867" s="17" t="s">
        <v>9</v>
      </c>
      <c r="I1867" s="30" t="s">
        <v>35</v>
      </c>
      <c r="J1867" s="22"/>
      <c r="K1867" s="22"/>
      <c r="L1867" s="8">
        <f t="shared" si="2652"/>
        <v>0</v>
      </c>
      <c r="M1867" s="24">
        <f t="shared" si="2643"/>
        <v>0</v>
      </c>
      <c r="N1867" s="14"/>
    </row>
    <row r="1868" spans="1:14" x14ac:dyDescent="0.25">
      <c r="A1868" s="20">
        <v>44589</v>
      </c>
      <c r="B1868" s="1">
        <f t="shared" ref="B1868" si="2660">B1862</f>
        <v>156</v>
      </c>
      <c r="C1868" s="1" t="s">
        <v>472</v>
      </c>
      <c r="D1868" s="1" t="s">
        <v>307</v>
      </c>
      <c r="E1868" s="26" t="e">
        <f t="shared" ref="E1868:F1868" si="2661">+E1867</f>
        <v>#REF!</v>
      </c>
      <c r="F1868" s="26" t="e">
        <f t="shared" si="2661"/>
        <v>#REF!</v>
      </c>
      <c r="G1868" s="17">
        <v>7</v>
      </c>
      <c r="H1868" s="17" t="s">
        <v>9</v>
      </c>
      <c r="I1868" s="30" t="s">
        <v>36</v>
      </c>
      <c r="J1868" s="22"/>
      <c r="K1868" s="22"/>
      <c r="L1868" s="8">
        <f t="shared" si="2652"/>
        <v>0</v>
      </c>
      <c r="M1868" s="24">
        <f t="shared" si="2643"/>
        <v>0</v>
      </c>
      <c r="N1868" s="14"/>
    </row>
    <row r="1869" spans="1:14" x14ac:dyDescent="0.25">
      <c r="A1869" s="20">
        <v>44589</v>
      </c>
      <c r="B1869" s="1">
        <f t="shared" ref="B1869" si="2662">B1862</f>
        <v>156</v>
      </c>
      <c r="C1869" s="1" t="s">
        <v>472</v>
      </c>
      <c r="D1869" s="1" t="s">
        <v>307</v>
      </c>
      <c r="E1869" s="26" t="e">
        <f>+E1868</f>
        <v>#REF!</v>
      </c>
      <c r="F1869" s="26" t="e">
        <f>+F1868</f>
        <v>#REF!</v>
      </c>
      <c r="G1869" s="17">
        <v>8</v>
      </c>
      <c r="H1869" s="17" t="s">
        <v>9</v>
      </c>
      <c r="I1869" s="30" t="s">
        <v>59</v>
      </c>
      <c r="J1869" s="22">
        <v>0.65</v>
      </c>
      <c r="K1869" s="22">
        <v>0.55000000000000004</v>
      </c>
      <c r="L1869" s="8">
        <f t="shared" si="2652"/>
        <v>9.9999999999999978E-2</v>
      </c>
      <c r="M1869" s="24">
        <f t="shared" si="2643"/>
        <v>9.0909090909090939E-2</v>
      </c>
      <c r="N1869" s="14"/>
    </row>
    <row r="1870" spans="1:14" x14ac:dyDescent="0.25">
      <c r="A1870" s="20">
        <v>44589</v>
      </c>
      <c r="B1870" s="1">
        <f t="shared" ref="B1870" si="2663">B1862</f>
        <v>156</v>
      </c>
      <c r="C1870" s="1" t="s">
        <v>472</v>
      </c>
      <c r="D1870" s="1" t="s">
        <v>307</v>
      </c>
      <c r="E1870" s="26" t="e">
        <f t="shared" ref="E1870:F1870" si="2664">+E1869</f>
        <v>#REF!</v>
      </c>
      <c r="F1870" s="26" t="e">
        <f t="shared" si="2664"/>
        <v>#REF!</v>
      </c>
      <c r="G1870" s="17">
        <v>9</v>
      </c>
      <c r="H1870" s="17" t="s">
        <v>9</v>
      </c>
      <c r="I1870" s="30" t="s">
        <v>38</v>
      </c>
      <c r="J1870" s="22"/>
      <c r="K1870" s="22"/>
      <c r="L1870" s="8">
        <f t="shared" si="2652"/>
        <v>0</v>
      </c>
      <c r="M1870" s="24">
        <f t="shared" ref="M1870:M1933" si="2665">+L1870/SUMIF(C:C,C1870,L:L)</f>
        <v>0</v>
      </c>
      <c r="N1870" s="14"/>
    </row>
    <row r="1871" spans="1:14" x14ac:dyDescent="0.25">
      <c r="A1871" s="20">
        <v>44589</v>
      </c>
      <c r="B1871" s="1">
        <f t="shared" ref="B1871" si="2666">B1862</f>
        <v>156</v>
      </c>
      <c r="C1871" s="1" t="s">
        <v>472</v>
      </c>
      <c r="D1871" s="1" t="s">
        <v>307</v>
      </c>
      <c r="E1871" s="26" t="e">
        <f t="shared" ref="E1871:F1871" si="2667">+E1870</f>
        <v>#REF!</v>
      </c>
      <c r="F1871" s="26" t="e">
        <f t="shared" si="2667"/>
        <v>#REF!</v>
      </c>
      <c r="G1871" s="17">
        <v>10</v>
      </c>
      <c r="H1871" s="17" t="s">
        <v>9</v>
      </c>
      <c r="I1871" s="30" t="s">
        <v>23</v>
      </c>
      <c r="J1871" s="22">
        <v>0.55000000000000004</v>
      </c>
      <c r="K1871" s="22">
        <v>0.5</v>
      </c>
      <c r="L1871" s="8">
        <f t="shared" si="2652"/>
        <v>5.0000000000000044E-2</v>
      </c>
      <c r="M1871" s="24">
        <f t="shared" si="2665"/>
        <v>4.5454545454545518E-2</v>
      </c>
      <c r="N1871" s="14"/>
    </row>
    <row r="1872" spans="1:14" x14ac:dyDescent="0.25">
      <c r="A1872" s="20">
        <v>44589</v>
      </c>
      <c r="B1872" s="1">
        <f t="shared" ref="B1872" si="2668">B1862</f>
        <v>156</v>
      </c>
      <c r="C1872" s="1" t="s">
        <v>472</v>
      </c>
      <c r="D1872" s="1" t="s">
        <v>307</v>
      </c>
      <c r="E1872" s="26" t="e">
        <f t="shared" ref="E1872:F1872" si="2669">+E1871</f>
        <v>#REF!</v>
      </c>
      <c r="F1872" s="26" t="e">
        <f t="shared" si="2669"/>
        <v>#REF!</v>
      </c>
      <c r="G1872" s="17">
        <v>11</v>
      </c>
      <c r="H1872" s="17" t="s">
        <v>9</v>
      </c>
      <c r="I1872" s="30" t="s">
        <v>60</v>
      </c>
      <c r="J1872" s="22">
        <v>0.6</v>
      </c>
      <c r="K1872" s="22">
        <v>0.55000000000000004</v>
      </c>
      <c r="L1872" s="8">
        <f t="shared" si="2652"/>
        <v>4.9999999999999933E-2</v>
      </c>
      <c r="M1872" s="24">
        <f t="shared" si="2665"/>
        <v>4.5454545454545421E-2</v>
      </c>
      <c r="N1872" s="14"/>
    </row>
    <row r="1873" spans="1:14" ht="15.75" thickBot="1" x14ac:dyDescent="0.3">
      <c r="A1873" s="20">
        <v>44589</v>
      </c>
      <c r="B1873" s="57">
        <f t="shared" ref="B1873" si="2670">B1862</f>
        <v>156</v>
      </c>
      <c r="C1873" s="1" t="s">
        <v>472</v>
      </c>
      <c r="D1873" s="57" t="s">
        <v>307</v>
      </c>
      <c r="E1873" s="26" t="e">
        <f t="shared" ref="E1873:F1873" si="2671">+E1872</f>
        <v>#REF!</v>
      </c>
      <c r="F1873" s="26" t="e">
        <f t="shared" si="2671"/>
        <v>#REF!</v>
      </c>
      <c r="G1873" s="18">
        <f>+G1872+1</f>
        <v>12</v>
      </c>
      <c r="H1873" s="18" t="s">
        <v>10</v>
      </c>
      <c r="I1873" s="46" t="s">
        <v>10</v>
      </c>
      <c r="J1873" s="22">
        <v>8.65</v>
      </c>
      <c r="K1873" s="63">
        <v>8.3000000000000007</v>
      </c>
      <c r="L1873" s="8">
        <f t="shared" si="2652"/>
        <v>0.34999999999999964</v>
      </c>
      <c r="M1873" s="24">
        <f t="shared" si="2665"/>
        <v>0.31818181818181801</v>
      </c>
      <c r="N1873" s="14"/>
    </row>
    <row r="1874" spans="1:14" x14ac:dyDescent="0.25">
      <c r="A1874" s="19">
        <v>44589</v>
      </c>
      <c r="B1874" s="15">
        <f t="shared" ref="B1874" si="2672">B1862+1</f>
        <v>157</v>
      </c>
      <c r="C1874" s="1" t="s">
        <v>471</v>
      </c>
      <c r="D1874" s="15" t="s">
        <v>246</v>
      </c>
      <c r="E1874" s="25">
        <f>13.6-1.2</f>
        <v>12.4</v>
      </c>
      <c r="F1874" s="25">
        <f>+SUM(L1874:L1885)</f>
        <v>12.749999999999996</v>
      </c>
      <c r="G1874" s="16">
        <v>1</v>
      </c>
      <c r="H1874" s="16" t="s">
        <v>9</v>
      </c>
      <c r="I1874" s="59" t="s">
        <v>56</v>
      </c>
      <c r="J1874" s="21"/>
      <c r="K1874" s="21"/>
      <c r="L1874" s="12">
        <f>+J1874-K1874</f>
        <v>0</v>
      </c>
      <c r="M1874" s="23">
        <f t="shared" si="2665"/>
        <v>0</v>
      </c>
      <c r="N1874" s="13"/>
    </row>
    <row r="1875" spans="1:14" x14ac:dyDescent="0.25">
      <c r="A1875" s="20">
        <v>44589</v>
      </c>
      <c r="B1875" s="1">
        <f t="shared" ref="B1875" si="2673">B1874</f>
        <v>157</v>
      </c>
      <c r="C1875" s="1" t="s">
        <v>471</v>
      </c>
      <c r="D1875" s="1" t="s">
        <v>246</v>
      </c>
      <c r="E1875" s="26">
        <f>+E1874</f>
        <v>12.4</v>
      </c>
      <c r="F1875" s="28">
        <f>+(F1874-E1874)/E1874</f>
        <v>2.8225806451612587E-2</v>
      </c>
      <c r="G1875" s="17">
        <v>2</v>
      </c>
      <c r="H1875" s="17" t="s">
        <v>9</v>
      </c>
      <c r="I1875" s="30" t="s">
        <v>57</v>
      </c>
      <c r="J1875" s="22">
        <v>0.6</v>
      </c>
      <c r="K1875" s="22">
        <v>0.55000000000000004</v>
      </c>
      <c r="L1875" s="8">
        <f t="shared" ref="L1875:L1885" si="2674">+J1875-K1875</f>
        <v>4.9999999999999933E-2</v>
      </c>
      <c r="M1875" s="24">
        <f t="shared" si="2665"/>
        <v>3.921568627450976E-3</v>
      </c>
      <c r="N1875" s="14"/>
    </row>
    <row r="1876" spans="1:14" x14ac:dyDescent="0.25">
      <c r="A1876" s="20">
        <v>44589</v>
      </c>
      <c r="B1876" s="1">
        <f t="shared" ref="B1876" si="2675">B1874</f>
        <v>157</v>
      </c>
      <c r="C1876" s="1" t="s">
        <v>471</v>
      </c>
      <c r="D1876" s="1" t="s">
        <v>246</v>
      </c>
      <c r="E1876" s="26" t="e">
        <f>+#REF!</f>
        <v>#REF!</v>
      </c>
      <c r="F1876" s="26" t="e">
        <f>+#REF!</f>
        <v>#REF!</v>
      </c>
      <c r="G1876" s="17">
        <v>3</v>
      </c>
      <c r="H1876" s="17" t="s">
        <v>9</v>
      </c>
      <c r="I1876" s="30" t="s">
        <v>58</v>
      </c>
      <c r="J1876" s="22"/>
      <c r="K1876" s="22"/>
      <c r="L1876" s="8">
        <f t="shared" si="2674"/>
        <v>0</v>
      </c>
      <c r="M1876" s="24">
        <f t="shared" si="2665"/>
        <v>0</v>
      </c>
      <c r="N1876" s="14"/>
    </row>
    <row r="1877" spans="1:14" x14ac:dyDescent="0.25">
      <c r="A1877" s="20">
        <v>44589</v>
      </c>
      <c r="B1877" s="1">
        <f t="shared" ref="B1877" si="2676">B1874</f>
        <v>157</v>
      </c>
      <c r="C1877" s="1" t="s">
        <v>471</v>
      </c>
      <c r="D1877" s="1" t="s">
        <v>246</v>
      </c>
      <c r="E1877" s="26" t="e">
        <f t="shared" ref="E1877:F1877" si="2677">+E1876</f>
        <v>#REF!</v>
      </c>
      <c r="F1877" s="26" t="e">
        <f t="shared" si="2677"/>
        <v>#REF!</v>
      </c>
      <c r="G1877" s="17">
        <v>4</v>
      </c>
      <c r="H1877" s="17" t="s">
        <v>9</v>
      </c>
      <c r="I1877" s="30" t="s">
        <v>22</v>
      </c>
      <c r="J1877" s="22"/>
      <c r="K1877" s="22"/>
      <c r="L1877" s="8">
        <f t="shared" si="2674"/>
        <v>0</v>
      </c>
      <c r="M1877" s="24">
        <f t="shared" si="2665"/>
        <v>0</v>
      </c>
      <c r="N1877" s="14"/>
    </row>
    <row r="1878" spans="1:14" x14ac:dyDescent="0.25">
      <c r="A1878" s="20">
        <v>44589</v>
      </c>
      <c r="B1878" s="1">
        <f t="shared" ref="B1878" si="2678">B1874</f>
        <v>157</v>
      </c>
      <c r="C1878" s="1" t="s">
        <v>471</v>
      </c>
      <c r="D1878" s="1" t="s">
        <v>246</v>
      </c>
      <c r="E1878" s="26" t="e">
        <f t="shared" ref="E1878:F1878" si="2679">+E1877</f>
        <v>#REF!</v>
      </c>
      <c r="F1878" s="26" t="e">
        <f t="shared" si="2679"/>
        <v>#REF!</v>
      </c>
      <c r="G1878" s="17">
        <v>5</v>
      </c>
      <c r="H1878" s="17" t="s">
        <v>9</v>
      </c>
      <c r="I1878" s="30" t="s">
        <v>34</v>
      </c>
      <c r="J1878" s="22"/>
      <c r="K1878" s="63"/>
      <c r="L1878" s="8">
        <f t="shared" si="2674"/>
        <v>0</v>
      </c>
      <c r="M1878" s="24">
        <f t="shared" si="2665"/>
        <v>0</v>
      </c>
      <c r="N1878" s="14"/>
    </row>
    <row r="1879" spans="1:14" x14ac:dyDescent="0.25">
      <c r="A1879" s="20">
        <v>44589</v>
      </c>
      <c r="B1879" s="1">
        <f t="shared" ref="B1879" si="2680">B1874</f>
        <v>157</v>
      </c>
      <c r="C1879" s="1" t="s">
        <v>471</v>
      </c>
      <c r="D1879" s="1" t="s">
        <v>246</v>
      </c>
      <c r="E1879" s="26" t="e">
        <f t="shared" ref="E1879:F1879" si="2681">+E1878</f>
        <v>#REF!</v>
      </c>
      <c r="F1879" s="26" t="e">
        <f t="shared" si="2681"/>
        <v>#REF!</v>
      </c>
      <c r="G1879" s="17">
        <v>6</v>
      </c>
      <c r="H1879" s="17" t="s">
        <v>9</v>
      </c>
      <c r="I1879" s="30" t="s">
        <v>35</v>
      </c>
      <c r="J1879" s="22"/>
      <c r="K1879" s="22"/>
      <c r="L1879" s="8">
        <f t="shared" si="2674"/>
        <v>0</v>
      </c>
      <c r="M1879" s="24">
        <f t="shared" si="2665"/>
        <v>0</v>
      </c>
      <c r="N1879" s="14"/>
    </row>
    <row r="1880" spans="1:14" x14ac:dyDescent="0.25">
      <c r="A1880" s="20">
        <v>44589</v>
      </c>
      <c r="B1880" s="1">
        <f t="shared" ref="B1880" si="2682">B1874</f>
        <v>157</v>
      </c>
      <c r="C1880" s="1" t="s">
        <v>471</v>
      </c>
      <c r="D1880" s="1" t="s">
        <v>246</v>
      </c>
      <c r="E1880" s="26" t="e">
        <f t="shared" ref="E1880:F1880" si="2683">+E1879</f>
        <v>#REF!</v>
      </c>
      <c r="F1880" s="26" t="e">
        <f t="shared" si="2683"/>
        <v>#REF!</v>
      </c>
      <c r="G1880" s="17">
        <v>7</v>
      </c>
      <c r="H1880" s="17" t="s">
        <v>9</v>
      </c>
      <c r="I1880" s="30" t="s">
        <v>36</v>
      </c>
      <c r="J1880" s="22"/>
      <c r="K1880" s="22"/>
      <c r="L1880" s="8">
        <f t="shared" si="2674"/>
        <v>0</v>
      </c>
      <c r="M1880" s="24">
        <f t="shared" si="2665"/>
        <v>0</v>
      </c>
      <c r="N1880" s="14"/>
    </row>
    <row r="1881" spans="1:14" x14ac:dyDescent="0.25">
      <c r="A1881" s="20">
        <v>44589</v>
      </c>
      <c r="B1881" s="1">
        <f t="shared" ref="B1881" si="2684">B1874</f>
        <v>157</v>
      </c>
      <c r="C1881" s="1" t="s">
        <v>471</v>
      </c>
      <c r="D1881" s="1" t="s">
        <v>246</v>
      </c>
      <c r="E1881" s="26" t="e">
        <f>+E1880</f>
        <v>#REF!</v>
      </c>
      <c r="F1881" s="26" t="e">
        <f>+F1880</f>
        <v>#REF!</v>
      </c>
      <c r="G1881" s="17">
        <v>8</v>
      </c>
      <c r="H1881" s="17" t="s">
        <v>9</v>
      </c>
      <c r="I1881" s="30" t="s">
        <v>59</v>
      </c>
      <c r="J1881" s="22">
        <f>11.95+13.25</f>
        <v>25.2</v>
      </c>
      <c r="K1881" s="22">
        <f>8.3+8.3</f>
        <v>16.600000000000001</v>
      </c>
      <c r="L1881" s="8">
        <f t="shared" si="2674"/>
        <v>8.5999999999999979</v>
      </c>
      <c r="M1881" s="24">
        <f t="shared" si="2665"/>
        <v>0.67450980392156867</v>
      </c>
      <c r="N1881" s="14"/>
    </row>
    <row r="1882" spans="1:14" x14ac:dyDescent="0.25">
      <c r="A1882" s="20">
        <v>44589</v>
      </c>
      <c r="B1882" s="1">
        <f t="shared" ref="B1882" si="2685">B1874</f>
        <v>157</v>
      </c>
      <c r="C1882" s="1" t="s">
        <v>471</v>
      </c>
      <c r="D1882" s="1" t="s">
        <v>246</v>
      </c>
      <c r="E1882" s="26" t="e">
        <f t="shared" ref="E1882:F1882" si="2686">+E1881</f>
        <v>#REF!</v>
      </c>
      <c r="F1882" s="26" t="e">
        <f t="shared" si="2686"/>
        <v>#REF!</v>
      </c>
      <c r="G1882" s="17">
        <v>9</v>
      </c>
      <c r="H1882" s="17" t="s">
        <v>9</v>
      </c>
      <c r="I1882" s="30" t="s">
        <v>38</v>
      </c>
      <c r="J1882" s="22"/>
      <c r="K1882" s="22"/>
      <c r="L1882" s="8">
        <f t="shared" si="2674"/>
        <v>0</v>
      </c>
      <c r="M1882" s="24">
        <f t="shared" si="2665"/>
        <v>0</v>
      </c>
      <c r="N1882" s="14"/>
    </row>
    <row r="1883" spans="1:14" x14ac:dyDescent="0.25">
      <c r="A1883" s="20">
        <v>44589</v>
      </c>
      <c r="B1883" s="1">
        <f t="shared" ref="B1883" si="2687">B1874</f>
        <v>157</v>
      </c>
      <c r="C1883" s="1" t="s">
        <v>471</v>
      </c>
      <c r="D1883" s="1" t="s">
        <v>246</v>
      </c>
      <c r="E1883" s="26" t="e">
        <f t="shared" ref="E1883:F1883" si="2688">+E1882</f>
        <v>#REF!</v>
      </c>
      <c r="F1883" s="26" t="e">
        <f t="shared" si="2688"/>
        <v>#REF!</v>
      </c>
      <c r="G1883" s="17">
        <v>10</v>
      </c>
      <c r="H1883" s="17" t="s">
        <v>9</v>
      </c>
      <c r="I1883" s="30" t="s">
        <v>23</v>
      </c>
      <c r="J1883" s="22">
        <f>4.1</f>
        <v>4.0999999999999996</v>
      </c>
      <c r="K1883" s="22">
        <f>0.55*2</f>
        <v>1.1000000000000001</v>
      </c>
      <c r="L1883" s="8">
        <f t="shared" si="2674"/>
        <v>2.9999999999999996</v>
      </c>
      <c r="M1883" s="24">
        <f t="shared" si="2665"/>
        <v>0.23529411764705885</v>
      </c>
      <c r="N1883" s="14"/>
    </row>
    <row r="1884" spans="1:14" x14ac:dyDescent="0.25">
      <c r="A1884" s="20">
        <v>44589</v>
      </c>
      <c r="B1884" s="1">
        <f t="shared" ref="B1884" si="2689">B1874</f>
        <v>157</v>
      </c>
      <c r="C1884" s="1" t="s">
        <v>471</v>
      </c>
      <c r="D1884" s="1" t="s">
        <v>246</v>
      </c>
      <c r="E1884" s="26" t="e">
        <f t="shared" ref="E1884:F1884" si="2690">+E1883</f>
        <v>#REF!</v>
      </c>
      <c r="F1884" s="26" t="e">
        <f t="shared" si="2690"/>
        <v>#REF!</v>
      </c>
      <c r="G1884" s="17">
        <v>11</v>
      </c>
      <c r="H1884" s="17" t="s">
        <v>9</v>
      </c>
      <c r="I1884" s="30" t="s">
        <v>60</v>
      </c>
      <c r="J1884" s="22">
        <v>0.75</v>
      </c>
      <c r="K1884" s="22">
        <v>0.55000000000000004</v>
      </c>
      <c r="L1884" s="8">
        <f t="shared" si="2674"/>
        <v>0.19999999999999996</v>
      </c>
      <c r="M1884" s="24">
        <f t="shared" si="2665"/>
        <v>1.5686274509803921E-2</v>
      </c>
      <c r="N1884" s="14"/>
    </row>
    <row r="1885" spans="1:14" ht="15.75" thickBot="1" x14ac:dyDescent="0.3">
      <c r="A1885" s="20">
        <v>44589</v>
      </c>
      <c r="B1885" s="57">
        <f t="shared" ref="B1885" si="2691">B1874</f>
        <v>157</v>
      </c>
      <c r="C1885" s="1" t="s">
        <v>471</v>
      </c>
      <c r="D1885" s="1" t="s">
        <v>246</v>
      </c>
      <c r="E1885" s="26" t="e">
        <f t="shared" ref="E1885:F1885" si="2692">+E1884</f>
        <v>#REF!</v>
      </c>
      <c r="F1885" s="26" t="e">
        <f t="shared" si="2692"/>
        <v>#REF!</v>
      </c>
      <c r="G1885" s="18">
        <f>+G1884+1</f>
        <v>12</v>
      </c>
      <c r="H1885" s="18" t="s">
        <v>10</v>
      </c>
      <c r="I1885" s="46" t="s">
        <v>10</v>
      </c>
      <c r="J1885" s="22">
        <v>9.4499999999999993</v>
      </c>
      <c r="K1885" s="63">
        <v>8.5500000000000007</v>
      </c>
      <c r="L1885" s="8">
        <f t="shared" si="2674"/>
        <v>0.89999999999999858</v>
      </c>
      <c r="M1885" s="24">
        <f t="shared" si="2665"/>
        <v>7.0588235294117549E-2</v>
      </c>
      <c r="N1885" s="14"/>
    </row>
    <row r="1886" spans="1:14" x14ac:dyDescent="0.25">
      <c r="A1886" s="19">
        <v>44589</v>
      </c>
      <c r="B1886" s="15">
        <f t="shared" ref="B1886" si="2693">B1874+1</f>
        <v>158</v>
      </c>
      <c r="C1886" s="15" t="s">
        <v>477</v>
      </c>
      <c r="D1886" s="15" t="s">
        <v>309</v>
      </c>
      <c r="E1886" s="25">
        <f>29.8-1.2</f>
        <v>28.6</v>
      </c>
      <c r="F1886" s="25">
        <f>+SUM(L1886:L1897)</f>
        <v>28.249999999999993</v>
      </c>
      <c r="G1886" s="16">
        <v>1</v>
      </c>
      <c r="H1886" s="16" t="s">
        <v>9</v>
      </c>
      <c r="I1886" s="59" t="s">
        <v>56</v>
      </c>
      <c r="J1886" s="21"/>
      <c r="K1886" s="21"/>
      <c r="L1886" s="12">
        <f>+J1886-K1886</f>
        <v>0</v>
      </c>
      <c r="M1886" s="23">
        <f t="shared" si="2665"/>
        <v>0</v>
      </c>
      <c r="N1886" s="13"/>
    </row>
    <row r="1887" spans="1:14" x14ac:dyDescent="0.25">
      <c r="A1887" s="20">
        <v>44589</v>
      </c>
      <c r="B1887" s="1">
        <f t="shared" ref="B1887" si="2694">B1886</f>
        <v>158</v>
      </c>
      <c r="C1887" s="1" t="s">
        <v>477</v>
      </c>
      <c r="D1887" s="1" t="s">
        <v>309</v>
      </c>
      <c r="E1887" s="26">
        <f>+E1886</f>
        <v>28.6</v>
      </c>
      <c r="F1887" s="28">
        <f>+(F1886-E1886)/E1886</f>
        <v>-1.2237762237762535E-2</v>
      </c>
      <c r="G1887" s="17">
        <v>2</v>
      </c>
      <c r="H1887" s="17" t="s">
        <v>9</v>
      </c>
      <c r="I1887" s="30" t="s">
        <v>57</v>
      </c>
      <c r="J1887" s="22">
        <v>0.6</v>
      </c>
      <c r="K1887" s="22">
        <v>0.55000000000000004</v>
      </c>
      <c r="L1887" s="8">
        <f t="shared" ref="L1887:L1897" si="2695">+J1887-K1887</f>
        <v>4.9999999999999933E-2</v>
      </c>
      <c r="M1887" s="24">
        <f t="shared" si="2665"/>
        <v>1.7699115044247768E-3</v>
      </c>
      <c r="N1887" s="14"/>
    </row>
    <row r="1888" spans="1:14" x14ac:dyDescent="0.25">
      <c r="A1888" s="20">
        <v>44589</v>
      </c>
      <c r="B1888" s="1">
        <f t="shared" ref="B1888" si="2696">B1886</f>
        <v>158</v>
      </c>
      <c r="C1888" s="1" t="s">
        <v>477</v>
      </c>
      <c r="D1888" s="1" t="s">
        <v>309</v>
      </c>
      <c r="E1888" s="26" t="e">
        <f>+#REF!</f>
        <v>#REF!</v>
      </c>
      <c r="F1888" s="26" t="e">
        <f>+#REF!</f>
        <v>#REF!</v>
      </c>
      <c r="G1888" s="17">
        <v>3</v>
      </c>
      <c r="H1888" s="17" t="s">
        <v>9</v>
      </c>
      <c r="I1888" s="30" t="s">
        <v>58</v>
      </c>
      <c r="J1888" s="22"/>
      <c r="K1888" s="22"/>
      <c r="L1888" s="8">
        <f t="shared" si="2695"/>
        <v>0</v>
      </c>
      <c r="M1888" s="24">
        <f t="shared" si="2665"/>
        <v>0</v>
      </c>
      <c r="N1888" s="14"/>
    </row>
    <row r="1889" spans="1:14" x14ac:dyDescent="0.25">
      <c r="A1889" s="20">
        <v>44589</v>
      </c>
      <c r="B1889" s="1">
        <f t="shared" ref="B1889" si="2697">B1886</f>
        <v>158</v>
      </c>
      <c r="C1889" s="1" t="s">
        <v>477</v>
      </c>
      <c r="D1889" s="1" t="s">
        <v>309</v>
      </c>
      <c r="E1889" s="26" t="e">
        <f t="shared" ref="E1889:F1889" si="2698">+E1888</f>
        <v>#REF!</v>
      </c>
      <c r="F1889" s="26" t="e">
        <f t="shared" si="2698"/>
        <v>#REF!</v>
      </c>
      <c r="G1889" s="17">
        <v>4</v>
      </c>
      <c r="H1889" s="17" t="s">
        <v>9</v>
      </c>
      <c r="I1889" s="30" t="s">
        <v>22</v>
      </c>
      <c r="J1889" s="22">
        <v>0.65</v>
      </c>
      <c r="K1889" s="22">
        <v>0.55000000000000004</v>
      </c>
      <c r="L1889" s="8">
        <f t="shared" si="2695"/>
        <v>9.9999999999999978E-2</v>
      </c>
      <c r="M1889" s="24">
        <f t="shared" si="2665"/>
        <v>3.5398230088495575E-3</v>
      </c>
      <c r="N1889" s="14"/>
    </row>
    <row r="1890" spans="1:14" x14ac:dyDescent="0.25">
      <c r="A1890" s="20">
        <v>44589</v>
      </c>
      <c r="B1890" s="1">
        <f t="shared" ref="B1890" si="2699">B1886</f>
        <v>158</v>
      </c>
      <c r="C1890" s="1" t="s">
        <v>477</v>
      </c>
      <c r="D1890" s="1" t="s">
        <v>309</v>
      </c>
      <c r="E1890" s="26" t="e">
        <f t="shared" ref="E1890:F1890" si="2700">+E1889</f>
        <v>#REF!</v>
      </c>
      <c r="F1890" s="26" t="e">
        <f t="shared" si="2700"/>
        <v>#REF!</v>
      </c>
      <c r="G1890" s="17">
        <v>5</v>
      </c>
      <c r="H1890" s="17" t="s">
        <v>9</v>
      </c>
      <c r="I1890" s="30" t="s">
        <v>34</v>
      </c>
      <c r="J1890" s="22"/>
      <c r="K1890" s="63"/>
      <c r="L1890" s="8">
        <f t="shared" si="2695"/>
        <v>0</v>
      </c>
      <c r="M1890" s="24">
        <f t="shared" si="2665"/>
        <v>0</v>
      </c>
      <c r="N1890" s="14"/>
    </row>
    <row r="1891" spans="1:14" x14ac:dyDescent="0.25">
      <c r="A1891" s="20">
        <v>44589</v>
      </c>
      <c r="B1891" s="1">
        <f t="shared" ref="B1891" si="2701">B1886</f>
        <v>158</v>
      </c>
      <c r="C1891" s="1" t="s">
        <v>477</v>
      </c>
      <c r="D1891" s="1" t="s">
        <v>309</v>
      </c>
      <c r="E1891" s="26" t="e">
        <f t="shared" ref="E1891:F1891" si="2702">+E1890</f>
        <v>#REF!</v>
      </c>
      <c r="F1891" s="26" t="e">
        <f t="shared" si="2702"/>
        <v>#REF!</v>
      </c>
      <c r="G1891" s="17">
        <v>6</v>
      </c>
      <c r="H1891" s="17" t="s">
        <v>9</v>
      </c>
      <c r="I1891" s="30" t="s">
        <v>35</v>
      </c>
      <c r="J1891" s="22"/>
      <c r="K1891" s="22"/>
      <c r="L1891" s="8">
        <f t="shared" si="2695"/>
        <v>0</v>
      </c>
      <c r="M1891" s="24">
        <f t="shared" si="2665"/>
        <v>0</v>
      </c>
      <c r="N1891" s="14"/>
    </row>
    <row r="1892" spans="1:14" x14ac:dyDescent="0.25">
      <c r="A1892" s="20">
        <v>44589</v>
      </c>
      <c r="B1892" s="1">
        <f t="shared" ref="B1892" si="2703">B1886</f>
        <v>158</v>
      </c>
      <c r="C1892" s="1" t="s">
        <v>477</v>
      </c>
      <c r="D1892" s="1" t="s">
        <v>309</v>
      </c>
      <c r="E1892" s="26" t="e">
        <f t="shared" ref="E1892:F1892" si="2704">+E1891</f>
        <v>#REF!</v>
      </c>
      <c r="F1892" s="26" t="e">
        <f t="shared" si="2704"/>
        <v>#REF!</v>
      </c>
      <c r="G1892" s="17">
        <v>7</v>
      </c>
      <c r="H1892" s="17" t="s">
        <v>9</v>
      </c>
      <c r="I1892" s="30" t="s">
        <v>36</v>
      </c>
      <c r="J1892" s="22"/>
      <c r="K1892" s="22"/>
      <c r="L1892" s="8">
        <f t="shared" si="2695"/>
        <v>0</v>
      </c>
      <c r="M1892" s="24">
        <f t="shared" si="2665"/>
        <v>0</v>
      </c>
      <c r="N1892" s="14"/>
    </row>
    <row r="1893" spans="1:14" x14ac:dyDescent="0.25">
      <c r="A1893" s="20">
        <v>44589</v>
      </c>
      <c r="B1893" s="1">
        <f t="shared" ref="B1893" si="2705">B1886</f>
        <v>158</v>
      </c>
      <c r="C1893" s="1" t="s">
        <v>477</v>
      </c>
      <c r="D1893" s="1" t="s">
        <v>309</v>
      </c>
      <c r="E1893" s="26" t="e">
        <f>+E1892</f>
        <v>#REF!</v>
      </c>
      <c r="F1893" s="26" t="e">
        <f>+F1892</f>
        <v>#REF!</v>
      </c>
      <c r="G1893" s="17">
        <v>8</v>
      </c>
      <c r="H1893" s="17" t="s">
        <v>9</v>
      </c>
      <c r="I1893" s="30" t="s">
        <v>59</v>
      </c>
      <c r="J1893" s="22">
        <v>11</v>
      </c>
      <c r="K1893" s="22">
        <v>8.5500000000000007</v>
      </c>
      <c r="L1893" s="8">
        <f t="shared" si="2695"/>
        <v>2.4499999999999993</v>
      </c>
      <c r="M1893" s="24">
        <f t="shared" si="2665"/>
        <v>8.6725663716814158E-2</v>
      </c>
      <c r="N1893" s="14"/>
    </row>
    <row r="1894" spans="1:14" x14ac:dyDescent="0.25">
      <c r="A1894" s="20">
        <v>44589</v>
      </c>
      <c r="B1894" s="1">
        <f t="shared" ref="B1894" si="2706">B1886</f>
        <v>158</v>
      </c>
      <c r="C1894" s="1" t="s">
        <v>477</v>
      </c>
      <c r="D1894" s="1" t="s">
        <v>309</v>
      </c>
      <c r="E1894" s="26" t="e">
        <f t="shared" ref="E1894:F1894" si="2707">+E1893</f>
        <v>#REF!</v>
      </c>
      <c r="F1894" s="26" t="e">
        <f t="shared" si="2707"/>
        <v>#REF!</v>
      </c>
      <c r="G1894" s="17">
        <v>9</v>
      </c>
      <c r="H1894" s="17" t="s">
        <v>9</v>
      </c>
      <c r="I1894" s="30" t="s">
        <v>38</v>
      </c>
      <c r="J1894" s="22"/>
      <c r="K1894" s="22"/>
      <c r="L1894" s="8">
        <f t="shared" si="2695"/>
        <v>0</v>
      </c>
      <c r="M1894" s="24">
        <f t="shared" si="2665"/>
        <v>0</v>
      </c>
      <c r="N1894" s="14"/>
    </row>
    <row r="1895" spans="1:14" x14ac:dyDescent="0.25">
      <c r="A1895" s="20">
        <v>44589</v>
      </c>
      <c r="B1895" s="1">
        <f t="shared" ref="B1895" si="2708">B1886</f>
        <v>158</v>
      </c>
      <c r="C1895" s="1" t="s">
        <v>477</v>
      </c>
      <c r="D1895" s="1" t="s">
        <v>309</v>
      </c>
      <c r="E1895" s="26" t="e">
        <f t="shared" ref="E1895:F1895" si="2709">+E1894</f>
        <v>#REF!</v>
      </c>
      <c r="F1895" s="26" t="e">
        <f t="shared" si="2709"/>
        <v>#REF!</v>
      </c>
      <c r="G1895" s="17">
        <v>10</v>
      </c>
      <c r="H1895" s="17" t="s">
        <v>9</v>
      </c>
      <c r="I1895" s="30" t="s">
        <v>23</v>
      </c>
      <c r="J1895" s="22">
        <f>16.55+15.1+12.25+14.5</f>
        <v>58.4</v>
      </c>
      <c r="K1895" s="22">
        <f>8.55+8.55+8.55+8.55</f>
        <v>34.200000000000003</v>
      </c>
      <c r="L1895" s="8">
        <f t="shared" si="2695"/>
        <v>24.199999999999996</v>
      </c>
      <c r="M1895" s="24">
        <f t="shared" si="2665"/>
        <v>0.85663716814159296</v>
      </c>
      <c r="N1895" s="14"/>
    </row>
    <row r="1896" spans="1:14" x14ac:dyDescent="0.25">
      <c r="A1896" s="20">
        <v>44589</v>
      </c>
      <c r="B1896" s="1">
        <f t="shared" ref="B1896" si="2710">B1886</f>
        <v>158</v>
      </c>
      <c r="C1896" s="1" t="s">
        <v>477</v>
      </c>
      <c r="D1896" s="1" t="s">
        <v>309</v>
      </c>
      <c r="E1896" s="26" t="e">
        <f t="shared" ref="E1896:F1896" si="2711">+E1895</f>
        <v>#REF!</v>
      </c>
      <c r="F1896" s="26" t="e">
        <f t="shared" si="2711"/>
        <v>#REF!</v>
      </c>
      <c r="G1896" s="17">
        <v>11</v>
      </c>
      <c r="H1896" s="17" t="s">
        <v>9</v>
      </c>
      <c r="I1896" s="30" t="s">
        <v>60</v>
      </c>
      <c r="J1896" s="22">
        <v>0.6</v>
      </c>
      <c r="K1896" s="22">
        <v>0.55000000000000004</v>
      </c>
      <c r="L1896" s="8">
        <f t="shared" si="2695"/>
        <v>4.9999999999999933E-2</v>
      </c>
      <c r="M1896" s="24">
        <f t="shared" si="2665"/>
        <v>1.7699115044247768E-3</v>
      </c>
      <c r="N1896" s="14"/>
    </row>
    <row r="1897" spans="1:14" ht="15.75" thickBot="1" x14ac:dyDescent="0.3">
      <c r="A1897" s="20">
        <v>44589</v>
      </c>
      <c r="B1897" s="57">
        <f t="shared" ref="B1897" si="2712">B1886</f>
        <v>158</v>
      </c>
      <c r="C1897" s="1" t="s">
        <v>477</v>
      </c>
      <c r="D1897" s="57" t="s">
        <v>309</v>
      </c>
      <c r="E1897" s="26" t="e">
        <f t="shared" ref="E1897:F1897" si="2713">+E1896</f>
        <v>#REF!</v>
      </c>
      <c r="F1897" s="26" t="e">
        <f t="shared" si="2713"/>
        <v>#REF!</v>
      </c>
      <c r="G1897" s="18">
        <f>+G1896+1</f>
        <v>12</v>
      </c>
      <c r="H1897" s="18" t="s">
        <v>10</v>
      </c>
      <c r="I1897" s="46" t="s">
        <v>10</v>
      </c>
      <c r="J1897" s="22">
        <v>9.6999999999999993</v>
      </c>
      <c r="K1897" s="63">
        <v>8.3000000000000007</v>
      </c>
      <c r="L1897" s="8">
        <f t="shared" si="2695"/>
        <v>1.3999999999999986</v>
      </c>
      <c r="M1897" s="24">
        <f t="shared" si="2665"/>
        <v>4.955752212389377E-2</v>
      </c>
      <c r="N1897" s="14"/>
    </row>
    <row r="1898" spans="1:14" x14ac:dyDescent="0.25">
      <c r="A1898" s="19">
        <v>44589</v>
      </c>
      <c r="B1898" s="15">
        <f t="shared" ref="B1898" si="2714">B1886+1</f>
        <v>159</v>
      </c>
      <c r="C1898" s="15" t="s">
        <v>473</v>
      </c>
      <c r="D1898" s="15" t="s">
        <v>303</v>
      </c>
      <c r="E1898" s="25">
        <f>27.2-1.2</f>
        <v>26</v>
      </c>
      <c r="F1898" s="25">
        <f>+SUM(L1898:L1909)</f>
        <v>25.25</v>
      </c>
      <c r="G1898" s="16">
        <v>1</v>
      </c>
      <c r="H1898" s="16" t="s">
        <v>9</v>
      </c>
      <c r="I1898" s="59" t="s">
        <v>56</v>
      </c>
      <c r="J1898" s="21"/>
      <c r="K1898" s="21"/>
      <c r="L1898" s="12">
        <f>+J1898-K1898</f>
        <v>0</v>
      </c>
      <c r="M1898" s="23">
        <f t="shared" si="2665"/>
        <v>0</v>
      </c>
      <c r="N1898" s="13"/>
    </row>
    <row r="1899" spans="1:14" x14ac:dyDescent="0.25">
      <c r="A1899" s="20">
        <v>44589</v>
      </c>
      <c r="B1899" s="1">
        <f t="shared" ref="B1899" si="2715">B1898</f>
        <v>159</v>
      </c>
      <c r="C1899" s="1" t="s">
        <v>473</v>
      </c>
      <c r="D1899" s="1" t="s">
        <v>303</v>
      </c>
      <c r="E1899" s="26">
        <v>8</v>
      </c>
      <c r="F1899" s="28">
        <f>+(F1898-E1898)/E1898</f>
        <v>-2.8846153846153848E-2</v>
      </c>
      <c r="G1899" s="17">
        <v>2</v>
      </c>
      <c r="H1899" s="17" t="s">
        <v>9</v>
      </c>
      <c r="I1899" s="30" t="s">
        <v>57</v>
      </c>
      <c r="J1899" s="22">
        <v>0.85</v>
      </c>
      <c r="K1899" s="22">
        <v>0.55000000000000004</v>
      </c>
      <c r="L1899" s="8">
        <f t="shared" ref="L1899:L1909" si="2716">+J1899-K1899</f>
        <v>0.29999999999999993</v>
      </c>
      <c r="M1899" s="24">
        <f t="shared" si="2665"/>
        <v>1.1881188118811878E-2</v>
      </c>
      <c r="N1899" s="14"/>
    </row>
    <row r="1900" spans="1:14" x14ac:dyDescent="0.25">
      <c r="A1900" s="20">
        <v>44589</v>
      </c>
      <c r="B1900" s="1">
        <f t="shared" ref="B1900" si="2717">B1898</f>
        <v>159</v>
      </c>
      <c r="C1900" s="1" t="s">
        <v>473</v>
      </c>
      <c r="D1900" s="1" t="s">
        <v>303</v>
      </c>
      <c r="E1900" s="26" t="e">
        <f>+#REF!</f>
        <v>#REF!</v>
      </c>
      <c r="F1900" s="26" t="e">
        <f>+#REF!</f>
        <v>#REF!</v>
      </c>
      <c r="G1900" s="17">
        <v>3</v>
      </c>
      <c r="H1900" s="17" t="s">
        <v>9</v>
      </c>
      <c r="I1900" s="30" t="s">
        <v>58</v>
      </c>
      <c r="J1900" s="22">
        <v>0.6</v>
      </c>
      <c r="K1900" s="22">
        <v>0.55000000000000004</v>
      </c>
      <c r="L1900" s="8">
        <f t="shared" si="2716"/>
        <v>4.9999999999999933E-2</v>
      </c>
      <c r="M1900" s="24">
        <f t="shared" si="2665"/>
        <v>1.9801980198019776E-3</v>
      </c>
      <c r="N1900" s="14"/>
    </row>
    <row r="1901" spans="1:14" x14ac:dyDescent="0.25">
      <c r="A1901" s="20">
        <v>44589</v>
      </c>
      <c r="B1901" s="1">
        <f t="shared" ref="B1901" si="2718">B1898</f>
        <v>159</v>
      </c>
      <c r="C1901" s="1" t="s">
        <v>473</v>
      </c>
      <c r="D1901" s="1" t="s">
        <v>303</v>
      </c>
      <c r="E1901" s="26" t="e">
        <f t="shared" ref="E1901:F1901" si="2719">+E1900</f>
        <v>#REF!</v>
      </c>
      <c r="F1901" s="26" t="e">
        <f t="shared" si="2719"/>
        <v>#REF!</v>
      </c>
      <c r="G1901" s="17">
        <v>4</v>
      </c>
      <c r="H1901" s="17" t="s">
        <v>9</v>
      </c>
      <c r="I1901" s="30" t="s">
        <v>22</v>
      </c>
      <c r="J1901" s="22">
        <v>0.75</v>
      </c>
      <c r="K1901" s="22">
        <v>0.55000000000000004</v>
      </c>
      <c r="L1901" s="8">
        <f t="shared" si="2716"/>
        <v>0.19999999999999996</v>
      </c>
      <c r="M1901" s="24">
        <f t="shared" si="2665"/>
        <v>7.9207920792079192E-3</v>
      </c>
      <c r="N1901" s="14"/>
    </row>
    <row r="1902" spans="1:14" x14ac:dyDescent="0.25">
      <c r="A1902" s="20">
        <v>44589</v>
      </c>
      <c r="B1902" s="1">
        <f t="shared" ref="B1902" si="2720">B1898</f>
        <v>159</v>
      </c>
      <c r="C1902" s="1" t="s">
        <v>473</v>
      </c>
      <c r="D1902" s="1" t="s">
        <v>303</v>
      </c>
      <c r="E1902" s="26" t="e">
        <f t="shared" ref="E1902:F1902" si="2721">+E1901</f>
        <v>#REF!</v>
      </c>
      <c r="F1902" s="26" t="e">
        <f t="shared" si="2721"/>
        <v>#REF!</v>
      </c>
      <c r="G1902" s="17">
        <v>5</v>
      </c>
      <c r="H1902" s="17" t="s">
        <v>9</v>
      </c>
      <c r="I1902" s="30" t="s">
        <v>34</v>
      </c>
      <c r="J1902" s="22">
        <f>0.9+0.9</f>
        <v>1.8</v>
      </c>
      <c r="K1902" s="63">
        <f>0.55+0.55</f>
        <v>1.1000000000000001</v>
      </c>
      <c r="L1902" s="8">
        <f t="shared" si="2716"/>
        <v>0.7</v>
      </c>
      <c r="M1902" s="24">
        <f t="shared" si="2665"/>
        <v>2.772277227722772E-2</v>
      </c>
      <c r="N1902" s="14"/>
    </row>
    <row r="1903" spans="1:14" x14ac:dyDescent="0.25">
      <c r="A1903" s="20">
        <v>44589</v>
      </c>
      <c r="B1903" s="1">
        <f t="shared" ref="B1903" si="2722">B1898</f>
        <v>159</v>
      </c>
      <c r="C1903" s="1" t="s">
        <v>473</v>
      </c>
      <c r="D1903" s="1" t="s">
        <v>303</v>
      </c>
      <c r="E1903" s="26" t="e">
        <f t="shared" ref="E1903:F1903" si="2723">+E1902</f>
        <v>#REF!</v>
      </c>
      <c r="F1903" s="26" t="e">
        <f t="shared" si="2723"/>
        <v>#REF!</v>
      </c>
      <c r="G1903" s="17">
        <v>6</v>
      </c>
      <c r="H1903" s="17" t="s">
        <v>9</v>
      </c>
      <c r="I1903" s="30" t="s">
        <v>35</v>
      </c>
      <c r="J1903" s="22"/>
      <c r="K1903" s="22"/>
      <c r="L1903" s="8">
        <f t="shared" si="2716"/>
        <v>0</v>
      </c>
      <c r="M1903" s="24">
        <f t="shared" si="2665"/>
        <v>0</v>
      </c>
      <c r="N1903" s="14"/>
    </row>
    <row r="1904" spans="1:14" x14ac:dyDescent="0.25">
      <c r="A1904" s="20">
        <v>44589</v>
      </c>
      <c r="B1904" s="1">
        <f t="shared" ref="B1904" si="2724">B1898</f>
        <v>159</v>
      </c>
      <c r="C1904" s="1" t="s">
        <v>473</v>
      </c>
      <c r="D1904" s="1" t="s">
        <v>303</v>
      </c>
      <c r="E1904" s="26" t="e">
        <f t="shared" ref="E1904:F1904" si="2725">+E1903</f>
        <v>#REF!</v>
      </c>
      <c r="F1904" s="26" t="e">
        <f t="shared" si="2725"/>
        <v>#REF!</v>
      </c>
      <c r="G1904" s="17">
        <v>7</v>
      </c>
      <c r="H1904" s="17" t="s">
        <v>9</v>
      </c>
      <c r="I1904" s="30" t="s">
        <v>36</v>
      </c>
      <c r="J1904" s="22">
        <v>21.05</v>
      </c>
      <c r="K1904" s="22">
        <v>6.05</v>
      </c>
      <c r="L1904" s="8">
        <f t="shared" si="2716"/>
        <v>15</v>
      </c>
      <c r="M1904" s="24">
        <f t="shared" si="2665"/>
        <v>0.59405940594059403</v>
      </c>
      <c r="N1904" s="14"/>
    </row>
    <row r="1905" spans="1:14" x14ac:dyDescent="0.25">
      <c r="A1905" s="20">
        <v>44589</v>
      </c>
      <c r="B1905" s="1">
        <f t="shared" ref="B1905" si="2726">B1898</f>
        <v>159</v>
      </c>
      <c r="C1905" s="1" t="s">
        <v>473</v>
      </c>
      <c r="D1905" s="1" t="s">
        <v>303</v>
      </c>
      <c r="E1905" s="26" t="e">
        <f>+E1904</f>
        <v>#REF!</v>
      </c>
      <c r="F1905" s="26" t="e">
        <f>+F1904</f>
        <v>#REF!</v>
      </c>
      <c r="G1905" s="17">
        <v>8</v>
      </c>
      <c r="H1905" s="17" t="s">
        <v>9</v>
      </c>
      <c r="I1905" s="30" t="s">
        <v>59</v>
      </c>
      <c r="J1905" s="22">
        <v>1.4</v>
      </c>
      <c r="K1905" s="22">
        <v>0.55000000000000004</v>
      </c>
      <c r="L1905" s="8">
        <f t="shared" si="2716"/>
        <v>0.84999999999999987</v>
      </c>
      <c r="M1905" s="24">
        <f t="shared" si="2665"/>
        <v>3.3663366336633659E-2</v>
      </c>
      <c r="N1905" s="14"/>
    </row>
    <row r="1906" spans="1:14" x14ac:dyDescent="0.25">
      <c r="A1906" s="20">
        <v>44589</v>
      </c>
      <c r="B1906" s="1">
        <f t="shared" ref="B1906" si="2727">B1898</f>
        <v>159</v>
      </c>
      <c r="C1906" s="1" t="s">
        <v>473</v>
      </c>
      <c r="D1906" s="1" t="s">
        <v>303</v>
      </c>
      <c r="E1906" s="26" t="e">
        <f t="shared" ref="E1906:F1906" si="2728">+E1905</f>
        <v>#REF!</v>
      </c>
      <c r="F1906" s="26" t="e">
        <f t="shared" si="2728"/>
        <v>#REF!</v>
      </c>
      <c r="G1906" s="17">
        <v>9</v>
      </c>
      <c r="H1906" s="17" t="s">
        <v>9</v>
      </c>
      <c r="I1906" s="30" t="s">
        <v>38</v>
      </c>
      <c r="J1906" s="22"/>
      <c r="K1906" s="22"/>
      <c r="L1906" s="8">
        <f t="shared" si="2716"/>
        <v>0</v>
      </c>
      <c r="M1906" s="24">
        <f t="shared" si="2665"/>
        <v>0</v>
      </c>
      <c r="N1906" s="14"/>
    </row>
    <row r="1907" spans="1:14" x14ac:dyDescent="0.25">
      <c r="A1907" s="20">
        <v>44589</v>
      </c>
      <c r="B1907" s="1">
        <f t="shared" ref="B1907" si="2729">B1898</f>
        <v>159</v>
      </c>
      <c r="C1907" s="1" t="s">
        <v>473</v>
      </c>
      <c r="D1907" s="1" t="s">
        <v>303</v>
      </c>
      <c r="E1907" s="26" t="e">
        <f t="shared" ref="E1907:F1907" si="2730">+E1906</f>
        <v>#REF!</v>
      </c>
      <c r="F1907" s="26" t="e">
        <f t="shared" si="2730"/>
        <v>#REF!</v>
      </c>
      <c r="G1907" s="17">
        <v>10</v>
      </c>
      <c r="H1907" s="17" t="s">
        <v>9</v>
      </c>
      <c r="I1907" s="30" t="s">
        <v>23</v>
      </c>
      <c r="J1907" s="22">
        <f>9.9+11.7</f>
        <v>21.6</v>
      </c>
      <c r="K1907" s="22">
        <f>8.55+8.55</f>
        <v>17.100000000000001</v>
      </c>
      <c r="L1907" s="8">
        <f t="shared" si="2716"/>
        <v>4.5</v>
      </c>
      <c r="M1907" s="24">
        <f t="shared" si="2665"/>
        <v>0.17821782178217821</v>
      </c>
      <c r="N1907" s="14"/>
    </row>
    <row r="1908" spans="1:14" x14ac:dyDescent="0.25">
      <c r="A1908" s="20">
        <v>44589</v>
      </c>
      <c r="B1908" s="1">
        <f t="shared" ref="B1908" si="2731">B1898</f>
        <v>159</v>
      </c>
      <c r="C1908" s="1" t="s">
        <v>473</v>
      </c>
      <c r="D1908" s="1" t="s">
        <v>303</v>
      </c>
      <c r="E1908" s="26" t="e">
        <f t="shared" ref="E1908:F1908" si="2732">+E1907</f>
        <v>#REF!</v>
      </c>
      <c r="F1908" s="26" t="e">
        <f t="shared" si="2732"/>
        <v>#REF!</v>
      </c>
      <c r="G1908" s="17">
        <v>11</v>
      </c>
      <c r="H1908" s="17" t="s">
        <v>9</v>
      </c>
      <c r="I1908" s="30" t="s">
        <v>60</v>
      </c>
      <c r="J1908" s="22">
        <v>0.6</v>
      </c>
      <c r="K1908" s="22">
        <v>0.55000000000000004</v>
      </c>
      <c r="L1908" s="8">
        <f t="shared" si="2716"/>
        <v>4.9999999999999933E-2</v>
      </c>
      <c r="M1908" s="24">
        <f t="shared" si="2665"/>
        <v>1.9801980198019776E-3</v>
      </c>
      <c r="N1908" s="14"/>
    </row>
    <row r="1909" spans="1:14" ht="15.75" thickBot="1" x14ac:dyDescent="0.3">
      <c r="A1909" s="20">
        <v>44589</v>
      </c>
      <c r="B1909" s="57">
        <f t="shared" ref="B1909" si="2733">B1898</f>
        <v>159</v>
      </c>
      <c r="C1909" s="1" t="s">
        <v>473</v>
      </c>
      <c r="D1909" s="57" t="s">
        <v>303</v>
      </c>
      <c r="E1909" s="26" t="e">
        <f t="shared" ref="E1909:F1909" si="2734">+E1908</f>
        <v>#REF!</v>
      </c>
      <c r="F1909" s="26" t="e">
        <f t="shared" si="2734"/>
        <v>#REF!</v>
      </c>
      <c r="G1909" s="18">
        <f>+G1908+1</f>
        <v>12</v>
      </c>
      <c r="H1909" s="18" t="s">
        <v>10</v>
      </c>
      <c r="I1909" s="46" t="s">
        <v>10</v>
      </c>
      <c r="J1909" s="22">
        <v>12.15</v>
      </c>
      <c r="K1909" s="63">
        <v>8.5500000000000007</v>
      </c>
      <c r="L1909" s="8">
        <f t="shared" si="2716"/>
        <v>3.5999999999999996</v>
      </c>
      <c r="M1909" s="24">
        <f t="shared" si="2665"/>
        <v>0.14257425742574256</v>
      </c>
      <c r="N1909" s="14"/>
    </row>
    <row r="1910" spans="1:14" x14ac:dyDescent="0.25">
      <c r="A1910" s="19">
        <v>44589</v>
      </c>
      <c r="B1910" s="15">
        <f t="shared" ref="B1910" si="2735">B1898+1</f>
        <v>160</v>
      </c>
      <c r="C1910" s="15" t="s">
        <v>474</v>
      </c>
      <c r="D1910" s="15" t="s">
        <v>236</v>
      </c>
      <c r="E1910" s="25">
        <f>6.8-1.2</f>
        <v>5.6</v>
      </c>
      <c r="F1910" s="25">
        <f>+SUM(L1910:L1921)</f>
        <v>5.3999999999999986</v>
      </c>
      <c r="G1910" s="16">
        <v>1</v>
      </c>
      <c r="H1910" s="16" t="s">
        <v>9</v>
      </c>
      <c r="I1910" s="59" t="s">
        <v>56</v>
      </c>
      <c r="J1910" s="21">
        <v>1.05</v>
      </c>
      <c r="K1910" s="21">
        <v>0.55000000000000004</v>
      </c>
      <c r="L1910" s="12">
        <f>+J1910-K1910</f>
        <v>0.5</v>
      </c>
      <c r="M1910" s="23">
        <f t="shared" si="2665"/>
        <v>9.2592592592592615E-2</v>
      </c>
      <c r="N1910" s="13"/>
    </row>
    <row r="1911" spans="1:14" x14ac:dyDescent="0.25">
      <c r="A1911" s="20">
        <v>44589</v>
      </c>
      <c r="B1911" s="1">
        <f t="shared" ref="B1911" si="2736">B1910</f>
        <v>160</v>
      </c>
      <c r="C1911" s="1" t="s">
        <v>474</v>
      </c>
      <c r="D1911" s="1" t="s">
        <v>236</v>
      </c>
      <c r="E1911" s="26">
        <f>+E1910</f>
        <v>5.6</v>
      </c>
      <c r="F1911" s="28">
        <f>+(F1910-E1910)/E1910</f>
        <v>-3.5714285714285907E-2</v>
      </c>
      <c r="G1911" s="17">
        <v>2</v>
      </c>
      <c r="H1911" s="17" t="s">
        <v>9</v>
      </c>
      <c r="I1911" s="30" t="s">
        <v>57</v>
      </c>
      <c r="J1911" s="22">
        <f>1+1.05</f>
        <v>2.0499999999999998</v>
      </c>
      <c r="K1911" s="22">
        <f>0.55+0.55</f>
        <v>1.1000000000000001</v>
      </c>
      <c r="L1911" s="8">
        <f t="shared" ref="L1911:L1921" si="2737">+J1911-K1911</f>
        <v>0.94999999999999973</v>
      </c>
      <c r="M1911" s="24">
        <f t="shared" si="2665"/>
        <v>0.17592592592592593</v>
      </c>
      <c r="N1911" s="14"/>
    </row>
    <row r="1912" spans="1:14" x14ac:dyDescent="0.25">
      <c r="A1912" s="20">
        <v>44589</v>
      </c>
      <c r="B1912" s="1">
        <f t="shared" ref="B1912" si="2738">B1910</f>
        <v>160</v>
      </c>
      <c r="C1912" s="1" t="s">
        <v>474</v>
      </c>
      <c r="D1912" s="1" t="s">
        <v>236</v>
      </c>
      <c r="E1912" s="26" t="e">
        <f>+#REF!</f>
        <v>#REF!</v>
      </c>
      <c r="F1912" s="26" t="e">
        <f>+#REF!</f>
        <v>#REF!</v>
      </c>
      <c r="G1912" s="17">
        <v>3</v>
      </c>
      <c r="H1912" s="17" t="s">
        <v>9</v>
      </c>
      <c r="I1912" s="30" t="s">
        <v>58</v>
      </c>
      <c r="J1912" s="22">
        <v>0.8</v>
      </c>
      <c r="K1912" s="22">
        <v>0.55000000000000004</v>
      </c>
      <c r="L1912" s="8">
        <f t="shared" si="2737"/>
        <v>0.25</v>
      </c>
      <c r="M1912" s="24">
        <f t="shared" si="2665"/>
        <v>4.6296296296296308E-2</v>
      </c>
      <c r="N1912" s="14"/>
    </row>
    <row r="1913" spans="1:14" x14ac:dyDescent="0.25">
      <c r="A1913" s="20">
        <v>44589</v>
      </c>
      <c r="B1913" s="1">
        <f t="shared" ref="B1913" si="2739">B1910</f>
        <v>160</v>
      </c>
      <c r="C1913" s="1" t="s">
        <v>474</v>
      </c>
      <c r="D1913" s="1" t="s">
        <v>236</v>
      </c>
      <c r="E1913" s="26" t="e">
        <f t="shared" ref="E1913:F1913" si="2740">+E1912</f>
        <v>#REF!</v>
      </c>
      <c r="F1913" s="26" t="e">
        <f t="shared" si="2740"/>
        <v>#REF!</v>
      </c>
      <c r="G1913" s="17">
        <v>4</v>
      </c>
      <c r="H1913" s="17" t="s">
        <v>9</v>
      </c>
      <c r="I1913" s="30" t="s">
        <v>22</v>
      </c>
      <c r="J1913" s="22">
        <v>0.8</v>
      </c>
      <c r="K1913" s="22">
        <v>0.55000000000000004</v>
      </c>
      <c r="L1913" s="8">
        <f t="shared" si="2737"/>
        <v>0.25</v>
      </c>
      <c r="M1913" s="24">
        <f t="shared" si="2665"/>
        <v>4.6296296296296308E-2</v>
      </c>
      <c r="N1913" s="14"/>
    </row>
    <row r="1914" spans="1:14" x14ac:dyDescent="0.25">
      <c r="A1914" s="20">
        <v>44589</v>
      </c>
      <c r="B1914" s="1">
        <f t="shared" ref="B1914" si="2741">B1910</f>
        <v>160</v>
      </c>
      <c r="C1914" s="1" t="s">
        <v>474</v>
      </c>
      <c r="D1914" s="1" t="s">
        <v>236</v>
      </c>
      <c r="E1914" s="26" t="e">
        <f t="shared" ref="E1914:F1914" si="2742">+E1913</f>
        <v>#REF!</v>
      </c>
      <c r="F1914" s="26" t="e">
        <f t="shared" si="2742"/>
        <v>#REF!</v>
      </c>
      <c r="G1914" s="17">
        <v>5</v>
      </c>
      <c r="H1914" s="17" t="s">
        <v>9</v>
      </c>
      <c r="I1914" s="30" t="s">
        <v>34</v>
      </c>
      <c r="J1914" s="22">
        <v>0.7</v>
      </c>
      <c r="K1914" s="63">
        <v>0.55000000000000004</v>
      </c>
      <c r="L1914" s="8">
        <f t="shared" si="2737"/>
        <v>0.14999999999999991</v>
      </c>
      <c r="M1914" s="24">
        <f t="shared" si="2665"/>
        <v>2.7777777777777769E-2</v>
      </c>
      <c r="N1914" s="14"/>
    </row>
    <row r="1915" spans="1:14" x14ac:dyDescent="0.25">
      <c r="A1915" s="20">
        <v>44589</v>
      </c>
      <c r="B1915" s="1">
        <f t="shared" ref="B1915" si="2743">B1910</f>
        <v>160</v>
      </c>
      <c r="C1915" s="1" t="s">
        <v>474</v>
      </c>
      <c r="D1915" s="1" t="s">
        <v>236</v>
      </c>
      <c r="E1915" s="26" t="e">
        <f t="shared" ref="E1915:F1915" si="2744">+E1914</f>
        <v>#REF!</v>
      </c>
      <c r="F1915" s="26" t="e">
        <f t="shared" si="2744"/>
        <v>#REF!</v>
      </c>
      <c r="G1915" s="17">
        <v>6</v>
      </c>
      <c r="H1915" s="17" t="s">
        <v>9</v>
      </c>
      <c r="I1915" s="30" t="s">
        <v>35</v>
      </c>
      <c r="J1915" s="22"/>
      <c r="K1915" s="22"/>
      <c r="L1915" s="8">
        <f t="shared" si="2737"/>
        <v>0</v>
      </c>
      <c r="M1915" s="24">
        <f t="shared" si="2665"/>
        <v>0</v>
      </c>
      <c r="N1915" s="14"/>
    </row>
    <row r="1916" spans="1:14" x14ac:dyDescent="0.25">
      <c r="A1916" s="20">
        <v>44589</v>
      </c>
      <c r="B1916" s="1">
        <f t="shared" ref="B1916" si="2745">B1910</f>
        <v>160</v>
      </c>
      <c r="C1916" s="1" t="s">
        <v>474</v>
      </c>
      <c r="D1916" s="1" t="s">
        <v>236</v>
      </c>
      <c r="E1916" s="26" t="e">
        <f t="shared" ref="E1916:F1916" si="2746">+E1915</f>
        <v>#REF!</v>
      </c>
      <c r="F1916" s="26" t="e">
        <f t="shared" si="2746"/>
        <v>#REF!</v>
      </c>
      <c r="G1916" s="17">
        <v>7</v>
      </c>
      <c r="H1916" s="17" t="s">
        <v>9</v>
      </c>
      <c r="I1916" s="30" t="s">
        <v>36</v>
      </c>
      <c r="J1916" s="22"/>
      <c r="K1916" s="22"/>
      <c r="L1916" s="8">
        <f t="shared" si="2737"/>
        <v>0</v>
      </c>
      <c r="M1916" s="24">
        <f t="shared" si="2665"/>
        <v>0</v>
      </c>
      <c r="N1916" s="14"/>
    </row>
    <row r="1917" spans="1:14" x14ac:dyDescent="0.25">
      <c r="A1917" s="20">
        <v>44589</v>
      </c>
      <c r="B1917" s="1">
        <f t="shared" ref="B1917" si="2747">B1910</f>
        <v>160</v>
      </c>
      <c r="C1917" s="1" t="s">
        <v>474</v>
      </c>
      <c r="D1917" s="1" t="s">
        <v>236</v>
      </c>
      <c r="E1917" s="26" t="e">
        <f>+E1916</f>
        <v>#REF!</v>
      </c>
      <c r="F1917" s="26" t="e">
        <f>+F1916</f>
        <v>#REF!</v>
      </c>
      <c r="G1917" s="17">
        <v>8</v>
      </c>
      <c r="H1917" s="17" t="s">
        <v>9</v>
      </c>
      <c r="I1917" s="30" t="s">
        <v>59</v>
      </c>
      <c r="J1917" s="22">
        <v>0.8</v>
      </c>
      <c r="K1917" s="22">
        <v>0.55000000000000004</v>
      </c>
      <c r="L1917" s="8">
        <f t="shared" si="2737"/>
        <v>0.25</v>
      </c>
      <c r="M1917" s="24">
        <f t="shared" si="2665"/>
        <v>4.6296296296296308E-2</v>
      </c>
      <c r="N1917" s="14"/>
    </row>
    <row r="1918" spans="1:14" x14ac:dyDescent="0.25">
      <c r="A1918" s="20">
        <v>44589</v>
      </c>
      <c r="B1918" s="1">
        <f t="shared" ref="B1918" si="2748">B1910</f>
        <v>160</v>
      </c>
      <c r="C1918" s="1" t="s">
        <v>474</v>
      </c>
      <c r="D1918" s="1" t="s">
        <v>236</v>
      </c>
      <c r="E1918" s="26" t="e">
        <f t="shared" ref="E1918:F1918" si="2749">+E1917</f>
        <v>#REF!</v>
      </c>
      <c r="F1918" s="26" t="e">
        <f t="shared" si="2749"/>
        <v>#REF!</v>
      </c>
      <c r="G1918" s="17">
        <v>9</v>
      </c>
      <c r="H1918" s="17" t="s">
        <v>9</v>
      </c>
      <c r="I1918" s="30" t="s">
        <v>38</v>
      </c>
      <c r="J1918" s="22">
        <v>0.8</v>
      </c>
      <c r="K1918" s="22">
        <v>0.55000000000000004</v>
      </c>
      <c r="L1918" s="8">
        <f t="shared" si="2737"/>
        <v>0.25</v>
      </c>
      <c r="M1918" s="24">
        <f t="shared" si="2665"/>
        <v>4.6296296296296308E-2</v>
      </c>
      <c r="N1918" s="14"/>
    </row>
    <row r="1919" spans="1:14" x14ac:dyDescent="0.25">
      <c r="A1919" s="20">
        <v>44589</v>
      </c>
      <c r="B1919" s="1">
        <f t="shared" ref="B1919" si="2750">B1910</f>
        <v>160</v>
      </c>
      <c r="C1919" s="1" t="s">
        <v>474</v>
      </c>
      <c r="D1919" s="1" t="s">
        <v>236</v>
      </c>
      <c r="E1919" s="26" t="e">
        <f t="shared" ref="E1919:F1919" si="2751">+E1918</f>
        <v>#REF!</v>
      </c>
      <c r="F1919" s="26" t="e">
        <f t="shared" si="2751"/>
        <v>#REF!</v>
      </c>
      <c r="G1919" s="17">
        <v>10</v>
      </c>
      <c r="H1919" s="17" t="s">
        <v>9</v>
      </c>
      <c r="I1919" s="30" t="s">
        <v>23</v>
      </c>
      <c r="J1919" s="22">
        <v>1.25</v>
      </c>
      <c r="K1919" s="22">
        <v>0.5</v>
      </c>
      <c r="L1919" s="8">
        <f t="shared" si="2737"/>
        <v>0.75</v>
      </c>
      <c r="M1919" s="24">
        <f t="shared" si="2665"/>
        <v>0.13888888888888892</v>
      </c>
      <c r="N1919" s="14"/>
    </row>
    <row r="1920" spans="1:14" x14ac:dyDescent="0.25">
      <c r="A1920" s="20">
        <v>44589</v>
      </c>
      <c r="B1920" s="1">
        <f t="shared" ref="B1920" si="2752">B1910</f>
        <v>160</v>
      </c>
      <c r="C1920" s="1" t="s">
        <v>474</v>
      </c>
      <c r="D1920" s="1" t="s">
        <v>236</v>
      </c>
      <c r="E1920" s="26" t="e">
        <f t="shared" ref="E1920:F1920" si="2753">+E1919</f>
        <v>#REF!</v>
      </c>
      <c r="F1920" s="26" t="e">
        <f t="shared" si="2753"/>
        <v>#REF!</v>
      </c>
      <c r="G1920" s="17">
        <v>11</v>
      </c>
      <c r="H1920" s="17" t="s">
        <v>9</v>
      </c>
      <c r="I1920" s="30" t="s">
        <v>60</v>
      </c>
      <c r="J1920" s="22">
        <v>9.4</v>
      </c>
      <c r="K1920" s="22">
        <v>8.5500000000000007</v>
      </c>
      <c r="L1920" s="8">
        <f t="shared" si="2737"/>
        <v>0.84999999999999964</v>
      </c>
      <c r="M1920" s="24">
        <f t="shared" si="2665"/>
        <v>0.15740740740740738</v>
      </c>
      <c r="N1920" s="14"/>
    </row>
    <row r="1921" spans="1:14" ht="15.75" thickBot="1" x14ac:dyDescent="0.3">
      <c r="A1921" s="20">
        <v>44589</v>
      </c>
      <c r="B1921" s="57">
        <f t="shared" ref="B1921" si="2754">B1910</f>
        <v>160</v>
      </c>
      <c r="C1921" s="1" t="s">
        <v>474</v>
      </c>
      <c r="D1921" s="57" t="s">
        <v>236</v>
      </c>
      <c r="E1921" s="26" t="e">
        <f t="shared" ref="E1921:F1921" si="2755">+E1920</f>
        <v>#REF!</v>
      </c>
      <c r="F1921" s="26" t="e">
        <f t="shared" si="2755"/>
        <v>#REF!</v>
      </c>
      <c r="G1921" s="18">
        <f>+G1920+1</f>
        <v>12</v>
      </c>
      <c r="H1921" s="18" t="s">
        <v>10</v>
      </c>
      <c r="I1921" s="46" t="s">
        <v>10</v>
      </c>
      <c r="J1921" s="22">
        <v>9.75</v>
      </c>
      <c r="K1921" s="63">
        <v>8.5500000000000007</v>
      </c>
      <c r="L1921" s="8">
        <f t="shared" si="2737"/>
        <v>1.1999999999999993</v>
      </c>
      <c r="M1921" s="24">
        <f t="shared" si="2665"/>
        <v>0.22222222222222215</v>
      </c>
      <c r="N1921" s="14"/>
    </row>
    <row r="1922" spans="1:14" x14ac:dyDescent="0.25">
      <c r="A1922" s="19">
        <v>44589</v>
      </c>
      <c r="B1922" s="15">
        <f t="shared" ref="B1922" si="2756">B1910+1</f>
        <v>161</v>
      </c>
      <c r="C1922" s="15" t="s">
        <v>475</v>
      </c>
      <c r="D1922" s="15" t="s">
        <v>238</v>
      </c>
      <c r="E1922" s="25">
        <f>32.2-1.2</f>
        <v>31.000000000000004</v>
      </c>
      <c r="F1922" s="25">
        <f>+SUM(L1922:L1933)</f>
        <v>32.75</v>
      </c>
      <c r="G1922" s="16">
        <v>1</v>
      </c>
      <c r="H1922" s="16" t="s">
        <v>9</v>
      </c>
      <c r="I1922" s="59" t="s">
        <v>56</v>
      </c>
      <c r="J1922" s="21"/>
      <c r="K1922" s="21"/>
      <c r="L1922" s="12">
        <f>+J1922-K1922</f>
        <v>0</v>
      </c>
      <c r="M1922" s="23">
        <f t="shared" si="2665"/>
        <v>0</v>
      </c>
      <c r="N1922" s="13"/>
    </row>
    <row r="1923" spans="1:14" x14ac:dyDescent="0.25">
      <c r="A1923" s="20">
        <v>44589</v>
      </c>
      <c r="B1923" s="1">
        <f t="shared" ref="B1923" si="2757">B1922</f>
        <v>161</v>
      </c>
      <c r="C1923" s="1" t="s">
        <v>475</v>
      </c>
      <c r="D1923" s="1" t="s">
        <v>238</v>
      </c>
      <c r="E1923" s="26">
        <f>+E1922</f>
        <v>31.000000000000004</v>
      </c>
      <c r="F1923" s="28">
        <f>+(F1922-E1922)/E1922</f>
        <v>5.6451612903225687E-2</v>
      </c>
      <c r="G1923" s="17">
        <v>2</v>
      </c>
      <c r="H1923" s="17" t="s">
        <v>9</v>
      </c>
      <c r="I1923" s="30" t="s">
        <v>57</v>
      </c>
      <c r="J1923" s="22">
        <v>0.7</v>
      </c>
      <c r="K1923" s="22">
        <v>0.55000000000000004</v>
      </c>
      <c r="L1923" s="8">
        <f t="shared" ref="L1923:L1933" si="2758">+J1923-K1923</f>
        <v>0.14999999999999991</v>
      </c>
      <c r="M1923" s="24">
        <f t="shared" si="2665"/>
        <v>4.5801526717557228E-3</v>
      </c>
      <c r="N1923" s="14"/>
    </row>
    <row r="1924" spans="1:14" x14ac:dyDescent="0.25">
      <c r="A1924" s="20">
        <v>44589</v>
      </c>
      <c r="B1924" s="1">
        <f t="shared" ref="B1924" si="2759">B1922</f>
        <v>161</v>
      </c>
      <c r="C1924" s="1" t="s">
        <v>475</v>
      </c>
      <c r="D1924" s="1" t="s">
        <v>238</v>
      </c>
      <c r="E1924" s="26" t="e">
        <f>+#REF!</f>
        <v>#REF!</v>
      </c>
      <c r="F1924" s="26" t="e">
        <f>+#REF!</f>
        <v>#REF!</v>
      </c>
      <c r="G1924" s="17">
        <v>3</v>
      </c>
      <c r="H1924" s="17" t="s">
        <v>9</v>
      </c>
      <c r="I1924" s="30" t="s">
        <v>58</v>
      </c>
      <c r="J1924" s="22">
        <v>0.7</v>
      </c>
      <c r="K1924" s="22">
        <v>0.5</v>
      </c>
      <c r="L1924" s="8">
        <f t="shared" si="2758"/>
        <v>0.19999999999999996</v>
      </c>
      <c r="M1924" s="24">
        <f t="shared" si="2665"/>
        <v>6.1068702290076327E-3</v>
      </c>
      <c r="N1924" s="14"/>
    </row>
    <row r="1925" spans="1:14" x14ac:dyDescent="0.25">
      <c r="A1925" s="20">
        <v>44589</v>
      </c>
      <c r="B1925" s="1">
        <f t="shared" ref="B1925" si="2760">B1922</f>
        <v>161</v>
      </c>
      <c r="C1925" s="1" t="s">
        <v>475</v>
      </c>
      <c r="D1925" s="1" t="s">
        <v>238</v>
      </c>
      <c r="E1925" s="26" t="e">
        <f t="shared" ref="E1925:F1925" si="2761">+E1924</f>
        <v>#REF!</v>
      </c>
      <c r="F1925" s="26" t="e">
        <f t="shared" si="2761"/>
        <v>#REF!</v>
      </c>
      <c r="G1925" s="17">
        <v>4</v>
      </c>
      <c r="H1925" s="17" t="s">
        <v>9</v>
      </c>
      <c r="I1925" s="30" t="s">
        <v>22</v>
      </c>
      <c r="J1925" s="22">
        <v>0.6</v>
      </c>
      <c r="K1925" s="22">
        <v>0.55000000000000004</v>
      </c>
      <c r="L1925" s="8">
        <f t="shared" si="2758"/>
        <v>4.9999999999999933E-2</v>
      </c>
      <c r="M1925" s="24">
        <f t="shared" si="2665"/>
        <v>1.5267175572519064E-3</v>
      </c>
      <c r="N1925" s="14"/>
    </row>
    <row r="1926" spans="1:14" x14ac:dyDescent="0.25">
      <c r="A1926" s="20">
        <v>44589</v>
      </c>
      <c r="B1926" s="1">
        <f t="shared" ref="B1926" si="2762">B1922</f>
        <v>161</v>
      </c>
      <c r="C1926" s="1" t="s">
        <v>475</v>
      </c>
      <c r="D1926" s="1" t="s">
        <v>238</v>
      </c>
      <c r="E1926" s="26" t="e">
        <f t="shared" ref="E1926:F1926" si="2763">+E1925</f>
        <v>#REF!</v>
      </c>
      <c r="F1926" s="26" t="e">
        <f t="shared" si="2763"/>
        <v>#REF!</v>
      </c>
      <c r="G1926" s="17">
        <v>5</v>
      </c>
      <c r="H1926" s="17" t="s">
        <v>9</v>
      </c>
      <c r="I1926" s="30" t="s">
        <v>34</v>
      </c>
      <c r="J1926" s="22">
        <v>0.6</v>
      </c>
      <c r="K1926" s="63">
        <v>0.55000000000000004</v>
      </c>
      <c r="L1926" s="8">
        <f t="shared" si="2758"/>
        <v>4.9999999999999933E-2</v>
      </c>
      <c r="M1926" s="24">
        <f t="shared" si="2665"/>
        <v>1.5267175572519064E-3</v>
      </c>
      <c r="N1926" s="14"/>
    </row>
    <row r="1927" spans="1:14" x14ac:dyDescent="0.25">
      <c r="A1927" s="20">
        <v>44589</v>
      </c>
      <c r="B1927" s="1">
        <f t="shared" ref="B1927" si="2764">B1922</f>
        <v>161</v>
      </c>
      <c r="C1927" s="1" t="s">
        <v>475</v>
      </c>
      <c r="D1927" s="1" t="s">
        <v>238</v>
      </c>
      <c r="E1927" s="26" t="e">
        <f t="shared" ref="E1927:F1927" si="2765">+E1926</f>
        <v>#REF!</v>
      </c>
      <c r="F1927" s="26" t="e">
        <f t="shared" si="2765"/>
        <v>#REF!</v>
      </c>
      <c r="G1927" s="17">
        <v>6</v>
      </c>
      <c r="H1927" s="17" t="s">
        <v>9</v>
      </c>
      <c r="I1927" s="30" t="s">
        <v>35</v>
      </c>
      <c r="J1927" s="22"/>
      <c r="K1927" s="22"/>
      <c r="L1927" s="8">
        <f t="shared" si="2758"/>
        <v>0</v>
      </c>
      <c r="M1927" s="24">
        <f t="shared" si="2665"/>
        <v>0</v>
      </c>
      <c r="N1927" s="14"/>
    </row>
    <row r="1928" spans="1:14" x14ac:dyDescent="0.25">
      <c r="A1928" s="20">
        <v>44589</v>
      </c>
      <c r="B1928" s="1">
        <f t="shared" ref="B1928" si="2766">B1922</f>
        <v>161</v>
      </c>
      <c r="C1928" s="1" t="s">
        <v>475</v>
      </c>
      <c r="D1928" s="1" t="s">
        <v>238</v>
      </c>
      <c r="E1928" s="26" t="e">
        <f t="shared" ref="E1928:F1928" si="2767">+E1927</f>
        <v>#REF!</v>
      </c>
      <c r="F1928" s="26" t="e">
        <f t="shared" si="2767"/>
        <v>#REF!</v>
      </c>
      <c r="G1928" s="17">
        <v>7</v>
      </c>
      <c r="H1928" s="17" t="s">
        <v>9</v>
      </c>
      <c r="I1928" s="30" t="s">
        <v>36</v>
      </c>
      <c r="J1928" s="22">
        <f>2.5</f>
        <v>2.5</v>
      </c>
      <c r="K1928" s="22">
        <v>0.55000000000000004</v>
      </c>
      <c r="L1928" s="8">
        <f t="shared" si="2758"/>
        <v>1.95</v>
      </c>
      <c r="M1928" s="24">
        <f t="shared" si="2665"/>
        <v>5.9541984732824425E-2</v>
      </c>
      <c r="N1928" s="14"/>
    </row>
    <row r="1929" spans="1:14" x14ac:dyDescent="0.25">
      <c r="A1929" s="20">
        <v>44589</v>
      </c>
      <c r="B1929" s="1">
        <f t="shared" ref="B1929" si="2768">B1922</f>
        <v>161</v>
      </c>
      <c r="C1929" s="1" t="s">
        <v>475</v>
      </c>
      <c r="D1929" s="1" t="s">
        <v>238</v>
      </c>
      <c r="E1929" s="26" t="e">
        <f>+E1928</f>
        <v>#REF!</v>
      </c>
      <c r="F1929" s="26" t="e">
        <f>+F1928</f>
        <v>#REF!</v>
      </c>
      <c r="G1929" s="17">
        <v>8</v>
      </c>
      <c r="H1929" s="17" t="s">
        <v>9</v>
      </c>
      <c r="I1929" s="30" t="s">
        <v>59</v>
      </c>
      <c r="J1929" s="22">
        <f>16.8+12.7</f>
        <v>29.5</v>
      </c>
      <c r="K1929" s="22">
        <f>8.5+8.55</f>
        <v>17.05</v>
      </c>
      <c r="L1929" s="8">
        <f t="shared" si="2758"/>
        <v>12.45</v>
      </c>
      <c r="M1929" s="24">
        <f t="shared" si="2665"/>
        <v>0.38015267175572515</v>
      </c>
      <c r="N1929" s="14"/>
    </row>
    <row r="1930" spans="1:14" x14ac:dyDescent="0.25">
      <c r="A1930" s="20">
        <v>44589</v>
      </c>
      <c r="B1930" s="1">
        <f t="shared" ref="B1930" si="2769">B1922</f>
        <v>161</v>
      </c>
      <c r="C1930" s="1" t="s">
        <v>475</v>
      </c>
      <c r="D1930" s="1" t="s">
        <v>238</v>
      </c>
      <c r="E1930" s="26" t="e">
        <f t="shared" ref="E1930:F1930" si="2770">+E1929</f>
        <v>#REF!</v>
      </c>
      <c r="F1930" s="26" t="e">
        <f t="shared" si="2770"/>
        <v>#REF!</v>
      </c>
      <c r="G1930" s="17">
        <v>9</v>
      </c>
      <c r="H1930" s="17" t="s">
        <v>9</v>
      </c>
      <c r="I1930" s="30" t="s">
        <v>38</v>
      </c>
      <c r="J1930" s="22"/>
      <c r="K1930" s="22"/>
      <c r="L1930" s="8">
        <f t="shared" si="2758"/>
        <v>0</v>
      </c>
      <c r="M1930" s="24">
        <f t="shared" si="2665"/>
        <v>0</v>
      </c>
      <c r="N1930" s="14"/>
    </row>
    <row r="1931" spans="1:14" x14ac:dyDescent="0.25">
      <c r="A1931" s="20">
        <v>44589</v>
      </c>
      <c r="B1931" s="1">
        <f t="shared" ref="B1931" si="2771">B1922</f>
        <v>161</v>
      </c>
      <c r="C1931" s="1" t="s">
        <v>475</v>
      </c>
      <c r="D1931" s="1" t="s">
        <v>238</v>
      </c>
      <c r="E1931" s="26" t="e">
        <f t="shared" ref="E1931:F1931" si="2772">+E1930</f>
        <v>#REF!</v>
      </c>
      <c r="F1931" s="26" t="e">
        <f t="shared" si="2772"/>
        <v>#REF!</v>
      </c>
      <c r="G1931" s="17">
        <v>10</v>
      </c>
      <c r="H1931" s="17" t="s">
        <v>9</v>
      </c>
      <c r="I1931" s="30" t="s">
        <v>23</v>
      </c>
      <c r="J1931" s="22">
        <f>9.7+13.8+12.9+12.8</f>
        <v>49.2</v>
      </c>
      <c r="K1931" s="22">
        <f>8.55+8.55+8.55+8.55</f>
        <v>34.200000000000003</v>
      </c>
      <c r="L1931" s="8">
        <f t="shared" si="2758"/>
        <v>15</v>
      </c>
      <c r="M1931" s="24">
        <f t="shared" si="2665"/>
        <v>0.4580152671755725</v>
      </c>
      <c r="N1931" s="14"/>
    </row>
    <row r="1932" spans="1:14" x14ac:dyDescent="0.25">
      <c r="A1932" s="20">
        <v>44589</v>
      </c>
      <c r="B1932" s="1">
        <f t="shared" ref="B1932" si="2773">B1922</f>
        <v>161</v>
      </c>
      <c r="C1932" s="1" t="s">
        <v>475</v>
      </c>
      <c r="D1932" s="1" t="s">
        <v>238</v>
      </c>
      <c r="E1932" s="26" t="e">
        <f t="shared" ref="E1932:F1932" si="2774">+E1931</f>
        <v>#REF!</v>
      </c>
      <c r="F1932" s="26" t="e">
        <f t="shared" si="2774"/>
        <v>#REF!</v>
      </c>
      <c r="G1932" s="17">
        <v>11</v>
      </c>
      <c r="H1932" s="17" t="s">
        <v>9</v>
      </c>
      <c r="I1932" s="30" t="s">
        <v>60</v>
      </c>
      <c r="J1932" s="22">
        <v>0.75</v>
      </c>
      <c r="K1932" s="22">
        <v>0.55000000000000004</v>
      </c>
      <c r="L1932" s="8">
        <f t="shared" si="2758"/>
        <v>0.19999999999999996</v>
      </c>
      <c r="M1932" s="24">
        <f t="shared" si="2665"/>
        <v>6.1068702290076327E-3</v>
      </c>
      <c r="N1932" s="14"/>
    </row>
    <row r="1933" spans="1:14" ht="15.75" thickBot="1" x14ac:dyDescent="0.3">
      <c r="A1933" s="20">
        <v>44589</v>
      </c>
      <c r="B1933" s="57">
        <f t="shared" ref="B1933" si="2775">B1922</f>
        <v>161</v>
      </c>
      <c r="C1933" s="1" t="s">
        <v>475</v>
      </c>
      <c r="D1933" s="57" t="s">
        <v>238</v>
      </c>
      <c r="E1933" s="26" t="e">
        <f t="shared" ref="E1933:F1933" si="2776">+E1932</f>
        <v>#REF!</v>
      </c>
      <c r="F1933" s="26" t="e">
        <f t="shared" si="2776"/>
        <v>#REF!</v>
      </c>
      <c r="G1933" s="18">
        <f>+G1932+1</f>
        <v>12</v>
      </c>
      <c r="H1933" s="18" t="s">
        <v>10</v>
      </c>
      <c r="I1933" s="46" t="s">
        <v>10</v>
      </c>
      <c r="J1933" s="22">
        <f>11</f>
        <v>11</v>
      </c>
      <c r="K1933" s="63">
        <f>8.3</f>
        <v>8.3000000000000007</v>
      </c>
      <c r="L1933" s="8">
        <f t="shared" si="2758"/>
        <v>2.6999999999999993</v>
      </c>
      <c r="M1933" s="24">
        <f t="shared" si="2665"/>
        <v>8.2442748091603027E-2</v>
      </c>
      <c r="N1933" s="14"/>
    </row>
    <row r="1934" spans="1:14" x14ac:dyDescent="0.25">
      <c r="A1934" s="19">
        <v>44589</v>
      </c>
      <c r="B1934" s="15">
        <f t="shared" ref="B1934" si="2777">B1922+1</f>
        <v>162</v>
      </c>
      <c r="C1934" s="15" t="s">
        <v>476</v>
      </c>
      <c r="D1934" s="15" t="s">
        <v>244</v>
      </c>
      <c r="E1934" s="25">
        <f>18.6-1.2</f>
        <v>17.400000000000002</v>
      </c>
      <c r="F1934" s="25">
        <f>+SUM(L1934:L1945)</f>
        <v>17.249999999999986</v>
      </c>
      <c r="G1934" s="16">
        <v>1</v>
      </c>
      <c r="H1934" s="16" t="s">
        <v>9</v>
      </c>
      <c r="I1934" s="59" t="s">
        <v>56</v>
      </c>
      <c r="J1934" s="21"/>
      <c r="K1934" s="21"/>
      <c r="L1934" s="12">
        <f>+J1934-K1934</f>
        <v>0</v>
      </c>
      <c r="M1934" s="23">
        <f t="shared" ref="M1934:M1969" si="2778">+L1934/SUMIF(C:C,C1934,L:L)</f>
        <v>0</v>
      </c>
      <c r="N1934" s="13"/>
    </row>
    <row r="1935" spans="1:14" x14ac:dyDescent="0.25">
      <c r="A1935" s="20">
        <v>44589</v>
      </c>
      <c r="B1935" s="1">
        <f t="shared" ref="B1935" si="2779">B1934</f>
        <v>162</v>
      </c>
      <c r="C1935" s="1" t="s">
        <v>476</v>
      </c>
      <c r="D1935" s="1" t="s">
        <v>244</v>
      </c>
      <c r="E1935" s="26">
        <f>+E1934</f>
        <v>17.400000000000002</v>
      </c>
      <c r="F1935" s="28">
        <f>+(F1934-E1934)/E1934</f>
        <v>-8.6206896551733522E-3</v>
      </c>
      <c r="G1935" s="17">
        <v>2</v>
      </c>
      <c r="H1935" s="17" t="s">
        <v>9</v>
      </c>
      <c r="I1935" s="30" t="s">
        <v>57</v>
      </c>
      <c r="J1935" s="22">
        <v>0.65</v>
      </c>
      <c r="K1935" s="22">
        <v>0.55000000000000004</v>
      </c>
      <c r="L1935" s="8">
        <f t="shared" ref="L1935:L1945" si="2780">+J1935-K1935</f>
        <v>9.9999999999999978E-2</v>
      </c>
      <c r="M1935" s="24">
        <f t="shared" si="2778"/>
        <v>5.7971014492753659E-3</v>
      </c>
      <c r="N1935" s="14"/>
    </row>
    <row r="1936" spans="1:14" x14ac:dyDescent="0.25">
      <c r="A1936" s="20">
        <v>44589</v>
      </c>
      <c r="B1936" s="1">
        <f t="shared" ref="B1936" si="2781">B1934</f>
        <v>162</v>
      </c>
      <c r="C1936" s="1" t="s">
        <v>476</v>
      </c>
      <c r="D1936" s="1" t="s">
        <v>244</v>
      </c>
      <c r="E1936" s="26" t="e">
        <f>+#REF!</f>
        <v>#REF!</v>
      </c>
      <c r="F1936" s="26" t="e">
        <f>+#REF!</f>
        <v>#REF!</v>
      </c>
      <c r="G1936" s="17">
        <v>3</v>
      </c>
      <c r="H1936" s="17" t="s">
        <v>9</v>
      </c>
      <c r="I1936" s="30" t="s">
        <v>58</v>
      </c>
      <c r="J1936" s="22"/>
      <c r="K1936" s="22"/>
      <c r="L1936" s="8">
        <f t="shared" si="2780"/>
        <v>0</v>
      </c>
      <c r="M1936" s="24">
        <f t="shared" si="2778"/>
        <v>0</v>
      </c>
      <c r="N1936" s="14"/>
    </row>
    <row r="1937" spans="1:14" x14ac:dyDescent="0.25">
      <c r="A1937" s="20">
        <v>44589</v>
      </c>
      <c r="B1937" s="1">
        <f t="shared" ref="B1937" si="2782">B1934</f>
        <v>162</v>
      </c>
      <c r="C1937" s="1" t="s">
        <v>476</v>
      </c>
      <c r="D1937" s="1" t="s">
        <v>244</v>
      </c>
      <c r="E1937" s="26" t="e">
        <f t="shared" ref="E1937:F1937" si="2783">+E1936</f>
        <v>#REF!</v>
      </c>
      <c r="F1937" s="26" t="e">
        <f t="shared" si="2783"/>
        <v>#REF!</v>
      </c>
      <c r="G1937" s="17">
        <v>4</v>
      </c>
      <c r="H1937" s="17" t="s">
        <v>9</v>
      </c>
      <c r="I1937" s="30" t="s">
        <v>22</v>
      </c>
      <c r="J1937" s="22">
        <v>0.6</v>
      </c>
      <c r="K1937" s="22">
        <v>0.55000000000000004</v>
      </c>
      <c r="L1937" s="8">
        <f t="shared" si="2780"/>
        <v>4.9999999999999933E-2</v>
      </c>
      <c r="M1937" s="24">
        <f t="shared" si="2778"/>
        <v>2.8985507246376799E-3</v>
      </c>
      <c r="N1937" s="14"/>
    </row>
    <row r="1938" spans="1:14" x14ac:dyDescent="0.25">
      <c r="A1938" s="20">
        <v>44589</v>
      </c>
      <c r="B1938" s="1">
        <f t="shared" ref="B1938" si="2784">B1934</f>
        <v>162</v>
      </c>
      <c r="C1938" s="1" t="s">
        <v>476</v>
      </c>
      <c r="D1938" s="1" t="s">
        <v>244</v>
      </c>
      <c r="E1938" s="26" t="e">
        <f t="shared" ref="E1938:F1938" si="2785">+E1937</f>
        <v>#REF!</v>
      </c>
      <c r="F1938" s="26" t="e">
        <f t="shared" si="2785"/>
        <v>#REF!</v>
      </c>
      <c r="G1938" s="17">
        <v>5</v>
      </c>
      <c r="H1938" s="17" t="s">
        <v>9</v>
      </c>
      <c r="I1938" s="30" t="s">
        <v>34</v>
      </c>
      <c r="J1938" s="22"/>
      <c r="K1938" s="63"/>
      <c r="L1938" s="8">
        <f t="shared" si="2780"/>
        <v>0</v>
      </c>
      <c r="M1938" s="24">
        <f t="shared" si="2778"/>
        <v>0</v>
      </c>
      <c r="N1938" s="14"/>
    </row>
    <row r="1939" spans="1:14" x14ac:dyDescent="0.25">
      <c r="A1939" s="20">
        <v>44589</v>
      </c>
      <c r="B1939" s="1">
        <f t="shared" ref="B1939" si="2786">B1934</f>
        <v>162</v>
      </c>
      <c r="C1939" s="1" t="s">
        <v>476</v>
      </c>
      <c r="D1939" s="1" t="s">
        <v>244</v>
      </c>
      <c r="E1939" s="26" t="e">
        <f t="shared" ref="E1939:F1939" si="2787">+E1938</f>
        <v>#REF!</v>
      </c>
      <c r="F1939" s="26" t="e">
        <f t="shared" si="2787"/>
        <v>#REF!</v>
      </c>
      <c r="G1939" s="17">
        <v>6</v>
      </c>
      <c r="H1939" s="17" t="s">
        <v>9</v>
      </c>
      <c r="I1939" s="30" t="s">
        <v>35</v>
      </c>
      <c r="J1939" s="22"/>
      <c r="K1939" s="22"/>
      <c r="L1939" s="8">
        <f t="shared" si="2780"/>
        <v>0</v>
      </c>
      <c r="M1939" s="24">
        <f t="shared" si="2778"/>
        <v>0</v>
      </c>
      <c r="N1939" s="14"/>
    </row>
    <row r="1940" spans="1:14" x14ac:dyDescent="0.25">
      <c r="A1940" s="20">
        <v>44589</v>
      </c>
      <c r="B1940" s="1">
        <f t="shared" ref="B1940" si="2788">B1934</f>
        <v>162</v>
      </c>
      <c r="C1940" s="1" t="s">
        <v>476</v>
      </c>
      <c r="D1940" s="1" t="s">
        <v>244</v>
      </c>
      <c r="E1940" s="26" t="e">
        <f t="shared" ref="E1940:F1940" si="2789">+E1939</f>
        <v>#REF!</v>
      </c>
      <c r="F1940" s="26" t="e">
        <f t="shared" si="2789"/>
        <v>#REF!</v>
      </c>
      <c r="G1940" s="17">
        <v>7</v>
      </c>
      <c r="H1940" s="17" t="s">
        <v>9</v>
      </c>
      <c r="I1940" s="30" t="s">
        <v>36</v>
      </c>
      <c r="J1940" s="22"/>
      <c r="K1940" s="22"/>
      <c r="L1940" s="8">
        <f t="shared" si="2780"/>
        <v>0</v>
      </c>
      <c r="M1940" s="24">
        <f t="shared" si="2778"/>
        <v>0</v>
      </c>
      <c r="N1940" s="14"/>
    </row>
    <row r="1941" spans="1:14" x14ac:dyDescent="0.25">
      <c r="A1941" s="20">
        <v>44589</v>
      </c>
      <c r="B1941" s="1">
        <f t="shared" ref="B1941" si="2790">B1934</f>
        <v>162</v>
      </c>
      <c r="C1941" s="1" t="s">
        <v>476</v>
      </c>
      <c r="D1941" s="1" t="s">
        <v>244</v>
      </c>
      <c r="E1941" s="26" t="e">
        <f>+E1940</f>
        <v>#REF!</v>
      </c>
      <c r="F1941" s="26" t="e">
        <f>+F1940</f>
        <v>#REF!</v>
      </c>
      <c r="G1941" s="17">
        <v>8</v>
      </c>
      <c r="H1941" s="17" t="s">
        <v>9</v>
      </c>
      <c r="I1941" s="30" t="s">
        <v>59</v>
      </c>
      <c r="J1941" s="22">
        <v>3.8</v>
      </c>
      <c r="K1941" s="22">
        <f>0.55*2</f>
        <v>1.1000000000000001</v>
      </c>
      <c r="L1941" s="8">
        <f t="shared" si="2780"/>
        <v>2.6999999999999997</v>
      </c>
      <c r="M1941" s="24">
        <f t="shared" si="2778"/>
        <v>0.15652173913043491</v>
      </c>
      <c r="N1941" s="14"/>
    </row>
    <row r="1942" spans="1:14" x14ac:dyDescent="0.25">
      <c r="A1942" s="20">
        <v>44589</v>
      </c>
      <c r="B1942" s="1">
        <f t="shared" ref="B1942" si="2791">B1934</f>
        <v>162</v>
      </c>
      <c r="C1942" s="1" t="s">
        <v>476</v>
      </c>
      <c r="D1942" s="1" t="s">
        <v>244</v>
      </c>
      <c r="E1942" s="26" t="e">
        <f t="shared" ref="E1942:F1942" si="2792">+E1941</f>
        <v>#REF!</v>
      </c>
      <c r="F1942" s="26" t="e">
        <f t="shared" si="2792"/>
        <v>#REF!</v>
      </c>
      <c r="G1942" s="17">
        <v>9</v>
      </c>
      <c r="H1942" s="17" t="s">
        <v>9</v>
      </c>
      <c r="I1942" s="30" t="s">
        <v>38</v>
      </c>
      <c r="J1942" s="22"/>
      <c r="K1942" s="22"/>
      <c r="L1942" s="8">
        <f t="shared" si="2780"/>
        <v>0</v>
      </c>
      <c r="M1942" s="24">
        <f t="shared" si="2778"/>
        <v>0</v>
      </c>
      <c r="N1942" s="14"/>
    </row>
    <row r="1943" spans="1:14" x14ac:dyDescent="0.25">
      <c r="A1943" s="20">
        <v>44589</v>
      </c>
      <c r="B1943" s="1">
        <f t="shared" ref="B1943" si="2793">B1934</f>
        <v>162</v>
      </c>
      <c r="C1943" s="1" t="s">
        <v>476</v>
      </c>
      <c r="D1943" s="1" t="s">
        <v>244</v>
      </c>
      <c r="E1943" s="26" t="e">
        <f t="shared" ref="E1943:F1943" si="2794">+E1942</f>
        <v>#REF!</v>
      </c>
      <c r="F1943" s="26" t="e">
        <f t="shared" si="2794"/>
        <v>#REF!</v>
      </c>
      <c r="G1943" s="17">
        <v>10</v>
      </c>
      <c r="H1943" s="17" t="s">
        <v>9</v>
      </c>
      <c r="I1943" s="30" t="s">
        <v>23</v>
      </c>
      <c r="J1943" s="22">
        <f>10.2+13.25+11.45+11.7</f>
        <v>46.599999999999994</v>
      </c>
      <c r="K1943" s="22">
        <f>8.55+8.55+8.5+8.3</f>
        <v>33.900000000000006</v>
      </c>
      <c r="L1943" s="8">
        <f t="shared" si="2780"/>
        <v>12.699999999999989</v>
      </c>
      <c r="M1943" s="24">
        <f t="shared" si="2778"/>
        <v>0.73623188405797091</v>
      </c>
      <c r="N1943" s="14"/>
    </row>
    <row r="1944" spans="1:14" x14ac:dyDescent="0.25">
      <c r="A1944" s="20">
        <v>44589</v>
      </c>
      <c r="B1944" s="1">
        <f t="shared" ref="B1944" si="2795">B1934</f>
        <v>162</v>
      </c>
      <c r="C1944" s="1" t="s">
        <v>476</v>
      </c>
      <c r="D1944" s="1" t="s">
        <v>244</v>
      </c>
      <c r="E1944" s="26" t="e">
        <f t="shared" ref="E1944:F1944" si="2796">+E1943</f>
        <v>#REF!</v>
      </c>
      <c r="F1944" s="26" t="e">
        <f t="shared" si="2796"/>
        <v>#REF!</v>
      </c>
      <c r="G1944" s="17">
        <v>11</v>
      </c>
      <c r="H1944" s="17" t="s">
        <v>9</v>
      </c>
      <c r="I1944" s="30" t="s">
        <v>60</v>
      </c>
      <c r="J1944" s="22">
        <v>0.7</v>
      </c>
      <c r="K1944" s="22">
        <v>0.55000000000000004</v>
      </c>
      <c r="L1944" s="8">
        <f t="shared" si="2780"/>
        <v>0.14999999999999991</v>
      </c>
      <c r="M1944" s="24">
        <f t="shared" si="2778"/>
        <v>8.6956521739130453E-3</v>
      </c>
      <c r="N1944" s="14"/>
    </row>
    <row r="1945" spans="1:14" ht="15.75" thickBot="1" x14ac:dyDescent="0.3">
      <c r="A1945" s="20">
        <v>44589</v>
      </c>
      <c r="B1945" s="57">
        <f t="shared" ref="B1945" si="2797">B1934</f>
        <v>162</v>
      </c>
      <c r="C1945" s="1" t="s">
        <v>476</v>
      </c>
      <c r="D1945" s="57" t="s">
        <v>244</v>
      </c>
      <c r="E1945" s="26" t="e">
        <f t="shared" ref="E1945:F1945" si="2798">+E1944</f>
        <v>#REF!</v>
      </c>
      <c r="F1945" s="26" t="e">
        <f t="shared" si="2798"/>
        <v>#REF!</v>
      </c>
      <c r="G1945" s="18">
        <f>+G1944+1</f>
        <v>12</v>
      </c>
      <c r="H1945" s="18" t="s">
        <v>10</v>
      </c>
      <c r="I1945" s="46" t="s">
        <v>10</v>
      </c>
      <c r="J1945" s="22">
        <v>10.1</v>
      </c>
      <c r="K1945" s="63">
        <v>8.5500000000000007</v>
      </c>
      <c r="L1945" s="8">
        <f t="shared" si="2780"/>
        <v>1.5499999999999989</v>
      </c>
      <c r="M1945" s="24">
        <f t="shared" si="2778"/>
        <v>8.9855072463768129E-2</v>
      </c>
      <c r="N1945" s="14"/>
    </row>
    <row r="1946" spans="1:14" x14ac:dyDescent="0.25">
      <c r="A1946" s="19">
        <v>44589</v>
      </c>
      <c r="B1946" s="15">
        <f t="shared" ref="B1946" si="2799">B1934+1</f>
        <v>163</v>
      </c>
      <c r="C1946" s="15" t="s">
        <v>478</v>
      </c>
      <c r="D1946" s="15" t="s">
        <v>248</v>
      </c>
      <c r="E1946" s="25">
        <f>7.4-1.2</f>
        <v>6.2</v>
      </c>
      <c r="F1946" s="25">
        <f>+SUM(L1946:L1957)</f>
        <v>6.2499999999999964</v>
      </c>
      <c r="G1946" s="16">
        <v>1</v>
      </c>
      <c r="H1946" s="16" t="s">
        <v>9</v>
      </c>
      <c r="I1946" s="59" t="s">
        <v>56</v>
      </c>
      <c r="J1946" s="21">
        <v>1.1499999999999999</v>
      </c>
      <c r="K1946" s="21">
        <v>0.5</v>
      </c>
      <c r="L1946" s="12">
        <f>+J1946-K1946</f>
        <v>0.64999999999999991</v>
      </c>
      <c r="M1946" s="23">
        <f t="shared" si="2778"/>
        <v>0.10400000000000005</v>
      </c>
      <c r="N1946" s="13"/>
    </row>
    <row r="1947" spans="1:14" x14ac:dyDescent="0.25">
      <c r="A1947" s="20">
        <v>44589</v>
      </c>
      <c r="B1947" s="1">
        <f t="shared" ref="B1947" si="2800">B1946</f>
        <v>163</v>
      </c>
      <c r="C1947" s="1" t="s">
        <v>478</v>
      </c>
      <c r="D1947" s="1" t="s">
        <v>248</v>
      </c>
      <c r="E1947" s="26">
        <f>+E1946</f>
        <v>6.2</v>
      </c>
      <c r="F1947" s="28">
        <f>+(F1946-E1946)/E1946</f>
        <v>8.0645161290316559E-3</v>
      </c>
      <c r="G1947" s="17">
        <v>2</v>
      </c>
      <c r="H1947" s="17" t="s">
        <v>9</v>
      </c>
      <c r="I1947" s="30" t="s">
        <v>57</v>
      </c>
      <c r="J1947" s="22">
        <f>9.6+0.65</f>
        <v>10.25</v>
      </c>
      <c r="K1947" s="22">
        <f>8.55+0.55</f>
        <v>9.1000000000000014</v>
      </c>
      <c r="L1947" s="8">
        <f t="shared" ref="L1947:L1957" si="2801">+J1947-K1947</f>
        <v>1.1499999999999986</v>
      </c>
      <c r="M1947" s="24">
        <f t="shared" si="2778"/>
        <v>0.18399999999999989</v>
      </c>
      <c r="N1947" s="14"/>
    </row>
    <row r="1948" spans="1:14" x14ac:dyDescent="0.25">
      <c r="A1948" s="20">
        <v>44589</v>
      </c>
      <c r="B1948" s="1">
        <f t="shared" ref="B1948" si="2802">B1946</f>
        <v>163</v>
      </c>
      <c r="C1948" s="1" t="s">
        <v>478</v>
      </c>
      <c r="D1948" s="1" t="s">
        <v>248</v>
      </c>
      <c r="E1948" s="26" t="e">
        <f>+#REF!</f>
        <v>#REF!</v>
      </c>
      <c r="F1948" s="26" t="e">
        <f>+#REF!</f>
        <v>#REF!</v>
      </c>
      <c r="G1948" s="17">
        <v>3</v>
      </c>
      <c r="H1948" s="17" t="s">
        <v>9</v>
      </c>
      <c r="I1948" s="30" t="s">
        <v>58</v>
      </c>
      <c r="J1948" s="22">
        <v>1</v>
      </c>
      <c r="K1948" s="22">
        <v>0.55000000000000004</v>
      </c>
      <c r="L1948" s="8">
        <f t="shared" si="2801"/>
        <v>0.44999999999999996</v>
      </c>
      <c r="M1948" s="24">
        <f t="shared" si="2778"/>
        <v>7.2000000000000036E-2</v>
      </c>
      <c r="N1948" s="14"/>
    </row>
    <row r="1949" spans="1:14" x14ac:dyDescent="0.25">
      <c r="A1949" s="20">
        <v>44589</v>
      </c>
      <c r="B1949" s="1">
        <f t="shared" ref="B1949" si="2803">B1946</f>
        <v>163</v>
      </c>
      <c r="C1949" s="1" t="s">
        <v>478</v>
      </c>
      <c r="D1949" s="1" t="s">
        <v>248</v>
      </c>
      <c r="E1949" s="26" t="e">
        <f t="shared" ref="E1949:F1949" si="2804">+E1948</f>
        <v>#REF!</v>
      </c>
      <c r="F1949" s="26" t="e">
        <f t="shared" si="2804"/>
        <v>#REF!</v>
      </c>
      <c r="G1949" s="17">
        <v>4</v>
      </c>
      <c r="H1949" s="17" t="s">
        <v>9</v>
      </c>
      <c r="I1949" s="30" t="s">
        <v>22</v>
      </c>
      <c r="J1949" s="22">
        <v>0.75</v>
      </c>
      <c r="K1949" s="22">
        <v>0.55000000000000004</v>
      </c>
      <c r="L1949" s="8">
        <f t="shared" si="2801"/>
        <v>0.19999999999999996</v>
      </c>
      <c r="M1949" s="24">
        <f t="shared" si="2778"/>
        <v>3.2000000000000015E-2</v>
      </c>
      <c r="N1949" s="14"/>
    </row>
    <row r="1950" spans="1:14" x14ac:dyDescent="0.25">
      <c r="A1950" s="20">
        <v>44589</v>
      </c>
      <c r="B1950" s="1">
        <f t="shared" ref="B1950" si="2805">B1946</f>
        <v>163</v>
      </c>
      <c r="C1950" s="1" t="s">
        <v>478</v>
      </c>
      <c r="D1950" s="1" t="s">
        <v>248</v>
      </c>
      <c r="E1950" s="26" t="e">
        <f t="shared" ref="E1950:F1950" si="2806">+E1949</f>
        <v>#REF!</v>
      </c>
      <c r="F1950" s="26" t="e">
        <f t="shared" si="2806"/>
        <v>#REF!</v>
      </c>
      <c r="G1950" s="17">
        <v>5</v>
      </c>
      <c r="H1950" s="17" t="s">
        <v>9</v>
      </c>
      <c r="I1950" s="30" t="s">
        <v>34</v>
      </c>
      <c r="J1950" s="22"/>
      <c r="K1950" s="63"/>
      <c r="L1950" s="8">
        <f t="shared" si="2801"/>
        <v>0</v>
      </c>
      <c r="M1950" s="24">
        <f t="shared" si="2778"/>
        <v>0</v>
      </c>
      <c r="N1950" s="14"/>
    </row>
    <row r="1951" spans="1:14" x14ac:dyDescent="0.25">
      <c r="A1951" s="20">
        <v>44589</v>
      </c>
      <c r="B1951" s="1">
        <f t="shared" ref="B1951" si="2807">B1946</f>
        <v>163</v>
      </c>
      <c r="C1951" s="1" t="s">
        <v>478</v>
      </c>
      <c r="D1951" s="1" t="s">
        <v>248</v>
      </c>
      <c r="E1951" s="26" t="e">
        <f t="shared" ref="E1951:F1951" si="2808">+E1950</f>
        <v>#REF!</v>
      </c>
      <c r="F1951" s="26" t="e">
        <f t="shared" si="2808"/>
        <v>#REF!</v>
      </c>
      <c r="G1951" s="17">
        <v>6</v>
      </c>
      <c r="H1951" s="17" t="s">
        <v>9</v>
      </c>
      <c r="I1951" s="30" t="s">
        <v>35</v>
      </c>
      <c r="J1951" s="22"/>
      <c r="K1951" s="22"/>
      <c r="L1951" s="8">
        <f t="shared" si="2801"/>
        <v>0</v>
      </c>
      <c r="M1951" s="24">
        <f t="shared" si="2778"/>
        <v>0</v>
      </c>
      <c r="N1951" s="14"/>
    </row>
    <row r="1952" spans="1:14" x14ac:dyDescent="0.25">
      <c r="A1952" s="20">
        <v>44589</v>
      </c>
      <c r="B1952" s="1">
        <f t="shared" ref="B1952" si="2809">B1946</f>
        <v>163</v>
      </c>
      <c r="C1952" s="1" t="s">
        <v>478</v>
      </c>
      <c r="D1952" s="1" t="s">
        <v>248</v>
      </c>
      <c r="E1952" s="26" t="e">
        <f t="shared" ref="E1952:F1952" si="2810">+E1951</f>
        <v>#REF!</v>
      </c>
      <c r="F1952" s="26" t="e">
        <f t="shared" si="2810"/>
        <v>#REF!</v>
      </c>
      <c r="G1952" s="17">
        <v>7</v>
      </c>
      <c r="H1952" s="17" t="s">
        <v>9</v>
      </c>
      <c r="I1952" s="30" t="s">
        <v>36</v>
      </c>
      <c r="J1952" s="22"/>
      <c r="K1952" s="22"/>
      <c r="L1952" s="8">
        <f t="shared" si="2801"/>
        <v>0</v>
      </c>
      <c r="M1952" s="24">
        <f t="shared" si="2778"/>
        <v>0</v>
      </c>
      <c r="N1952" s="14"/>
    </row>
    <row r="1953" spans="1:14" x14ac:dyDescent="0.25">
      <c r="A1953" s="20">
        <v>44589</v>
      </c>
      <c r="B1953" s="1">
        <f t="shared" ref="B1953" si="2811">B1946</f>
        <v>163</v>
      </c>
      <c r="C1953" s="1" t="s">
        <v>478</v>
      </c>
      <c r="D1953" s="1" t="s">
        <v>248</v>
      </c>
      <c r="E1953" s="26" t="e">
        <f>+E1952</f>
        <v>#REF!</v>
      </c>
      <c r="F1953" s="26" t="e">
        <f>+F1952</f>
        <v>#REF!</v>
      </c>
      <c r="G1953" s="17">
        <v>8</v>
      </c>
      <c r="H1953" s="17" t="s">
        <v>9</v>
      </c>
      <c r="I1953" s="30" t="s">
        <v>59</v>
      </c>
      <c r="J1953" s="22">
        <v>1.1000000000000001</v>
      </c>
      <c r="K1953" s="22">
        <v>0.5</v>
      </c>
      <c r="L1953" s="8">
        <f t="shared" si="2801"/>
        <v>0.60000000000000009</v>
      </c>
      <c r="M1953" s="24">
        <f t="shared" si="2778"/>
        <v>9.6000000000000071E-2</v>
      </c>
      <c r="N1953" s="14"/>
    </row>
    <row r="1954" spans="1:14" x14ac:dyDescent="0.25">
      <c r="A1954" s="20">
        <v>44589</v>
      </c>
      <c r="B1954" s="1">
        <f t="shared" ref="B1954" si="2812">B1946</f>
        <v>163</v>
      </c>
      <c r="C1954" s="1" t="s">
        <v>478</v>
      </c>
      <c r="D1954" s="1" t="s">
        <v>248</v>
      </c>
      <c r="E1954" s="26" t="e">
        <f t="shared" ref="E1954:F1954" si="2813">+E1953</f>
        <v>#REF!</v>
      </c>
      <c r="F1954" s="26" t="e">
        <f t="shared" si="2813"/>
        <v>#REF!</v>
      </c>
      <c r="G1954" s="17">
        <v>9</v>
      </c>
      <c r="H1954" s="17" t="s">
        <v>9</v>
      </c>
      <c r="I1954" s="30" t="s">
        <v>38</v>
      </c>
      <c r="J1954" s="22"/>
      <c r="K1954" s="22"/>
      <c r="L1954" s="8">
        <f t="shared" si="2801"/>
        <v>0</v>
      </c>
      <c r="M1954" s="24">
        <f t="shared" si="2778"/>
        <v>0</v>
      </c>
      <c r="N1954" s="14"/>
    </row>
    <row r="1955" spans="1:14" x14ac:dyDescent="0.25">
      <c r="A1955" s="20">
        <v>44589</v>
      </c>
      <c r="B1955" s="1">
        <f t="shared" ref="B1955" si="2814">B1946</f>
        <v>163</v>
      </c>
      <c r="C1955" s="1" t="s">
        <v>478</v>
      </c>
      <c r="D1955" s="1" t="s">
        <v>248</v>
      </c>
      <c r="E1955" s="26" t="e">
        <f t="shared" ref="E1955:F1955" si="2815">+E1954</f>
        <v>#REF!</v>
      </c>
      <c r="F1955" s="26" t="e">
        <f t="shared" si="2815"/>
        <v>#REF!</v>
      </c>
      <c r="G1955" s="17">
        <v>10</v>
      </c>
      <c r="H1955" s="17" t="s">
        <v>9</v>
      </c>
      <c r="I1955" s="30" t="s">
        <v>23</v>
      </c>
      <c r="J1955" s="22">
        <f>9</f>
        <v>9</v>
      </c>
      <c r="K1955" s="22">
        <f>8.55</f>
        <v>8.5500000000000007</v>
      </c>
      <c r="L1955" s="8">
        <f t="shared" si="2801"/>
        <v>0.44999999999999929</v>
      </c>
      <c r="M1955" s="24">
        <f t="shared" si="2778"/>
        <v>7.1999999999999925E-2</v>
      </c>
      <c r="N1955" s="14"/>
    </row>
    <row r="1956" spans="1:14" x14ac:dyDescent="0.25">
      <c r="A1956" s="20">
        <v>44589</v>
      </c>
      <c r="B1956" s="1">
        <f t="shared" ref="B1956" si="2816">B1946</f>
        <v>163</v>
      </c>
      <c r="C1956" s="1" t="s">
        <v>478</v>
      </c>
      <c r="D1956" s="1" t="s">
        <v>248</v>
      </c>
      <c r="E1956" s="26" t="e">
        <f t="shared" ref="E1956:F1956" si="2817">+E1955</f>
        <v>#REF!</v>
      </c>
      <c r="F1956" s="26" t="e">
        <f t="shared" si="2817"/>
        <v>#REF!</v>
      </c>
      <c r="G1956" s="17">
        <v>11</v>
      </c>
      <c r="H1956" s="17" t="s">
        <v>9</v>
      </c>
      <c r="I1956" s="30" t="s">
        <v>60</v>
      </c>
      <c r="J1956" s="22">
        <f>0.65+8.95</f>
        <v>9.6</v>
      </c>
      <c r="K1956" s="22">
        <f>0.55+8.55</f>
        <v>9.1000000000000014</v>
      </c>
      <c r="L1956" s="8">
        <f t="shared" si="2801"/>
        <v>0.49999999999999822</v>
      </c>
      <c r="M1956" s="24">
        <f t="shared" si="2778"/>
        <v>7.9999999999999766E-2</v>
      </c>
      <c r="N1956" s="14"/>
    </row>
    <row r="1957" spans="1:14" ht="15.75" thickBot="1" x14ac:dyDescent="0.3">
      <c r="A1957" s="20">
        <v>44589</v>
      </c>
      <c r="B1957" s="57">
        <f t="shared" ref="B1957" si="2818">B1946</f>
        <v>163</v>
      </c>
      <c r="C1957" s="1" t="s">
        <v>478</v>
      </c>
      <c r="D1957" s="57" t="s">
        <v>248</v>
      </c>
      <c r="E1957" s="26" t="e">
        <f t="shared" ref="E1957:F1957" si="2819">+E1956</f>
        <v>#REF!</v>
      </c>
      <c r="F1957" s="26" t="e">
        <f t="shared" si="2819"/>
        <v>#REF!</v>
      </c>
      <c r="G1957" s="18">
        <f>+G1956+1</f>
        <v>12</v>
      </c>
      <c r="H1957" s="18" t="s">
        <v>10</v>
      </c>
      <c r="I1957" s="46" t="s">
        <v>10</v>
      </c>
      <c r="J1957" s="22">
        <v>10.8</v>
      </c>
      <c r="K1957" s="63">
        <v>8.5500000000000007</v>
      </c>
      <c r="L1957" s="8">
        <f t="shared" si="2801"/>
        <v>2.25</v>
      </c>
      <c r="M1957" s="24">
        <f t="shared" si="2778"/>
        <v>0.36000000000000021</v>
      </c>
      <c r="N1957" s="14"/>
    </row>
    <row r="1958" spans="1:14" x14ac:dyDescent="0.25">
      <c r="A1958" s="19">
        <v>44589</v>
      </c>
      <c r="B1958" s="15">
        <f t="shared" ref="B1958" si="2820">B1946+1</f>
        <v>164</v>
      </c>
      <c r="C1958" s="15" t="s">
        <v>479</v>
      </c>
      <c r="D1958" s="15" t="s">
        <v>250</v>
      </c>
      <c r="E1958" s="25">
        <f>14.8-1.2</f>
        <v>13.600000000000001</v>
      </c>
      <c r="F1958" s="25">
        <f>+SUM(L1958:L1969)</f>
        <v>13.349999999999998</v>
      </c>
      <c r="G1958" s="16">
        <v>1</v>
      </c>
      <c r="H1958" s="16" t="s">
        <v>9</v>
      </c>
      <c r="I1958" s="59" t="s">
        <v>56</v>
      </c>
      <c r="J1958" s="21">
        <v>0.8</v>
      </c>
      <c r="K1958" s="21">
        <v>0.55000000000000004</v>
      </c>
      <c r="L1958" s="12">
        <f>+J1958-K1958</f>
        <v>0.25</v>
      </c>
      <c r="M1958" s="23">
        <f t="shared" si="2778"/>
        <v>1.872659176029963E-2</v>
      </c>
      <c r="N1958" s="13"/>
    </row>
    <row r="1959" spans="1:14" x14ac:dyDescent="0.25">
      <c r="A1959" s="20">
        <v>44589</v>
      </c>
      <c r="B1959" s="1">
        <f t="shared" ref="B1959" si="2821">B1958</f>
        <v>164</v>
      </c>
      <c r="C1959" s="1" t="s">
        <v>479</v>
      </c>
      <c r="D1959" s="1" t="s">
        <v>250</v>
      </c>
      <c r="E1959" s="26">
        <f>+E1958</f>
        <v>13.600000000000001</v>
      </c>
      <c r="F1959" s="28">
        <f>+(F1958-E1958)/E1958</f>
        <v>-1.8382352941176731E-2</v>
      </c>
      <c r="G1959" s="17">
        <v>2</v>
      </c>
      <c r="H1959" s="17" t="s">
        <v>9</v>
      </c>
      <c r="I1959" s="30" t="s">
        <v>57</v>
      </c>
      <c r="J1959" s="22">
        <v>10.199999999999999</v>
      </c>
      <c r="K1959" s="22">
        <v>8.5</v>
      </c>
      <c r="L1959" s="8">
        <f t="shared" ref="L1959:L1969" si="2822">+J1959-K1959</f>
        <v>1.6999999999999993</v>
      </c>
      <c r="M1959" s="24">
        <f t="shared" si="2778"/>
        <v>0.12734082397003743</v>
      </c>
      <c r="N1959" s="14"/>
    </row>
    <row r="1960" spans="1:14" x14ac:dyDescent="0.25">
      <c r="A1960" s="20">
        <v>44589</v>
      </c>
      <c r="B1960" s="1">
        <f t="shared" ref="B1960" si="2823">B1958</f>
        <v>164</v>
      </c>
      <c r="C1960" s="1" t="s">
        <v>479</v>
      </c>
      <c r="D1960" s="1" t="s">
        <v>250</v>
      </c>
      <c r="E1960" s="26" t="e">
        <f>+#REF!</f>
        <v>#REF!</v>
      </c>
      <c r="F1960" s="26" t="e">
        <f>+#REF!</f>
        <v>#REF!</v>
      </c>
      <c r="G1960" s="17">
        <v>3</v>
      </c>
      <c r="H1960" s="17" t="s">
        <v>9</v>
      </c>
      <c r="I1960" s="30" t="s">
        <v>58</v>
      </c>
      <c r="J1960" s="22">
        <f>1.55+1.2</f>
        <v>2.75</v>
      </c>
      <c r="K1960" s="22">
        <f>0.55+0.55</f>
        <v>1.1000000000000001</v>
      </c>
      <c r="L1960" s="8">
        <f t="shared" si="2822"/>
        <v>1.65</v>
      </c>
      <c r="M1960" s="24">
        <f t="shared" si="2778"/>
        <v>0.12359550561797754</v>
      </c>
      <c r="N1960" s="14"/>
    </row>
    <row r="1961" spans="1:14" x14ac:dyDescent="0.25">
      <c r="A1961" s="20">
        <v>44589</v>
      </c>
      <c r="B1961" s="1">
        <f t="shared" ref="B1961" si="2824">B1958</f>
        <v>164</v>
      </c>
      <c r="C1961" s="1" t="s">
        <v>479</v>
      </c>
      <c r="D1961" s="1" t="s">
        <v>250</v>
      </c>
      <c r="E1961" s="26" t="e">
        <f t="shared" ref="E1961:F1961" si="2825">+E1960</f>
        <v>#REF!</v>
      </c>
      <c r="F1961" s="26" t="e">
        <f t="shared" si="2825"/>
        <v>#REF!</v>
      </c>
      <c r="G1961" s="17">
        <v>4</v>
      </c>
      <c r="H1961" s="17" t="s">
        <v>9</v>
      </c>
      <c r="I1961" s="30" t="s">
        <v>22</v>
      </c>
      <c r="J1961" s="22">
        <v>0.6</v>
      </c>
      <c r="K1961" s="22">
        <v>0.55000000000000004</v>
      </c>
      <c r="L1961" s="8">
        <f t="shared" si="2822"/>
        <v>4.9999999999999933E-2</v>
      </c>
      <c r="M1961" s="24">
        <f t="shared" si="2778"/>
        <v>3.7453183520599208E-3</v>
      </c>
      <c r="N1961" s="14"/>
    </row>
    <row r="1962" spans="1:14" x14ac:dyDescent="0.25">
      <c r="A1962" s="20">
        <v>44589</v>
      </c>
      <c r="B1962" s="1">
        <f t="shared" ref="B1962" si="2826">B1958</f>
        <v>164</v>
      </c>
      <c r="C1962" s="1" t="s">
        <v>479</v>
      </c>
      <c r="D1962" s="1" t="s">
        <v>250</v>
      </c>
      <c r="E1962" s="26" t="e">
        <f t="shared" ref="E1962:F1962" si="2827">+E1961</f>
        <v>#REF!</v>
      </c>
      <c r="F1962" s="26" t="e">
        <f t="shared" si="2827"/>
        <v>#REF!</v>
      </c>
      <c r="G1962" s="17">
        <v>5</v>
      </c>
      <c r="H1962" s="17" t="s">
        <v>9</v>
      </c>
      <c r="I1962" s="30" t="s">
        <v>34</v>
      </c>
      <c r="J1962" s="22">
        <v>0.6</v>
      </c>
      <c r="K1962" s="63">
        <v>0.55000000000000004</v>
      </c>
      <c r="L1962" s="8">
        <f t="shared" si="2822"/>
        <v>4.9999999999999933E-2</v>
      </c>
      <c r="M1962" s="24">
        <f t="shared" si="2778"/>
        <v>3.7453183520599208E-3</v>
      </c>
      <c r="N1962" s="14"/>
    </row>
    <row r="1963" spans="1:14" x14ac:dyDescent="0.25">
      <c r="A1963" s="20">
        <v>44589</v>
      </c>
      <c r="B1963" s="1">
        <f t="shared" ref="B1963" si="2828">B1958</f>
        <v>164</v>
      </c>
      <c r="C1963" s="1" t="s">
        <v>479</v>
      </c>
      <c r="D1963" s="1" t="s">
        <v>250</v>
      </c>
      <c r="E1963" s="26" t="e">
        <f t="shared" ref="E1963:F1963" si="2829">+E1962</f>
        <v>#REF!</v>
      </c>
      <c r="F1963" s="26" t="e">
        <f t="shared" si="2829"/>
        <v>#REF!</v>
      </c>
      <c r="G1963" s="17">
        <v>6</v>
      </c>
      <c r="H1963" s="17" t="s">
        <v>9</v>
      </c>
      <c r="I1963" s="30" t="s">
        <v>35</v>
      </c>
      <c r="J1963" s="22"/>
      <c r="K1963" s="22"/>
      <c r="L1963" s="8">
        <f t="shared" si="2822"/>
        <v>0</v>
      </c>
      <c r="M1963" s="24">
        <f t="shared" si="2778"/>
        <v>0</v>
      </c>
      <c r="N1963" s="14"/>
    </row>
    <row r="1964" spans="1:14" x14ac:dyDescent="0.25">
      <c r="A1964" s="20">
        <v>44589</v>
      </c>
      <c r="B1964" s="1">
        <f t="shared" ref="B1964" si="2830">B1958</f>
        <v>164</v>
      </c>
      <c r="C1964" s="1" t="s">
        <v>479</v>
      </c>
      <c r="D1964" s="1" t="s">
        <v>250</v>
      </c>
      <c r="E1964" s="26" t="e">
        <f t="shared" ref="E1964:F1964" si="2831">+E1963</f>
        <v>#REF!</v>
      </c>
      <c r="F1964" s="26" t="e">
        <f t="shared" si="2831"/>
        <v>#REF!</v>
      </c>
      <c r="G1964" s="17">
        <v>7</v>
      </c>
      <c r="H1964" s="17" t="s">
        <v>9</v>
      </c>
      <c r="I1964" s="30" t="s">
        <v>36</v>
      </c>
      <c r="J1964" s="22"/>
      <c r="K1964" s="22"/>
      <c r="L1964" s="8">
        <f t="shared" si="2822"/>
        <v>0</v>
      </c>
      <c r="M1964" s="24">
        <f t="shared" si="2778"/>
        <v>0</v>
      </c>
      <c r="N1964" s="14"/>
    </row>
    <row r="1965" spans="1:14" x14ac:dyDescent="0.25">
      <c r="A1965" s="20">
        <v>44589</v>
      </c>
      <c r="B1965" s="1">
        <f t="shared" ref="B1965" si="2832">B1958</f>
        <v>164</v>
      </c>
      <c r="C1965" s="1" t="s">
        <v>479</v>
      </c>
      <c r="D1965" s="1" t="s">
        <v>250</v>
      </c>
      <c r="E1965" s="26" t="e">
        <f>+E1964</f>
        <v>#REF!</v>
      </c>
      <c r="F1965" s="26" t="e">
        <f>+F1964</f>
        <v>#REF!</v>
      </c>
      <c r="G1965" s="17">
        <v>8</v>
      </c>
      <c r="H1965" s="17" t="s">
        <v>9</v>
      </c>
      <c r="I1965" s="30" t="s">
        <v>59</v>
      </c>
      <c r="J1965" s="22">
        <v>0.7</v>
      </c>
      <c r="K1965" s="22">
        <v>0.55000000000000004</v>
      </c>
      <c r="L1965" s="8">
        <f t="shared" si="2822"/>
        <v>0.14999999999999991</v>
      </c>
      <c r="M1965" s="24">
        <f t="shared" si="2778"/>
        <v>1.123595505617977E-2</v>
      </c>
      <c r="N1965" s="14"/>
    </row>
    <row r="1966" spans="1:14" x14ac:dyDescent="0.25">
      <c r="A1966" s="20">
        <v>44589</v>
      </c>
      <c r="B1966" s="1">
        <f t="shared" ref="B1966" si="2833">B1958</f>
        <v>164</v>
      </c>
      <c r="C1966" s="1" t="s">
        <v>479</v>
      </c>
      <c r="D1966" s="1" t="s">
        <v>250</v>
      </c>
      <c r="E1966" s="26" t="e">
        <f t="shared" ref="E1966:F1966" si="2834">+E1965</f>
        <v>#REF!</v>
      </c>
      <c r="F1966" s="26" t="e">
        <f t="shared" si="2834"/>
        <v>#REF!</v>
      </c>
      <c r="G1966" s="17">
        <v>9</v>
      </c>
      <c r="H1966" s="17" t="s">
        <v>9</v>
      </c>
      <c r="I1966" s="30" t="s">
        <v>38</v>
      </c>
      <c r="J1966" s="22"/>
      <c r="K1966" s="22"/>
      <c r="L1966" s="8">
        <f t="shared" si="2822"/>
        <v>0</v>
      </c>
      <c r="M1966" s="24">
        <f t="shared" si="2778"/>
        <v>0</v>
      </c>
      <c r="N1966" s="14"/>
    </row>
    <row r="1967" spans="1:14" x14ac:dyDescent="0.25">
      <c r="A1967" s="20">
        <v>44589</v>
      </c>
      <c r="B1967" s="1">
        <f t="shared" ref="B1967" si="2835">B1958</f>
        <v>164</v>
      </c>
      <c r="C1967" s="1" t="s">
        <v>479</v>
      </c>
      <c r="D1967" s="1" t="s">
        <v>250</v>
      </c>
      <c r="E1967" s="26" t="e">
        <f t="shared" ref="E1967:F1967" si="2836">+E1966</f>
        <v>#REF!</v>
      </c>
      <c r="F1967" s="26" t="e">
        <f t="shared" si="2836"/>
        <v>#REF!</v>
      </c>
      <c r="G1967" s="17">
        <v>10</v>
      </c>
      <c r="H1967" s="17" t="s">
        <v>9</v>
      </c>
      <c r="I1967" s="30" t="s">
        <v>23</v>
      </c>
      <c r="J1967" s="22">
        <v>0.8</v>
      </c>
      <c r="K1967" s="22">
        <v>0.55000000000000004</v>
      </c>
      <c r="L1967" s="8">
        <f t="shared" si="2822"/>
        <v>0.25</v>
      </c>
      <c r="M1967" s="24">
        <f t="shared" si="2778"/>
        <v>1.872659176029963E-2</v>
      </c>
      <c r="N1967" s="14"/>
    </row>
    <row r="1968" spans="1:14" x14ac:dyDescent="0.25">
      <c r="A1968" s="20">
        <v>44589</v>
      </c>
      <c r="B1968" s="1">
        <f t="shared" ref="B1968" si="2837">B1958</f>
        <v>164</v>
      </c>
      <c r="C1968" s="1" t="s">
        <v>479</v>
      </c>
      <c r="D1968" s="1" t="s">
        <v>250</v>
      </c>
      <c r="E1968" s="26" t="e">
        <f t="shared" ref="E1968:F1968" si="2838">+E1967</f>
        <v>#REF!</v>
      </c>
      <c r="F1968" s="26" t="e">
        <f t="shared" si="2838"/>
        <v>#REF!</v>
      </c>
      <c r="G1968" s="17">
        <v>11</v>
      </c>
      <c r="H1968" s="17" t="s">
        <v>9</v>
      </c>
      <c r="I1968" s="30" t="s">
        <v>60</v>
      </c>
      <c r="J1968" s="22">
        <f>9.55+9.3+10.3+9.8+9.8</f>
        <v>48.75</v>
      </c>
      <c r="K1968" s="22">
        <f>8.3+8.55+8.55+8.55+8.3</f>
        <v>42.25</v>
      </c>
      <c r="L1968" s="8">
        <f t="shared" si="2822"/>
        <v>6.5</v>
      </c>
      <c r="M1968" s="24">
        <f t="shared" si="2778"/>
        <v>0.48689138576779034</v>
      </c>
      <c r="N1968" s="14"/>
    </row>
    <row r="1969" spans="1:14" ht="15.75" thickBot="1" x14ac:dyDescent="0.3">
      <c r="A1969" s="20">
        <v>44589</v>
      </c>
      <c r="B1969" s="57">
        <f t="shared" ref="B1969" si="2839">B1958</f>
        <v>164</v>
      </c>
      <c r="C1969" s="1" t="s">
        <v>479</v>
      </c>
      <c r="D1969" s="57" t="s">
        <v>250</v>
      </c>
      <c r="E1969" s="26" t="e">
        <f t="shared" ref="E1969:F1969" si="2840">+E1968</f>
        <v>#REF!</v>
      </c>
      <c r="F1969" s="26" t="e">
        <f t="shared" si="2840"/>
        <v>#REF!</v>
      </c>
      <c r="G1969" s="18">
        <f>+G1968+1</f>
        <v>12</v>
      </c>
      <c r="H1969" s="18" t="s">
        <v>10</v>
      </c>
      <c r="I1969" s="46" t="s">
        <v>10</v>
      </c>
      <c r="J1969" s="22">
        <f>9.85+10</f>
        <v>19.850000000000001</v>
      </c>
      <c r="K1969" s="63">
        <f>8.55+8.55</f>
        <v>17.100000000000001</v>
      </c>
      <c r="L1969" s="8">
        <f t="shared" si="2822"/>
        <v>2.75</v>
      </c>
      <c r="M1969" s="24">
        <f t="shared" si="2778"/>
        <v>0.20599250936329591</v>
      </c>
      <c r="N1969" s="14"/>
    </row>
    <row r="1970" spans="1:14" x14ac:dyDescent="0.25">
      <c r="A1970" s="19">
        <v>44606</v>
      </c>
      <c r="B1970" s="15">
        <f t="shared" ref="B1970" si="2841">B1958+1</f>
        <v>165</v>
      </c>
      <c r="C1970" s="15" t="s">
        <v>484</v>
      </c>
      <c r="D1970" s="15" t="s">
        <v>23</v>
      </c>
      <c r="E1970" s="25">
        <f>41.8-1.2</f>
        <v>40.599999999999994</v>
      </c>
      <c r="F1970" s="25">
        <f>+SUM(L1970:L1981)</f>
        <v>40.449999999999989</v>
      </c>
      <c r="G1970" s="16">
        <v>1</v>
      </c>
      <c r="H1970" s="16" t="s">
        <v>9</v>
      </c>
      <c r="I1970" s="59" t="s">
        <v>56</v>
      </c>
      <c r="J1970" s="21">
        <v>0.6</v>
      </c>
      <c r="K1970" s="21">
        <v>0.55000000000000004</v>
      </c>
      <c r="L1970" s="12">
        <f>+J1970-K1970</f>
        <v>4.9999999999999933E-2</v>
      </c>
      <c r="M1970" s="23">
        <f t="shared" ref="M1970:M1981" si="2842">+L1970/SUMIF(C:C,C1970,L:L)</f>
        <v>1.2360939431396772E-3</v>
      </c>
      <c r="N1970" s="13"/>
    </row>
    <row r="1971" spans="1:14" x14ac:dyDescent="0.25">
      <c r="A1971" s="20">
        <v>44606</v>
      </c>
      <c r="B1971" s="1">
        <f t="shared" ref="B1971" si="2843">B1970</f>
        <v>165</v>
      </c>
      <c r="C1971" s="1" t="s">
        <v>484</v>
      </c>
      <c r="D1971" s="1" t="s">
        <v>23</v>
      </c>
      <c r="E1971" s="26">
        <f>+E1970</f>
        <v>40.599999999999994</v>
      </c>
      <c r="F1971" s="28">
        <f>+(F1970-E1970)/E1970</f>
        <v>-3.6945812807883177E-3</v>
      </c>
      <c r="G1971" s="17">
        <v>2</v>
      </c>
      <c r="H1971" s="17" t="s">
        <v>9</v>
      </c>
      <c r="I1971" s="30" t="s">
        <v>57</v>
      </c>
      <c r="J1971" s="22"/>
      <c r="K1971" s="22"/>
      <c r="L1971" s="8">
        <f t="shared" ref="L1971:L1981" si="2844">+J1971-K1971</f>
        <v>0</v>
      </c>
      <c r="M1971" s="24">
        <f t="shared" si="2842"/>
        <v>0</v>
      </c>
      <c r="N1971" s="14"/>
    </row>
    <row r="1972" spans="1:14" x14ac:dyDescent="0.25">
      <c r="A1972" s="20">
        <v>44606</v>
      </c>
      <c r="B1972" s="1">
        <f t="shared" ref="B1972" si="2845">B1970</f>
        <v>165</v>
      </c>
      <c r="C1972" s="1" t="s">
        <v>484</v>
      </c>
      <c r="D1972" s="1" t="s">
        <v>23</v>
      </c>
      <c r="E1972" s="26" t="e">
        <f>+#REF!</f>
        <v>#REF!</v>
      </c>
      <c r="F1972" s="26" t="e">
        <f>+#REF!</f>
        <v>#REF!</v>
      </c>
      <c r="G1972" s="17">
        <v>3</v>
      </c>
      <c r="H1972" s="17" t="s">
        <v>9</v>
      </c>
      <c r="I1972" s="30" t="s">
        <v>58</v>
      </c>
      <c r="J1972" s="22">
        <v>0.6</v>
      </c>
      <c r="K1972" s="22">
        <v>0.5</v>
      </c>
      <c r="L1972" s="8">
        <f t="shared" si="2844"/>
        <v>9.9999999999999978E-2</v>
      </c>
      <c r="M1972" s="24">
        <f t="shared" si="2842"/>
        <v>2.4721878862793575E-3</v>
      </c>
      <c r="N1972" s="14"/>
    </row>
    <row r="1973" spans="1:14" x14ac:dyDescent="0.25">
      <c r="A1973" s="20">
        <v>44606</v>
      </c>
      <c r="B1973" s="1">
        <f t="shared" ref="B1973" si="2846">B1970</f>
        <v>165</v>
      </c>
      <c r="C1973" s="1" t="s">
        <v>484</v>
      </c>
      <c r="D1973" s="1" t="s">
        <v>23</v>
      </c>
      <c r="E1973" s="26" t="e">
        <f t="shared" ref="E1973:F1973" si="2847">+E1972</f>
        <v>#REF!</v>
      </c>
      <c r="F1973" s="26" t="e">
        <f t="shared" si="2847"/>
        <v>#REF!</v>
      </c>
      <c r="G1973" s="17">
        <v>4</v>
      </c>
      <c r="H1973" s="17" t="s">
        <v>9</v>
      </c>
      <c r="I1973" s="30" t="s">
        <v>22</v>
      </c>
      <c r="J1973" s="22">
        <v>0.6</v>
      </c>
      <c r="K1973" s="22">
        <v>0.55000000000000004</v>
      </c>
      <c r="L1973" s="8">
        <f t="shared" si="2844"/>
        <v>4.9999999999999933E-2</v>
      </c>
      <c r="M1973" s="24">
        <f t="shared" si="2842"/>
        <v>1.2360939431396772E-3</v>
      </c>
      <c r="N1973" s="14"/>
    </row>
    <row r="1974" spans="1:14" x14ac:dyDescent="0.25">
      <c r="A1974" s="20">
        <v>44606</v>
      </c>
      <c r="B1974" s="1">
        <f t="shared" ref="B1974" si="2848">B1970</f>
        <v>165</v>
      </c>
      <c r="C1974" s="1" t="s">
        <v>484</v>
      </c>
      <c r="D1974" s="1" t="s">
        <v>23</v>
      </c>
      <c r="E1974" s="26" t="e">
        <f t="shared" ref="E1974:F1974" si="2849">+E1973</f>
        <v>#REF!</v>
      </c>
      <c r="F1974" s="26" t="e">
        <f t="shared" si="2849"/>
        <v>#REF!</v>
      </c>
      <c r="G1974" s="17">
        <v>5</v>
      </c>
      <c r="H1974" s="17" t="s">
        <v>9</v>
      </c>
      <c r="I1974" s="30" t="s">
        <v>34</v>
      </c>
      <c r="J1974" s="22">
        <v>0.6</v>
      </c>
      <c r="K1974" s="63">
        <v>0.5</v>
      </c>
      <c r="L1974" s="8">
        <f t="shared" si="2844"/>
        <v>9.9999999999999978E-2</v>
      </c>
      <c r="M1974" s="24">
        <f t="shared" si="2842"/>
        <v>2.4721878862793575E-3</v>
      </c>
      <c r="N1974" s="14"/>
    </row>
    <row r="1975" spans="1:14" x14ac:dyDescent="0.25">
      <c r="A1975" s="20">
        <v>44606</v>
      </c>
      <c r="B1975" s="1">
        <f t="shared" ref="B1975" si="2850">B1970</f>
        <v>165</v>
      </c>
      <c r="C1975" s="1" t="s">
        <v>484</v>
      </c>
      <c r="D1975" s="1" t="s">
        <v>23</v>
      </c>
      <c r="E1975" s="26" t="e">
        <f t="shared" ref="E1975:F1975" si="2851">+E1974</f>
        <v>#REF!</v>
      </c>
      <c r="F1975" s="26" t="e">
        <f t="shared" si="2851"/>
        <v>#REF!</v>
      </c>
      <c r="G1975" s="17">
        <v>6</v>
      </c>
      <c r="H1975" s="17" t="s">
        <v>9</v>
      </c>
      <c r="I1975" s="30" t="s">
        <v>35</v>
      </c>
      <c r="J1975" s="22"/>
      <c r="K1975" s="22"/>
      <c r="L1975" s="8">
        <f t="shared" si="2844"/>
        <v>0</v>
      </c>
      <c r="M1975" s="24">
        <f t="shared" si="2842"/>
        <v>0</v>
      </c>
      <c r="N1975" s="14"/>
    </row>
    <row r="1976" spans="1:14" x14ac:dyDescent="0.25">
      <c r="A1976" s="20">
        <v>44606</v>
      </c>
      <c r="B1976" s="1">
        <f t="shared" ref="B1976" si="2852">B1970</f>
        <v>165</v>
      </c>
      <c r="C1976" s="1" t="s">
        <v>484</v>
      </c>
      <c r="D1976" s="1" t="s">
        <v>23</v>
      </c>
      <c r="E1976" s="26" t="e">
        <f t="shared" ref="E1976:F1976" si="2853">+E1975</f>
        <v>#REF!</v>
      </c>
      <c r="F1976" s="26" t="e">
        <f t="shared" si="2853"/>
        <v>#REF!</v>
      </c>
      <c r="G1976" s="17">
        <v>7</v>
      </c>
      <c r="H1976" s="17" t="s">
        <v>9</v>
      </c>
      <c r="I1976" s="30" t="s">
        <v>36</v>
      </c>
      <c r="J1976" s="22"/>
      <c r="K1976" s="22"/>
      <c r="L1976" s="8">
        <f t="shared" si="2844"/>
        <v>0</v>
      </c>
      <c r="M1976" s="24">
        <f t="shared" si="2842"/>
        <v>0</v>
      </c>
      <c r="N1976" s="14"/>
    </row>
    <row r="1977" spans="1:14" x14ac:dyDescent="0.25">
      <c r="A1977" s="20">
        <v>44606</v>
      </c>
      <c r="B1977" s="1">
        <f t="shared" ref="B1977" si="2854">B1970</f>
        <v>165</v>
      </c>
      <c r="C1977" s="1" t="s">
        <v>484</v>
      </c>
      <c r="D1977" s="1" t="s">
        <v>23</v>
      </c>
      <c r="E1977" s="26" t="e">
        <f>+E1976</f>
        <v>#REF!</v>
      </c>
      <c r="F1977" s="26" t="e">
        <f>+F1976</f>
        <v>#REF!</v>
      </c>
      <c r="G1977" s="17">
        <v>8</v>
      </c>
      <c r="H1977" s="17" t="s">
        <v>9</v>
      </c>
      <c r="I1977" s="30" t="s">
        <v>59</v>
      </c>
      <c r="J1977" s="22">
        <f>9.7+9.8</f>
        <v>19.5</v>
      </c>
      <c r="K1977" s="22">
        <f>8.55+8.5</f>
        <v>17.05</v>
      </c>
      <c r="L1977" s="8">
        <f t="shared" si="2844"/>
        <v>2.4499999999999993</v>
      </c>
      <c r="M1977" s="24">
        <f t="shared" si="2842"/>
        <v>6.0568603213844253E-2</v>
      </c>
      <c r="N1977" s="14"/>
    </row>
    <row r="1978" spans="1:14" x14ac:dyDescent="0.25">
      <c r="A1978" s="20">
        <v>44606</v>
      </c>
      <c r="B1978" s="1">
        <f t="shared" ref="B1978" si="2855">B1970</f>
        <v>165</v>
      </c>
      <c r="C1978" s="1" t="s">
        <v>484</v>
      </c>
      <c r="D1978" s="1" t="s">
        <v>23</v>
      </c>
      <c r="E1978" s="26" t="e">
        <f t="shared" ref="E1978:F1978" si="2856">+E1977</f>
        <v>#REF!</v>
      </c>
      <c r="F1978" s="26" t="e">
        <f t="shared" si="2856"/>
        <v>#REF!</v>
      </c>
      <c r="G1978" s="17">
        <v>9</v>
      </c>
      <c r="H1978" s="17" t="s">
        <v>9</v>
      </c>
      <c r="I1978" s="30" t="s">
        <v>38</v>
      </c>
      <c r="J1978" s="22"/>
      <c r="K1978" s="22"/>
      <c r="L1978" s="8">
        <f t="shared" si="2844"/>
        <v>0</v>
      </c>
      <c r="M1978" s="24">
        <f t="shared" si="2842"/>
        <v>0</v>
      </c>
      <c r="N1978" s="14"/>
    </row>
    <row r="1979" spans="1:14" x14ac:dyDescent="0.25">
      <c r="A1979" s="20">
        <v>44606</v>
      </c>
      <c r="B1979" s="1">
        <f t="shared" ref="B1979" si="2857">B1970</f>
        <v>165</v>
      </c>
      <c r="C1979" s="1" t="s">
        <v>484</v>
      </c>
      <c r="D1979" s="1" t="s">
        <v>23</v>
      </c>
      <c r="E1979" s="26" t="e">
        <f t="shared" ref="E1979:F1979" si="2858">+E1978</f>
        <v>#REF!</v>
      </c>
      <c r="F1979" s="26" t="e">
        <f t="shared" si="2858"/>
        <v>#REF!</v>
      </c>
      <c r="G1979" s="17">
        <v>10</v>
      </c>
      <c r="H1979" s="17" t="s">
        <v>9</v>
      </c>
      <c r="I1979" s="30" t="s">
        <v>23</v>
      </c>
      <c r="J1979" s="22">
        <f>16+17.3+17.65+12.75+9.7+13.45</f>
        <v>86.85</v>
      </c>
      <c r="K1979" s="22">
        <f>8.3+8.55+8.55+8.5+8.55+8.55</f>
        <v>51</v>
      </c>
      <c r="L1979" s="8">
        <f t="shared" si="2844"/>
        <v>35.849999999999994</v>
      </c>
      <c r="M1979" s="24">
        <f t="shared" si="2842"/>
        <v>0.8862793572311497</v>
      </c>
      <c r="N1979" s="14"/>
    </row>
    <row r="1980" spans="1:14" x14ac:dyDescent="0.25">
      <c r="A1980" s="20">
        <v>44606</v>
      </c>
      <c r="B1980" s="1">
        <f t="shared" ref="B1980" si="2859">B1970</f>
        <v>165</v>
      </c>
      <c r="C1980" s="1" t="s">
        <v>484</v>
      </c>
      <c r="D1980" s="1" t="s">
        <v>23</v>
      </c>
      <c r="E1980" s="26" t="e">
        <f t="shared" ref="E1980:F1980" si="2860">+E1979</f>
        <v>#REF!</v>
      </c>
      <c r="F1980" s="26" t="e">
        <f t="shared" si="2860"/>
        <v>#REF!</v>
      </c>
      <c r="G1980" s="17">
        <v>11</v>
      </c>
      <c r="H1980" s="17" t="s">
        <v>9</v>
      </c>
      <c r="I1980" s="30" t="s">
        <v>60</v>
      </c>
      <c r="J1980" s="22">
        <v>0.6</v>
      </c>
      <c r="K1980" s="22">
        <v>0.55000000000000004</v>
      </c>
      <c r="L1980" s="8">
        <f t="shared" si="2844"/>
        <v>4.9999999999999933E-2</v>
      </c>
      <c r="M1980" s="24">
        <f t="shared" si="2842"/>
        <v>1.2360939431396772E-3</v>
      </c>
      <c r="N1980" s="14"/>
    </row>
    <row r="1981" spans="1:14" ht="15.75" thickBot="1" x14ac:dyDescent="0.3">
      <c r="A1981" s="20">
        <v>44606</v>
      </c>
      <c r="B1981" s="57">
        <f t="shared" ref="B1981" si="2861">B1970</f>
        <v>165</v>
      </c>
      <c r="C1981" s="1" t="s">
        <v>484</v>
      </c>
      <c r="D1981" s="1" t="s">
        <v>23</v>
      </c>
      <c r="E1981" s="26" t="e">
        <f t="shared" ref="E1981:F1981" si="2862">+E1980</f>
        <v>#REF!</v>
      </c>
      <c r="F1981" s="26" t="e">
        <f t="shared" si="2862"/>
        <v>#REF!</v>
      </c>
      <c r="G1981" s="18">
        <f>+G1980+1</f>
        <v>12</v>
      </c>
      <c r="H1981" s="18" t="s">
        <v>10</v>
      </c>
      <c r="I1981" s="46" t="s">
        <v>10</v>
      </c>
      <c r="J1981" s="22">
        <v>10.35</v>
      </c>
      <c r="K1981" s="63">
        <v>8.5500000000000007</v>
      </c>
      <c r="L1981" s="8">
        <f t="shared" si="2844"/>
        <v>1.7999999999999989</v>
      </c>
      <c r="M1981" s="24">
        <f t="shared" si="2842"/>
        <v>4.4499381953028418E-2</v>
      </c>
      <c r="N1981" s="14"/>
    </row>
    <row r="1982" spans="1:14" x14ac:dyDescent="0.25">
      <c r="A1982" s="19">
        <v>44606</v>
      </c>
      <c r="B1982" s="15">
        <f t="shared" ref="B1982" si="2863">B1970+1</f>
        <v>166</v>
      </c>
      <c r="C1982" s="15" t="s">
        <v>485</v>
      </c>
      <c r="D1982" s="15" t="s">
        <v>184</v>
      </c>
      <c r="E1982" s="25">
        <f>25-1.2</f>
        <v>23.8</v>
      </c>
      <c r="F1982" s="25">
        <f>+SUM(L1982:L1993)</f>
        <v>24.150000000000002</v>
      </c>
      <c r="G1982" s="16">
        <v>1</v>
      </c>
      <c r="H1982" s="16" t="s">
        <v>9</v>
      </c>
      <c r="I1982" s="59" t="s">
        <v>56</v>
      </c>
      <c r="J1982" s="21">
        <f>10.6+11.5+11.4+11.25+11.85+11.5+12.25+10.5</f>
        <v>90.85</v>
      </c>
      <c r="K1982" s="21">
        <f>8.3+8.55+8.55+8.55+8.55+8.5+8.5+8.55</f>
        <v>68.05</v>
      </c>
      <c r="L1982" s="12">
        <f>+J1982-K1982</f>
        <v>22.799999999999997</v>
      </c>
      <c r="M1982" s="23">
        <f t="shared" ref="M1982:M2045" si="2864">+L1982/SUMIF(C:C,C1982,L:L)</f>
        <v>0.94409937888198736</v>
      </c>
      <c r="N1982" s="13"/>
    </row>
    <row r="1983" spans="1:14" x14ac:dyDescent="0.25">
      <c r="A1983" s="20">
        <v>44606</v>
      </c>
      <c r="B1983" s="1">
        <f t="shared" ref="B1983" si="2865">B1982</f>
        <v>166</v>
      </c>
      <c r="C1983" s="1" t="s">
        <v>485</v>
      </c>
      <c r="D1983" s="1" t="s">
        <v>184</v>
      </c>
      <c r="E1983" s="26">
        <f>+E1982</f>
        <v>23.8</v>
      </c>
      <c r="F1983" s="28">
        <f>+(F1982-E1982)/E1982</f>
        <v>1.4705882352941235E-2</v>
      </c>
      <c r="G1983" s="17">
        <v>2</v>
      </c>
      <c r="H1983" s="17" t="s">
        <v>9</v>
      </c>
      <c r="I1983" s="30" t="s">
        <v>57</v>
      </c>
      <c r="J1983" s="22">
        <f>1.3+0.85</f>
        <v>2.15</v>
      </c>
      <c r="K1983" s="22">
        <f>0.55+0.55</f>
        <v>1.1000000000000001</v>
      </c>
      <c r="L1983" s="8">
        <f t="shared" ref="L1983:L1993" si="2866">+J1983-K1983</f>
        <v>1.0499999999999998</v>
      </c>
      <c r="M1983" s="24">
        <f t="shared" si="2864"/>
        <v>4.3478260869565209E-2</v>
      </c>
      <c r="N1983" s="14"/>
    </row>
    <row r="1984" spans="1:14" x14ac:dyDescent="0.25">
      <c r="A1984" s="20">
        <v>44606</v>
      </c>
      <c r="B1984" s="1">
        <f t="shared" ref="B1984" si="2867">B1982</f>
        <v>166</v>
      </c>
      <c r="C1984" s="1" t="s">
        <v>485</v>
      </c>
      <c r="D1984" s="1" t="s">
        <v>184</v>
      </c>
      <c r="E1984" s="26" t="e">
        <f>+#REF!</f>
        <v>#REF!</v>
      </c>
      <c r="F1984" s="26" t="e">
        <f>+#REF!</f>
        <v>#REF!</v>
      </c>
      <c r="G1984" s="17">
        <v>3</v>
      </c>
      <c r="H1984" s="17" t="s">
        <v>9</v>
      </c>
      <c r="I1984" s="30" t="s">
        <v>58</v>
      </c>
      <c r="J1984" s="22">
        <v>0.6</v>
      </c>
      <c r="K1984" s="22">
        <v>0.55000000000000004</v>
      </c>
      <c r="L1984" s="8">
        <f t="shared" si="2866"/>
        <v>4.9999999999999933E-2</v>
      </c>
      <c r="M1984" s="24">
        <f t="shared" si="2864"/>
        <v>2.0703933747411979E-3</v>
      </c>
      <c r="N1984" s="14"/>
    </row>
    <row r="1985" spans="1:14" x14ac:dyDescent="0.25">
      <c r="A1985" s="20">
        <v>44606</v>
      </c>
      <c r="B1985" s="1">
        <f t="shared" ref="B1985" si="2868">B1982</f>
        <v>166</v>
      </c>
      <c r="C1985" s="1" t="s">
        <v>485</v>
      </c>
      <c r="D1985" s="1" t="s">
        <v>184</v>
      </c>
      <c r="E1985" s="26" t="e">
        <f t="shared" ref="E1985:F1985" si="2869">+E1984</f>
        <v>#REF!</v>
      </c>
      <c r="F1985" s="26" t="e">
        <f t="shared" si="2869"/>
        <v>#REF!</v>
      </c>
      <c r="G1985" s="17">
        <v>4</v>
      </c>
      <c r="H1985" s="17" t="s">
        <v>9</v>
      </c>
      <c r="I1985" s="30" t="s">
        <v>22</v>
      </c>
      <c r="J1985" s="22"/>
      <c r="K1985" s="22"/>
      <c r="L1985" s="8">
        <f t="shared" si="2866"/>
        <v>0</v>
      </c>
      <c r="M1985" s="24">
        <f t="shared" si="2864"/>
        <v>0</v>
      </c>
      <c r="N1985" s="14"/>
    </row>
    <row r="1986" spans="1:14" x14ac:dyDescent="0.25">
      <c r="A1986" s="20">
        <v>44606</v>
      </c>
      <c r="B1986" s="1">
        <f t="shared" ref="B1986" si="2870">B1982</f>
        <v>166</v>
      </c>
      <c r="C1986" s="1" t="s">
        <v>485</v>
      </c>
      <c r="D1986" s="1" t="s">
        <v>184</v>
      </c>
      <c r="E1986" s="26" t="e">
        <f t="shared" ref="E1986:F1986" si="2871">+E1985</f>
        <v>#REF!</v>
      </c>
      <c r="F1986" s="26" t="e">
        <f t="shared" si="2871"/>
        <v>#REF!</v>
      </c>
      <c r="G1986" s="17">
        <v>5</v>
      </c>
      <c r="H1986" s="17" t="s">
        <v>9</v>
      </c>
      <c r="I1986" s="30" t="s">
        <v>34</v>
      </c>
      <c r="J1986" s="22">
        <v>0.6</v>
      </c>
      <c r="K1986" s="63">
        <v>0.55000000000000004</v>
      </c>
      <c r="L1986" s="8">
        <f t="shared" si="2866"/>
        <v>4.9999999999999933E-2</v>
      </c>
      <c r="M1986" s="24">
        <f t="shared" si="2864"/>
        <v>2.0703933747411979E-3</v>
      </c>
      <c r="N1986" s="14"/>
    </row>
    <row r="1987" spans="1:14" x14ac:dyDescent="0.25">
      <c r="A1987" s="20">
        <v>44606</v>
      </c>
      <c r="B1987" s="1">
        <f t="shared" ref="B1987" si="2872">B1982</f>
        <v>166</v>
      </c>
      <c r="C1987" s="1" t="s">
        <v>485</v>
      </c>
      <c r="D1987" s="1" t="s">
        <v>184</v>
      </c>
      <c r="E1987" s="26" t="e">
        <f t="shared" ref="E1987:F1987" si="2873">+E1986</f>
        <v>#REF!</v>
      </c>
      <c r="F1987" s="26" t="e">
        <f t="shared" si="2873"/>
        <v>#REF!</v>
      </c>
      <c r="G1987" s="17">
        <v>6</v>
      </c>
      <c r="H1987" s="17" t="s">
        <v>9</v>
      </c>
      <c r="I1987" s="30" t="s">
        <v>35</v>
      </c>
      <c r="J1987" s="22"/>
      <c r="K1987" s="22"/>
      <c r="L1987" s="8">
        <f t="shared" si="2866"/>
        <v>0</v>
      </c>
      <c r="M1987" s="24">
        <f t="shared" si="2864"/>
        <v>0</v>
      </c>
      <c r="N1987" s="14"/>
    </row>
    <row r="1988" spans="1:14" x14ac:dyDescent="0.25">
      <c r="A1988" s="20">
        <v>44606</v>
      </c>
      <c r="B1988" s="1">
        <f t="shared" ref="B1988" si="2874">B1982</f>
        <v>166</v>
      </c>
      <c r="C1988" s="1" t="s">
        <v>485</v>
      </c>
      <c r="D1988" s="1" t="s">
        <v>184</v>
      </c>
      <c r="E1988" s="26" t="e">
        <f t="shared" ref="E1988:F1988" si="2875">+E1987</f>
        <v>#REF!</v>
      </c>
      <c r="F1988" s="26" t="e">
        <f t="shared" si="2875"/>
        <v>#REF!</v>
      </c>
      <c r="G1988" s="17">
        <v>7</v>
      </c>
      <c r="H1988" s="17" t="s">
        <v>9</v>
      </c>
      <c r="I1988" s="30" t="s">
        <v>36</v>
      </c>
      <c r="J1988" s="22"/>
      <c r="K1988" s="22"/>
      <c r="L1988" s="8">
        <f t="shared" si="2866"/>
        <v>0</v>
      </c>
      <c r="M1988" s="24">
        <f t="shared" si="2864"/>
        <v>0</v>
      </c>
      <c r="N1988" s="14"/>
    </row>
    <row r="1989" spans="1:14" x14ac:dyDescent="0.25">
      <c r="A1989" s="20">
        <v>44606</v>
      </c>
      <c r="B1989" s="1">
        <f t="shared" ref="B1989" si="2876">B1982</f>
        <v>166</v>
      </c>
      <c r="C1989" s="1" t="s">
        <v>485</v>
      </c>
      <c r="D1989" s="1" t="s">
        <v>184</v>
      </c>
      <c r="E1989" s="26" t="e">
        <f>+E1988</f>
        <v>#REF!</v>
      </c>
      <c r="F1989" s="26" t="e">
        <f>+F1988</f>
        <v>#REF!</v>
      </c>
      <c r="G1989" s="17">
        <v>8</v>
      </c>
      <c r="H1989" s="17" t="s">
        <v>9</v>
      </c>
      <c r="I1989" s="30" t="s">
        <v>59</v>
      </c>
      <c r="J1989" s="22">
        <v>0.65</v>
      </c>
      <c r="K1989" s="22">
        <v>0.55000000000000004</v>
      </c>
      <c r="L1989" s="8">
        <f t="shared" si="2866"/>
        <v>9.9999999999999978E-2</v>
      </c>
      <c r="M1989" s="24">
        <f t="shared" si="2864"/>
        <v>4.1407867494824002E-3</v>
      </c>
      <c r="N1989" s="14"/>
    </row>
    <row r="1990" spans="1:14" x14ac:dyDescent="0.25">
      <c r="A1990" s="20">
        <v>44606</v>
      </c>
      <c r="B1990" s="1">
        <f t="shared" ref="B1990" si="2877">B1982</f>
        <v>166</v>
      </c>
      <c r="C1990" s="1" t="s">
        <v>485</v>
      </c>
      <c r="D1990" s="1" t="s">
        <v>184</v>
      </c>
      <c r="E1990" s="26" t="e">
        <f t="shared" ref="E1990:F1990" si="2878">+E1989</f>
        <v>#REF!</v>
      </c>
      <c r="F1990" s="26" t="e">
        <f t="shared" si="2878"/>
        <v>#REF!</v>
      </c>
      <c r="G1990" s="17">
        <v>9</v>
      </c>
      <c r="H1990" s="17" t="s">
        <v>9</v>
      </c>
      <c r="I1990" s="30" t="s">
        <v>38</v>
      </c>
      <c r="J1990" s="22"/>
      <c r="K1990" s="22"/>
      <c r="L1990" s="8">
        <f t="shared" si="2866"/>
        <v>0</v>
      </c>
      <c r="M1990" s="24">
        <f t="shared" si="2864"/>
        <v>0</v>
      </c>
      <c r="N1990" s="14"/>
    </row>
    <row r="1991" spans="1:14" x14ac:dyDescent="0.25">
      <c r="A1991" s="20">
        <v>44606</v>
      </c>
      <c r="B1991" s="1">
        <f t="shared" ref="B1991" si="2879">B1982</f>
        <v>166</v>
      </c>
      <c r="C1991" s="1" t="s">
        <v>485</v>
      </c>
      <c r="D1991" s="1" t="s">
        <v>184</v>
      </c>
      <c r="E1991" s="26" t="e">
        <f t="shared" ref="E1991:F1991" si="2880">+E1990</f>
        <v>#REF!</v>
      </c>
      <c r="F1991" s="26" t="e">
        <f t="shared" si="2880"/>
        <v>#REF!</v>
      </c>
      <c r="G1991" s="17">
        <v>10</v>
      </c>
      <c r="H1991" s="17" t="s">
        <v>9</v>
      </c>
      <c r="I1991" s="30" t="s">
        <v>23</v>
      </c>
      <c r="J1991" s="22">
        <v>0.6</v>
      </c>
      <c r="K1991" s="22">
        <v>0.55000000000000004</v>
      </c>
      <c r="L1991" s="8">
        <f t="shared" si="2866"/>
        <v>4.9999999999999933E-2</v>
      </c>
      <c r="M1991" s="24">
        <f t="shared" si="2864"/>
        <v>2.0703933747411979E-3</v>
      </c>
      <c r="N1991" s="14"/>
    </row>
    <row r="1992" spans="1:14" x14ac:dyDescent="0.25">
      <c r="A1992" s="20">
        <v>44606</v>
      </c>
      <c r="B1992" s="1">
        <f t="shared" ref="B1992" si="2881">B1982</f>
        <v>166</v>
      </c>
      <c r="C1992" s="1" t="s">
        <v>485</v>
      </c>
      <c r="D1992" s="1" t="s">
        <v>184</v>
      </c>
      <c r="E1992" s="26" t="e">
        <f t="shared" ref="E1992:F1992" si="2882">+E1991</f>
        <v>#REF!</v>
      </c>
      <c r="F1992" s="26" t="e">
        <f t="shared" si="2882"/>
        <v>#REF!</v>
      </c>
      <c r="G1992" s="17">
        <v>11</v>
      </c>
      <c r="H1992" s="17" t="s">
        <v>9</v>
      </c>
      <c r="I1992" s="30" t="s">
        <v>60</v>
      </c>
      <c r="J1992" s="22"/>
      <c r="K1992" s="22"/>
      <c r="L1992" s="8">
        <f t="shared" si="2866"/>
        <v>0</v>
      </c>
      <c r="M1992" s="24">
        <f t="shared" si="2864"/>
        <v>0</v>
      </c>
      <c r="N1992" s="14"/>
    </row>
    <row r="1993" spans="1:14" ht="15.75" thickBot="1" x14ac:dyDescent="0.3">
      <c r="A1993" s="20">
        <v>44606</v>
      </c>
      <c r="B1993" s="57">
        <f t="shared" ref="B1993" si="2883">B1982</f>
        <v>166</v>
      </c>
      <c r="C1993" s="1" t="s">
        <v>485</v>
      </c>
      <c r="D1993" s="1" t="s">
        <v>184</v>
      </c>
      <c r="E1993" s="26" t="e">
        <f t="shared" ref="E1993:F1993" si="2884">+E1992</f>
        <v>#REF!</v>
      </c>
      <c r="F1993" s="26" t="e">
        <f t="shared" si="2884"/>
        <v>#REF!</v>
      </c>
      <c r="G1993" s="18">
        <f>+G1992+1</f>
        <v>12</v>
      </c>
      <c r="H1993" s="18" t="s">
        <v>10</v>
      </c>
      <c r="I1993" s="46" t="s">
        <v>10</v>
      </c>
      <c r="J1993" s="22">
        <v>0.6</v>
      </c>
      <c r="K1993" s="63">
        <v>0.55000000000000004</v>
      </c>
      <c r="L1993" s="8">
        <f t="shared" si="2866"/>
        <v>4.9999999999999933E-2</v>
      </c>
      <c r="M1993" s="24">
        <f t="shared" si="2864"/>
        <v>2.0703933747411979E-3</v>
      </c>
      <c r="N1993" s="14"/>
    </row>
    <row r="1994" spans="1:14" x14ac:dyDescent="0.25">
      <c r="A1994" s="19">
        <v>44606</v>
      </c>
      <c r="B1994" s="15">
        <f t="shared" ref="B1994" si="2885">B1982+1</f>
        <v>167</v>
      </c>
      <c r="C1994" s="15" t="s">
        <v>486</v>
      </c>
      <c r="D1994" s="15" t="s">
        <v>182</v>
      </c>
      <c r="E1994" s="25">
        <f>24.5-1.2</f>
        <v>23.3</v>
      </c>
      <c r="F1994" s="25">
        <f>+SUM(L1994:L2005)</f>
        <v>23.550000000000004</v>
      </c>
      <c r="G1994" s="16">
        <v>1</v>
      </c>
      <c r="H1994" s="16" t="s">
        <v>9</v>
      </c>
      <c r="I1994" s="59" t="s">
        <v>56</v>
      </c>
      <c r="J1994" s="21">
        <f>11.05+10.2+10.9</f>
        <v>32.15</v>
      </c>
      <c r="K1994" s="21">
        <f>8.55+8.55+8.55</f>
        <v>25.650000000000002</v>
      </c>
      <c r="L1994" s="12">
        <f>+J1994-K1994</f>
        <v>6.4999999999999964</v>
      </c>
      <c r="M1994" s="23">
        <f t="shared" si="2864"/>
        <v>0.2760084925690019</v>
      </c>
      <c r="N1994" s="13"/>
    </row>
    <row r="1995" spans="1:14" x14ac:dyDescent="0.25">
      <c r="A1995" s="20">
        <v>44606</v>
      </c>
      <c r="B1995" s="1">
        <f t="shared" ref="B1995" si="2886">B1994</f>
        <v>167</v>
      </c>
      <c r="C1995" s="1" t="s">
        <v>486</v>
      </c>
      <c r="D1995" s="1" t="s">
        <v>182</v>
      </c>
      <c r="E1995" s="26">
        <f>+E1994</f>
        <v>23.3</v>
      </c>
      <c r="F1995" s="28">
        <f>+(F1994-E1994)/E1994</f>
        <v>1.0729613733905732E-2</v>
      </c>
      <c r="G1995" s="17">
        <v>2</v>
      </c>
      <c r="H1995" s="17" t="s">
        <v>9</v>
      </c>
      <c r="I1995" s="30" t="s">
        <v>57</v>
      </c>
      <c r="J1995" s="22">
        <f>11.2+10.8+11.1+9.8+11.8+10.7</f>
        <v>65.400000000000006</v>
      </c>
      <c r="K1995" s="22">
        <f>8.3+8.55+8.55+8.55+8.55+8.55</f>
        <v>51.05</v>
      </c>
      <c r="L1995" s="8">
        <f t="shared" ref="L1995:L2005" si="2887">+J1995-K1995</f>
        <v>14.350000000000009</v>
      </c>
      <c r="M1995" s="24">
        <f t="shared" si="2864"/>
        <v>0.60934182590233565</v>
      </c>
      <c r="N1995" s="14"/>
    </row>
    <row r="1996" spans="1:14" x14ac:dyDescent="0.25">
      <c r="A1996" s="20">
        <v>44606</v>
      </c>
      <c r="B1996" s="1">
        <f t="shared" ref="B1996" si="2888">B1994</f>
        <v>167</v>
      </c>
      <c r="C1996" s="1" t="s">
        <v>486</v>
      </c>
      <c r="D1996" s="1" t="s">
        <v>182</v>
      </c>
      <c r="E1996" s="26" t="e">
        <f>+#REF!</f>
        <v>#REF!</v>
      </c>
      <c r="F1996" s="26" t="e">
        <f>+#REF!</f>
        <v>#REF!</v>
      </c>
      <c r="G1996" s="17">
        <v>3</v>
      </c>
      <c r="H1996" s="17" t="s">
        <v>9</v>
      </c>
      <c r="I1996" s="30" t="s">
        <v>58</v>
      </c>
      <c r="J1996" s="22">
        <v>0.8</v>
      </c>
      <c r="K1996" s="22">
        <v>0.55000000000000004</v>
      </c>
      <c r="L1996" s="8">
        <f t="shared" si="2887"/>
        <v>0.25</v>
      </c>
      <c r="M1996" s="24">
        <f t="shared" si="2864"/>
        <v>1.0615711252653925E-2</v>
      </c>
      <c r="N1996" s="14"/>
    </row>
    <row r="1997" spans="1:14" x14ac:dyDescent="0.25">
      <c r="A1997" s="20">
        <v>44606</v>
      </c>
      <c r="B1997" s="1">
        <f t="shared" ref="B1997" si="2889">B1994</f>
        <v>167</v>
      </c>
      <c r="C1997" s="1" t="s">
        <v>486</v>
      </c>
      <c r="D1997" s="1" t="s">
        <v>182</v>
      </c>
      <c r="E1997" s="26" t="e">
        <f t="shared" ref="E1997:F1997" si="2890">+E1996</f>
        <v>#REF!</v>
      </c>
      <c r="F1997" s="26" t="e">
        <f t="shared" si="2890"/>
        <v>#REF!</v>
      </c>
      <c r="G1997" s="17">
        <v>4</v>
      </c>
      <c r="H1997" s="17" t="s">
        <v>9</v>
      </c>
      <c r="I1997" s="30" t="s">
        <v>22</v>
      </c>
      <c r="J1997" s="22">
        <v>0.7</v>
      </c>
      <c r="K1997" s="22">
        <v>0.55000000000000004</v>
      </c>
      <c r="L1997" s="8">
        <f t="shared" si="2887"/>
        <v>0.14999999999999991</v>
      </c>
      <c r="M1997" s="24">
        <f t="shared" si="2864"/>
        <v>6.3694267515923518E-3</v>
      </c>
      <c r="N1997" s="14"/>
    </row>
    <row r="1998" spans="1:14" x14ac:dyDescent="0.25">
      <c r="A1998" s="20">
        <v>44606</v>
      </c>
      <c r="B1998" s="1">
        <f t="shared" ref="B1998" si="2891">B1994</f>
        <v>167</v>
      </c>
      <c r="C1998" s="1" t="s">
        <v>486</v>
      </c>
      <c r="D1998" s="1" t="s">
        <v>182</v>
      </c>
      <c r="E1998" s="26" t="e">
        <f t="shared" ref="E1998:F1998" si="2892">+E1997</f>
        <v>#REF!</v>
      </c>
      <c r="F1998" s="26" t="e">
        <f t="shared" si="2892"/>
        <v>#REF!</v>
      </c>
      <c r="G1998" s="17">
        <v>5</v>
      </c>
      <c r="H1998" s="17" t="s">
        <v>9</v>
      </c>
      <c r="I1998" s="30" t="s">
        <v>34</v>
      </c>
      <c r="J1998" s="22">
        <v>0.7</v>
      </c>
      <c r="K1998" s="63">
        <v>0.55000000000000004</v>
      </c>
      <c r="L1998" s="8">
        <f t="shared" si="2887"/>
        <v>0.14999999999999991</v>
      </c>
      <c r="M1998" s="24">
        <f t="shared" si="2864"/>
        <v>6.3694267515923518E-3</v>
      </c>
      <c r="N1998" s="14"/>
    </row>
    <row r="1999" spans="1:14" x14ac:dyDescent="0.25">
      <c r="A1999" s="20">
        <v>44606</v>
      </c>
      <c r="B1999" s="1">
        <f t="shared" ref="B1999" si="2893">B1994</f>
        <v>167</v>
      </c>
      <c r="C1999" s="1" t="s">
        <v>486</v>
      </c>
      <c r="D1999" s="1" t="s">
        <v>182</v>
      </c>
      <c r="E1999" s="26" t="e">
        <f t="shared" ref="E1999:F1999" si="2894">+E1998</f>
        <v>#REF!</v>
      </c>
      <c r="F1999" s="26" t="e">
        <f t="shared" si="2894"/>
        <v>#REF!</v>
      </c>
      <c r="G1999" s="17">
        <v>6</v>
      </c>
      <c r="H1999" s="17" t="s">
        <v>9</v>
      </c>
      <c r="I1999" s="30" t="s">
        <v>35</v>
      </c>
      <c r="J1999" s="22"/>
      <c r="K1999" s="22"/>
      <c r="L1999" s="8">
        <f t="shared" si="2887"/>
        <v>0</v>
      </c>
      <c r="M1999" s="24">
        <f t="shared" si="2864"/>
        <v>0</v>
      </c>
      <c r="N1999" s="14"/>
    </row>
    <row r="2000" spans="1:14" x14ac:dyDescent="0.25">
      <c r="A2000" s="20">
        <v>44606</v>
      </c>
      <c r="B2000" s="1">
        <f t="shared" ref="B2000" si="2895">B1994</f>
        <v>167</v>
      </c>
      <c r="C2000" s="1" t="s">
        <v>486</v>
      </c>
      <c r="D2000" s="1" t="s">
        <v>182</v>
      </c>
      <c r="E2000" s="26" t="e">
        <f t="shared" ref="E2000:F2000" si="2896">+E1999</f>
        <v>#REF!</v>
      </c>
      <c r="F2000" s="26" t="e">
        <f t="shared" si="2896"/>
        <v>#REF!</v>
      </c>
      <c r="G2000" s="17">
        <v>7</v>
      </c>
      <c r="H2000" s="17" t="s">
        <v>9</v>
      </c>
      <c r="I2000" s="30" t="s">
        <v>36</v>
      </c>
      <c r="J2000" s="22"/>
      <c r="K2000" s="22"/>
      <c r="L2000" s="8">
        <f t="shared" si="2887"/>
        <v>0</v>
      </c>
      <c r="M2000" s="24">
        <f t="shared" si="2864"/>
        <v>0</v>
      </c>
      <c r="N2000" s="14"/>
    </row>
    <row r="2001" spans="1:14" x14ac:dyDescent="0.25">
      <c r="A2001" s="20">
        <v>44606</v>
      </c>
      <c r="B2001" s="1">
        <f t="shared" ref="B2001" si="2897">B1994</f>
        <v>167</v>
      </c>
      <c r="C2001" s="1" t="s">
        <v>486</v>
      </c>
      <c r="D2001" s="1" t="s">
        <v>182</v>
      </c>
      <c r="E2001" s="26" t="e">
        <f>+E2000</f>
        <v>#REF!</v>
      </c>
      <c r="F2001" s="26" t="e">
        <f>+F2000</f>
        <v>#REF!</v>
      </c>
      <c r="G2001" s="17">
        <v>8</v>
      </c>
      <c r="H2001" s="17" t="s">
        <v>9</v>
      </c>
      <c r="I2001" s="30" t="s">
        <v>59</v>
      </c>
      <c r="J2001" s="22">
        <v>0.65</v>
      </c>
      <c r="K2001" s="22">
        <v>0.55000000000000004</v>
      </c>
      <c r="L2001" s="8">
        <f t="shared" si="2887"/>
        <v>9.9999999999999978E-2</v>
      </c>
      <c r="M2001" s="24">
        <f t="shared" si="2864"/>
        <v>4.2462845010615693E-3</v>
      </c>
      <c r="N2001" s="14"/>
    </row>
    <row r="2002" spans="1:14" x14ac:dyDescent="0.25">
      <c r="A2002" s="20">
        <v>44606</v>
      </c>
      <c r="B2002" s="1">
        <f t="shared" ref="B2002" si="2898">B1994</f>
        <v>167</v>
      </c>
      <c r="C2002" s="1" t="s">
        <v>486</v>
      </c>
      <c r="D2002" s="1" t="s">
        <v>182</v>
      </c>
      <c r="E2002" s="26" t="e">
        <f t="shared" ref="E2002:F2002" si="2899">+E2001</f>
        <v>#REF!</v>
      </c>
      <c r="F2002" s="26" t="e">
        <f t="shared" si="2899"/>
        <v>#REF!</v>
      </c>
      <c r="G2002" s="17">
        <v>9</v>
      </c>
      <c r="H2002" s="17" t="s">
        <v>9</v>
      </c>
      <c r="I2002" s="30" t="s">
        <v>38</v>
      </c>
      <c r="J2002" s="22"/>
      <c r="K2002" s="22"/>
      <c r="L2002" s="8">
        <f t="shared" si="2887"/>
        <v>0</v>
      </c>
      <c r="M2002" s="24">
        <f t="shared" si="2864"/>
        <v>0</v>
      </c>
      <c r="N2002" s="14"/>
    </row>
    <row r="2003" spans="1:14" x14ac:dyDescent="0.25">
      <c r="A2003" s="20">
        <v>44606</v>
      </c>
      <c r="B2003" s="1">
        <f t="shared" ref="B2003" si="2900">B1994</f>
        <v>167</v>
      </c>
      <c r="C2003" s="1" t="s">
        <v>486</v>
      </c>
      <c r="D2003" s="1" t="s">
        <v>182</v>
      </c>
      <c r="E2003" s="26" t="e">
        <f t="shared" ref="E2003:F2003" si="2901">+E2002</f>
        <v>#REF!</v>
      </c>
      <c r="F2003" s="26" t="e">
        <f t="shared" si="2901"/>
        <v>#REF!</v>
      </c>
      <c r="G2003" s="17">
        <v>10</v>
      </c>
      <c r="H2003" s="17" t="s">
        <v>9</v>
      </c>
      <c r="I2003" s="30" t="s">
        <v>23</v>
      </c>
      <c r="J2003" s="22">
        <v>1.1000000000000001</v>
      </c>
      <c r="K2003" s="22">
        <v>0.55000000000000004</v>
      </c>
      <c r="L2003" s="8">
        <f t="shared" si="2887"/>
        <v>0.55000000000000004</v>
      </c>
      <c r="M2003" s="24">
        <f t="shared" si="2864"/>
        <v>2.3354564755838639E-2</v>
      </c>
      <c r="N2003" s="14"/>
    </row>
    <row r="2004" spans="1:14" x14ac:dyDescent="0.25">
      <c r="A2004" s="20">
        <v>44606</v>
      </c>
      <c r="B2004" s="1">
        <f t="shared" ref="B2004" si="2902">B1994</f>
        <v>167</v>
      </c>
      <c r="C2004" s="1" t="s">
        <v>486</v>
      </c>
      <c r="D2004" s="1" t="s">
        <v>182</v>
      </c>
      <c r="E2004" s="26" t="e">
        <f t="shared" ref="E2004:F2004" si="2903">+E2003</f>
        <v>#REF!</v>
      </c>
      <c r="F2004" s="26" t="e">
        <f t="shared" si="2903"/>
        <v>#REF!</v>
      </c>
      <c r="G2004" s="17">
        <v>11</v>
      </c>
      <c r="H2004" s="17" t="s">
        <v>9</v>
      </c>
      <c r="I2004" s="30" t="s">
        <v>60</v>
      </c>
      <c r="J2004" s="22">
        <v>0.6</v>
      </c>
      <c r="K2004" s="22">
        <v>0.55000000000000004</v>
      </c>
      <c r="L2004" s="8">
        <f t="shared" si="2887"/>
        <v>4.9999999999999933E-2</v>
      </c>
      <c r="M2004" s="24">
        <f t="shared" si="2864"/>
        <v>2.1231422505307825E-3</v>
      </c>
      <c r="N2004" s="14"/>
    </row>
    <row r="2005" spans="1:14" ht="15.75" thickBot="1" x14ac:dyDescent="0.3">
      <c r="A2005" s="20">
        <v>44606</v>
      </c>
      <c r="B2005" s="57">
        <f t="shared" ref="B2005" si="2904">B1994</f>
        <v>167</v>
      </c>
      <c r="C2005" s="1" t="s">
        <v>486</v>
      </c>
      <c r="D2005" s="1" t="s">
        <v>182</v>
      </c>
      <c r="E2005" s="26" t="e">
        <f t="shared" ref="E2005:F2005" si="2905">+E2004</f>
        <v>#REF!</v>
      </c>
      <c r="F2005" s="26" t="e">
        <f t="shared" si="2905"/>
        <v>#REF!</v>
      </c>
      <c r="G2005" s="18">
        <f>+G2004+1</f>
        <v>12</v>
      </c>
      <c r="H2005" s="18" t="s">
        <v>10</v>
      </c>
      <c r="I2005" s="46" t="s">
        <v>10</v>
      </c>
      <c r="J2005" s="22">
        <v>10</v>
      </c>
      <c r="K2005" s="63">
        <v>8.5500000000000007</v>
      </c>
      <c r="L2005" s="8">
        <f t="shared" si="2887"/>
        <v>1.4499999999999993</v>
      </c>
      <c r="M2005" s="24">
        <f t="shared" si="2864"/>
        <v>6.157112526539274E-2</v>
      </c>
      <c r="N2005" s="14"/>
    </row>
    <row r="2006" spans="1:14" x14ac:dyDescent="0.25">
      <c r="A2006" s="19">
        <v>44606</v>
      </c>
      <c r="B2006" s="15">
        <f t="shared" ref="B2006" si="2906">B1994+1</f>
        <v>168</v>
      </c>
      <c r="C2006" s="15" t="s">
        <v>487</v>
      </c>
      <c r="D2006" s="15" t="s">
        <v>58</v>
      </c>
      <c r="E2006" s="25">
        <f>35.5-1.2</f>
        <v>34.299999999999997</v>
      </c>
      <c r="F2006" s="25">
        <f>+SUM(L2006:L2017)</f>
        <v>34.649999999999991</v>
      </c>
      <c r="G2006" s="16">
        <v>1</v>
      </c>
      <c r="H2006" s="16" t="s">
        <v>9</v>
      </c>
      <c r="I2006" s="59" t="s">
        <v>56</v>
      </c>
      <c r="J2006" s="21">
        <f>0.75</f>
        <v>0.75</v>
      </c>
      <c r="K2006" s="21">
        <v>0.55000000000000004</v>
      </c>
      <c r="L2006" s="12">
        <f>+J2006-K2006</f>
        <v>0.19999999999999996</v>
      </c>
      <c r="M2006" s="23">
        <f t="shared" si="2864"/>
        <v>5.772005772005772E-3</v>
      </c>
      <c r="N2006" s="13"/>
    </row>
    <row r="2007" spans="1:14" x14ac:dyDescent="0.25">
      <c r="A2007" s="20">
        <v>44606</v>
      </c>
      <c r="B2007" s="1">
        <f t="shared" ref="B2007" si="2907">B2006</f>
        <v>168</v>
      </c>
      <c r="C2007" s="1" t="s">
        <v>487</v>
      </c>
      <c r="D2007" s="1" t="s">
        <v>58</v>
      </c>
      <c r="E2007" s="26">
        <f>+E2006</f>
        <v>34.299999999999997</v>
      </c>
      <c r="F2007" s="28">
        <f>+(F2006-E2006)/E2006</f>
        <v>1.0204081632652896E-2</v>
      </c>
      <c r="G2007" s="17">
        <v>2</v>
      </c>
      <c r="H2007" s="17" t="s">
        <v>9</v>
      </c>
      <c r="I2007" s="30" t="s">
        <v>57</v>
      </c>
      <c r="J2007" s="22">
        <f>8.85+0.7</f>
        <v>9.5499999999999989</v>
      </c>
      <c r="K2007" s="22">
        <f>8.55+0.5</f>
        <v>9.0500000000000007</v>
      </c>
      <c r="L2007" s="8">
        <f t="shared" ref="L2007:L2017" si="2908">+J2007-K2007</f>
        <v>0.49999999999999822</v>
      </c>
      <c r="M2007" s="24">
        <f t="shared" si="2864"/>
        <v>1.4430014430014383E-2</v>
      </c>
      <c r="N2007" s="14"/>
    </row>
    <row r="2008" spans="1:14" x14ac:dyDescent="0.25">
      <c r="A2008" s="20">
        <v>44606</v>
      </c>
      <c r="B2008" s="1">
        <f t="shared" ref="B2008" si="2909">B2006</f>
        <v>168</v>
      </c>
      <c r="C2008" s="1" t="s">
        <v>487</v>
      </c>
      <c r="D2008" s="1" t="s">
        <v>58</v>
      </c>
      <c r="E2008" s="26" t="e">
        <f>+#REF!</f>
        <v>#REF!</v>
      </c>
      <c r="F2008" s="26" t="e">
        <f>+#REF!</f>
        <v>#REF!</v>
      </c>
      <c r="G2008" s="17">
        <v>3</v>
      </c>
      <c r="H2008" s="17" t="s">
        <v>9</v>
      </c>
      <c r="I2008" s="30" t="s">
        <v>58</v>
      </c>
      <c r="J2008" s="22">
        <f>12.35+11.45+12.25+12.8+13+12.7+11.55+10.2+12.1</f>
        <v>108.39999999999999</v>
      </c>
      <c r="K2008" s="22">
        <f>8.3+8.55+8.55+8.55+8.55+8.5+8.55+8.55+8.55</f>
        <v>76.649999999999991</v>
      </c>
      <c r="L2008" s="8">
        <f t="shared" si="2908"/>
        <v>31.75</v>
      </c>
      <c r="M2008" s="24">
        <f t="shared" si="2864"/>
        <v>0.91630591630591651</v>
      </c>
      <c r="N2008" s="14"/>
    </row>
    <row r="2009" spans="1:14" x14ac:dyDescent="0.25">
      <c r="A2009" s="20">
        <v>44606</v>
      </c>
      <c r="B2009" s="1">
        <f t="shared" ref="B2009" si="2910">B2006</f>
        <v>168</v>
      </c>
      <c r="C2009" s="1" t="s">
        <v>487</v>
      </c>
      <c r="D2009" s="1" t="s">
        <v>58</v>
      </c>
      <c r="E2009" s="26" t="e">
        <f t="shared" ref="E2009:F2009" si="2911">+E2008</f>
        <v>#REF!</v>
      </c>
      <c r="F2009" s="26" t="e">
        <f t="shared" si="2911"/>
        <v>#REF!</v>
      </c>
      <c r="G2009" s="17">
        <v>4</v>
      </c>
      <c r="H2009" s="17" t="s">
        <v>9</v>
      </c>
      <c r="I2009" s="30" t="s">
        <v>22</v>
      </c>
      <c r="J2009" s="22">
        <v>0.75</v>
      </c>
      <c r="K2009" s="22">
        <v>0.55000000000000004</v>
      </c>
      <c r="L2009" s="8">
        <f t="shared" si="2908"/>
        <v>0.19999999999999996</v>
      </c>
      <c r="M2009" s="24">
        <f t="shared" si="2864"/>
        <v>5.772005772005772E-3</v>
      </c>
      <c r="N2009" s="14"/>
    </row>
    <row r="2010" spans="1:14" x14ac:dyDescent="0.25">
      <c r="A2010" s="20">
        <v>44606</v>
      </c>
      <c r="B2010" s="1">
        <f t="shared" ref="B2010" si="2912">B2006</f>
        <v>168</v>
      </c>
      <c r="C2010" s="1" t="s">
        <v>487</v>
      </c>
      <c r="D2010" s="1" t="s">
        <v>58</v>
      </c>
      <c r="E2010" s="26" t="e">
        <f t="shared" ref="E2010:F2010" si="2913">+E2009</f>
        <v>#REF!</v>
      </c>
      <c r="F2010" s="26" t="e">
        <f t="shared" si="2913"/>
        <v>#REF!</v>
      </c>
      <c r="G2010" s="17">
        <v>5</v>
      </c>
      <c r="H2010" s="17" t="s">
        <v>9</v>
      </c>
      <c r="I2010" s="30" t="s">
        <v>34</v>
      </c>
      <c r="J2010" s="22">
        <v>0.7</v>
      </c>
      <c r="K2010" s="63">
        <v>0.55000000000000004</v>
      </c>
      <c r="L2010" s="8">
        <f t="shared" si="2908"/>
        <v>0.14999999999999991</v>
      </c>
      <c r="M2010" s="24">
        <f t="shared" si="2864"/>
        <v>4.3290043290043273E-3</v>
      </c>
      <c r="N2010" s="14"/>
    </row>
    <row r="2011" spans="1:14" x14ac:dyDescent="0.25">
      <c r="A2011" s="20">
        <v>44606</v>
      </c>
      <c r="B2011" s="1">
        <f t="shared" ref="B2011" si="2914">B2006</f>
        <v>168</v>
      </c>
      <c r="C2011" s="1" t="s">
        <v>487</v>
      </c>
      <c r="D2011" s="1" t="s">
        <v>58</v>
      </c>
      <c r="E2011" s="26" t="e">
        <f t="shared" ref="E2011:F2011" si="2915">+E2010</f>
        <v>#REF!</v>
      </c>
      <c r="F2011" s="26" t="e">
        <f t="shared" si="2915"/>
        <v>#REF!</v>
      </c>
      <c r="G2011" s="17">
        <v>6</v>
      </c>
      <c r="H2011" s="17" t="s">
        <v>9</v>
      </c>
      <c r="I2011" s="30" t="s">
        <v>35</v>
      </c>
      <c r="J2011" s="22"/>
      <c r="K2011" s="22"/>
      <c r="L2011" s="8">
        <f t="shared" si="2908"/>
        <v>0</v>
      </c>
      <c r="M2011" s="24">
        <f t="shared" si="2864"/>
        <v>0</v>
      </c>
      <c r="N2011" s="14"/>
    </row>
    <row r="2012" spans="1:14" x14ac:dyDescent="0.25">
      <c r="A2012" s="20">
        <v>44606</v>
      </c>
      <c r="B2012" s="1">
        <f t="shared" ref="B2012" si="2916">B2006</f>
        <v>168</v>
      </c>
      <c r="C2012" s="1" t="s">
        <v>487</v>
      </c>
      <c r="D2012" s="1" t="s">
        <v>58</v>
      </c>
      <c r="E2012" s="26" t="e">
        <f t="shared" ref="E2012:F2012" si="2917">+E2011</f>
        <v>#REF!</v>
      </c>
      <c r="F2012" s="26" t="e">
        <f t="shared" si="2917"/>
        <v>#REF!</v>
      </c>
      <c r="G2012" s="17">
        <v>7</v>
      </c>
      <c r="H2012" s="17" t="s">
        <v>9</v>
      </c>
      <c r="I2012" s="30" t="s">
        <v>36</v>
      </c>
      <c r="J2012" s="22"/>
      <c r="K2012" s="22"/>
      <c r="L2012" s="8">
        <f t="shared" si="2908"/>
        <v>0</v>
      </c>
      <c r="M2012" s="24">
        <f t="shared" si="2864"/>
        <v>0</v>
      </c>
      <c r="N2012" s="14"/>
    </row>
    <row r="2013" spans="1:14" x14ac:dyDescent="0.25">
      <c r="A2013" s="20">
        <v>44606</v>
      </c>
      <c r="B2013" s="1">
        <f t="shared" ref="B2013" si="2918">B2006</f>
        <v>168</v>
      </c>
      <c r="C2013" s="1" t="s">
        <v>487</v>
      </c>
      <c r="D2013" s="1" t="s">
        <v>58</v>
      </c>
      <c r="E2013" s="26" t="e">
        <f>+E2012</f>
        <v>#REF!</v>
      </c>
      <c r="F2013" s="26" t="e">
        <f>+F2012</f>
        <v>#REF!</v>
      </c>
      <c r="G2013" s="17">
        <v>8</v>
      </c>
      <c r="H2013" s="17" t="s">
        <v>9</v>
      </c>
      <c r="I2013" s="30" t="s">
        <v>59</v>
      </c>
      <c r="J2013" s="22">
        <v>0.6</v>
      </c>
      <c r="K2013" s="22">
        <v>0.55000000000000004</v>
      </c>
      <c r="L2013" s="8">
        <f t="shared" si="2908"/>
        <v>4.9999999999999933E-2</v>
      </c>
      <c r="M2013" s="24">
        <f t="shared" si="2864"/>
        <v>1.4430014430014415E-3</v>
      </c>
      <c r="N2013" s="14"/>
    </row>
    <row r="2014" spans="1:14" x14ac:dyDescent="0.25">
      <c r="A2014" s="20">
        <v>44606</v>
      </c>
      <c r="B2014" s="1">
        <f t="shared" ref="B2014" si="2919">B2006</f>
        <v>168</v>
      </c>
      <c r="C2014" s="1" t="s">
        <v>487</v>
      </c>
      <c r="D2014" s="1" t="s">
        <v>58</v>
      </c>
      <c r="E2014" s="26" t="e">
        <f t="shared" ref="E2014:F2014" si="2920">+E2013</f>
        <v>#REF!</v>
      </c>
      <c r="F2014" s="26" t="e">
        <f t="shared" si="2920"/>
        <v>#REF!</v>
      </c>
      <c r="G2014" s="17">
        <v>9</v>
      </c>
      <c r="H2014" s="17" t="s">
        <v>9</v>
      </c>
      <c r="I2014" s="30" t="s">
        <v>38</v>
      </c>
      <c r="J2014" s="22"/>
      <c r="K2014" s="22"/>
      <c r="L2014" s="8">
        <f t="shared" si="2908"/>
        <v>0</v>
      </c>
      <c r="M2014" s="24">
        <f t="shared" si="2864"/>
        <v>0</v>
      </c>
      <c r="N2014" s="14"/>
    </row>
    <row r="2015" spans="1:14" x14ac:dyDescent="0.25">
      <c r="A2015" s="20">
        <v>44606</v>
      </c>
      <c r="B2015" s="1">
        <f t="shared" ref="B2015" si="2921">B2006</f>
        <v>168</v>
      </c>
      <c r="C2015" s="1" t="s">
        <v>487</v>
      </c>
      <c r="D2015" s="1" t="s">
        <v>58</v>
      </c>
      <c r="E2015" s="26" t="e">
        <f t="shared" ref="E2015:F2015" si="2922">+E2014</f>
        <v>#REF!</v>
      </c>
      <c r="F2015" s="26" t="e">
        <f t="shared" si="2922"/>
        <v>#REF!</v>
      </c>
      <c r="G2015" s="17">
        <v>10</v>
      </c>
      <c r="H2015" s="17" t="s">
        <v>9</v>
      </c>
      <c r="I2015" s="30" t="s">
        <v>23</v>
      </c>
      <c r="J2015" s="22">
        <v>0.8</v>
      </c>
      <c r="K2015" s="22">
        <v>0.55000000000000004</v>
      </c>
      <c r="L2015" s="8">
        <f t="shared" si="2908"/>
        <v>0.25</v>
      </c>
      <c r="M2015" s="24">
        <f t="shared" si="2864"/>
        <v>7.2150072150072167E-3</v>
      </c>
      <c r="N2015" s="14"/>
    </row>
    <row r="2016" spans="1:14" x14ac:dyDescent="0.25">
      <c r="A2016" s="20">
        <v>44606</v>
      </c>
      <c r="B2016" s="1">
        <f t="shared" ref="B2016" si="2923">B2006</f>
        <v>168</v>
      </c>
      <c r="C2016" s="1" t="s">
        <v>487</v>
      </c>
      <c r="D2016" s="1" t="s">
        <v>58</v>
      </c>
      <c r="E2016" s="26" t="e">
        <f t="shared" ref="E2016:F2016" si="2924">+E2015</f>
        <v>#REF!</v>
      </c>
      <c r="F2016" s="26" t="e">
        <f t="shared" si="2924"/>
        <v>#REF!</v>
      </c>
      <c r="G2016" s="17">
        <v>11</v>
      </c>
      <c r="H2016" s="17" t="s">
        <v>9</v>
      </c>
      <c r="I2016" s="30" t="s">
        <v>60</v>
      </c>
      <c r="J2016" s="22">
        <v>0.6</v>
      </c>
      <c r="K2016" s="22">
        <v>0.55000000000000004</v>
      </c>
      <c r="L2016" s="8">
        <f t="shared" si="2908"/>
        <v>4.9999999999999933E-2</v>
      </c>
      <c r="M2016" s="24">
        <f t="shared" si="2864"/>
        <v>1.4430014430014415E-3</v>
      </c>
      <c r="N2016" s="14"/>
    </row>
    <row r="2017" spans="1:14" ht="15.75" thickBot="1" x14ac:dyDescent="0.3">
      <c r="A2017" s="20">
        <v>44606</v>
      </c>
      <c r="B2017" s="57">
        <f t="shared" ref="B2017" si="2925">B2006</f>
        <v>168</v>
      </c>
      <c r="C2017" s="1" t="s">
        <v>487</v>
      </c>
      <c r="D2017" s="1" t="s">
        <v>58</v>
      </c>
      <c r="E2017" s="26" t="e">
        <f t="shared" ref="E2017:F2017" si="2926">+E2016</f>
        <v>#REF!</v>
      </c>
      <c r="F2017" s="26" t="e">
        <f t="shared" si="2926"/>
        <v>#REF!</v>
      </c>
      <c r="G2017" s="18">
        <f>+G2016+1</f>
        <v>12</v>
      </c>
      <c r="H2017" s="18" t="s">
        <v>10</v>
      </c>
      <c r="I2017" s="46" t="s">
        <v>10</v>
      </c>
      <c r="J2017" s="22">
        <v>10.050000000000001</v>
      </c>
      <c r="K2017" s="63">
        <v>8.5500000000000007</v>
      </c>
      <c r="L2017" s="8">
        <f t="shared" si="2908"/>
        <v>1.5</v>
      </c>
      <c r="M2017" s="24">
        <f t="shared" si="2864"/>
        <v>4.3290043290043302E-2</v>
      </c>
      <c r="N2017" s="14"/>
    </row>
    <row r="2018" spans="1:14" x14ac:dyDescent="0.25">
      <c r="A2018" s="19">
        <v>44606</v>
      </c>
      <c r="B2018" s="15">
        <f t="shared" ref="B2018" si="2927">B2006+1</f>
        <v>169</v>
      </c>
      <c r="C2018" s="15" t="s">
        <v>488</v>
      </c>
      <c r="D2018" s="15" t="s">
        <v>183</v>
      </c>
      <c r="E2018" s="25">
        <f>16.8-1.2</f>
        <v>15.600000000000001</v>
      </c>
      <c r="F2018" s="25">
        <f>+SUM(L2018:L2029)</f>
        <v>15.449999999999996</v>
      </c>
      <c r="G2018" s="16">
        <v>1</v>
      </c>
      <c r="H2018" s="16" t="s">
        <v>9</v>
      </c>
      <c r="I2018" s="59" t="s">
        <v>56</v>
      </c>
      <c r="J2018" s="21"/>
      <c r="K2018" s="21"/>
      <c r="L2018" s="12">
        <f>+J2018-K2018</f>
        <v>0</v>
      </c>
      <c r="M2018" s="23">
        <f t="shared" si="2864"/>
        <v>0</v>
      </c>
      <c r="N2018" s="13"/>
    </row>
    <row r="2019" spans="1:14" x14ac:dyDescent="0.25">
      <c r="A2019" s="20">
        <v>44606</v>
      </c>
      <c r="B2019" s="1">
        <f t="shared" ref="B2019" si="2928">B2018</f>
        <v>169</v>
      </c>
      <c r="C2019" s="1" t="s">
        <v>488</v>
      </c>
      <c r="D2019" s="1" t="s">
        <v>183</v>
      </c>
      <c r="E2019" s="26">
        <f>+E2018</f>
        <v>15.600000000000001</v>
      </c>
      <c r="F2019" s="28">
        <f>+(F2018-E2018)/E2018</f>
        <v>-9.6153846153849785E-3</v>
      </c>
      <c r="G2019" s="17">
        <v>2</v>
      </c>
      <c r="H2019" s="17" t="s">
        <v>9</v>
      </c>
      <c r="I2019" s="30" t="s">
        <v>57</v>
      </c>
      <c r="J2019" s="22"/>
      <c r="K2019" s="22"/>
      <c r="L2019" s="8">
        <f t="shared" ref="L2019:L2029" si="2929">+J2019-K2019</f>
        <v>0</v>
      </c>
      <c r="M2019" s="24">
        <f t="shared" si="2864"/>
        <v>0</v>
      </c>
      <c r="N2019" s="14"/>
    </row>
    <row r="2020" spans="1:14" x14ac:dyDescent="0.25">
      <c r="A2020" s="20">
        <v>44606</v>
      </c>
      <c r="B2020" s="1">
        <f t="shared" ref="B2020" si="2930">B2018</f>
        <v>169</v>
      </c>
      <c r="C2020" s="1" t="s">
        <v>488</v>
      </c>
      <c r="D2020" s="1" t="s">
        <v>183</v>
      </c>
      <c r="E2020" s="26" t="e">
        <f>+#REF!</f>
        <v>#REF!</v>
      </c>
      <c r="F2020" s="26" t="e">
        <f>+#REF!</f>
        <v>#REF!</v>
      </c>
      <c r="G2020" s="17">
        <v>3</v>
      </c>
      <c r="H2020" s="17" t="s">
        <v>9</v>
      </c>
      <c r="I2020" s="30" t="s">
        <v>58</v>
      </c>
      <c r="J2020" s="22">
        <f>0.6+0.6</f>
        <v>1.2</v>
      </c>
      <c r="K2020" s="22">
        <f>0.55+0.55</f>
        <v>1.1000000000000001</v>
      </c>
      <c r="L2020" s="8">
        <f t="shared" si="2929"/>
        <v>9.9999999999999867E-2</v>
      </c>
      <c r="M2020" s="24">
        <f t="shared" si="2864"/>
        <v>6.4724919093851066E-3</v>
      </c>
      <c r="N2020" s="14"/>
    </row>
    <row r="2021" spans="1:14" x14ac:dyDescent="0.25">
      <c r="A2021" s="20">
        <v>44606</v>
      </c>
      <c r="B2021" s="1">
        <f t="shared" ref="B2021" si="2931">B2018</f>
        <v>169</v>
      </c>
      <c r="C2021" s="1" t="s">
        <v>488</v>
      </c>
      <c r="D2021" s="1" t="s">
        <v>183</v>
      </c>
      <c r="E2021" s="26" t="e">
        <f t="shared" ref="E2021:F2021" si="2932">+E2020</f>
        <v>#REF!</v>
      </c>
      <c r="F2021" s="26" t="e">
        <f t="shared" si="2932"/>
        <v>#REF!</v>
      </c>
      <c r="G2021" s="17">
        <v>4</v>
      </c>
      <c r="H2021" s="17" t="s">
        <v>9</v>
      </c>
      <c r="I2021" s="30" t="s">
        <v>22</v>
      </c>
      <c r="J2021" s="22"/>
      <c r="K2021" s="22"/>
      <c r="L2021" s="8">
        <f t="shared" si="2929"/>
        <v>0</v>
      </c>
      <c r="M2021" s="24">
        <f t="shared" si="2864"/>
        <v>0</v>
      </c>
      <c r="N2021" s="14"/>
    </row>
    <row r="2022" spans="1:14" x14ac:dyDescent="0.25">
      <c r="A2022" s="20">
        <v>44606</v>
      </c>
      <c r="B2022" s="1">
        <f t="shared" ref="B2022" si="2933">B2018</f>
        <v>169</v>
      </c>
      <c r="C2022" s="1" t="s">
        <v>488</v>
      </c>
      <c r="D2022" s="1" t="s">
        <v>183</v>
      </c>
      <c r="E2022" s="26" t="e">
        <f t="shared" ref="E2022:F2022" si="2934">+E2021</f>
        <v>#REF!</v>
      </c>
      <c r="F2022" s="26" t="e">
        <f t="shared" si="2934"/>
        <v>#REF!</v>
      </c>
      <c r="G2022" s="17">
        <v>5</v>
      </c>
      <c r="H2022" s="17" t="s">
        <v>9</v>
      </c>
      <c r="I2022" s="30" t="s">
        <v>34</v>
      </c>
      <c r="J2022" s="22"/>
      <c r="K2022" s="63"/>
      <c r="L2022" s="8">
        <f t="shared" si="2929"/>
        <v>0</v>
      </c>
      <c r="M2022" s="24">
        <f t="shared" si="2864"/>
        <v>0</v>
      </c>
      <c r="N2022" s="14"/>
    </row>
    <row r="2023" spans="1:14" x14ac:dyDescent="0.25">
      <c r="A2023" s="20">
        <v>44606</v>
      </c>
      <c r="B2023" s="1">
        <f t="shared" ref="B2023" si="2935">B2018</f>
        <v>169</v>
      </c>
      <c r="C2023" s="1" t="s">
        <v>488</v>
      </c>
      <c r="D2023" s="1" t="s">
        <v>183</v>
      </c>
      <c r="E2023" s="26" t="e">
        <f t="shared" ref="E2023:F2023" si="2936">+E2022</f>
        <v>#REF!</v>
      </c>
      <c r="F2023" s="26" t="e">
        <f t="shared" si="2936"/>
        <v>#REF!</v>
      </c>
      <c r="G2023" s="17">
        <v>6</v>
      </c>
      <c r="H2023" s="17" t="s">
        <v>9</v>
      </c>
      <c r="I2023" s="30" t="s">
        <v>35</v>
      </c>
      <c r="J2023" s="22"/>
      <c r="K2023" s="22"/>
      <c r="L2023" s="8">
        <f t="shared" si="2929"/>
        <v>0</v>
      </c>
      <c r="M2023" s="24">
        <f t="shared" si="2864"/>
        <v>0</v>
      </c>
      <c r="N2023" s="14"/>
    </row>
    <row r="2024" spans="1:14" x14ac:dyDescent="0.25">
      <c r="A2024" s="20">
        <v>44606</v>
      </c>
      <c r="B2024" s="1">
        <f t="shared" ref="B2024" si="2937">B2018</f>
        <v>169</v>
      </c>
      <c r="C2024" s="1" t="s">
        <v>488</v>
      </c>
      <c r="D2024" s="1" t="s">
        <v>183</v>
      </c>
      <c r="E2024" s="26" t="e">
        <f t="shared" ref="E2024:F2024" si="2938">+E2023</f>
        <v>#REF!</v>
      </c>
      <c r="F2024" s="26" t="e">
        <f t="shared" si="2938"/>
        <v>#REF!</v>
      </c>
      <c r="G2024" s="17">
        <v>7</v>
      </c>
      <c r="H2024" s="17" t="s">
        <v>9</v>
      </c>
      <c r="I2024" s="30" t="s">
        <v>36</v>
      </c>
      <c r="J2024" s="22"/>
      <c r="K2024" s="22"/>
      <c r="L2024" s="8">
        <f t="shared" si="2929"/>
        <v>0</v>
      </c>
      <c r="M2024" s="24">
        <f t="shared" si="2864"/>
        <v>0</v>
      </c>
      <c r="N2024" s="14"/>
    </row>
    <row r="2025" spans="1:14" x14ac:dyDescent="0.25">
      <c r="A2025" s="20">
        <v>44606</v>
      </c>
      <c r="B2025" s="1">
        <f t="shared" ref="B2025" si="2939">B2018</f>
        <v>169</v>
      </c>
      <c r="C2025" s="1" t="s">
        <v>488</v>
      </c>
      <c r="D2025" s="1" t="s">
        <v>183</v>
      </c>
      <c r="E2025" s="26" t="e">
        <f>+E2024</f>
        <v>#REF!</v>
      </c>
      <c r="F2025" s="26" t="e">
        <f>+F2024</f>
        <v>#REF!</v>
      </c>
      <c r="G2025" s="17">
        <v>8</v>
      </c>
      <c r="H2025" s="17" t="s">
        <v>9</v>
      </c>
      <c r="I2025" s="30" t="s">
        <v>59</v>
      </c>
      <c r="J2025" s="22"/>
      <c r="K2025" s="22"/>
      <c r="L2025" s="8">
        <f t="shared" si="2929"/>
        <v>0</v>
      </c>
      <c r="M2025" s="24">
        <f t="shared" si="2864"/>
        <v>0</v>
      </c>
      <c r="N2025" s="14"/>
    </row>
    <row r="2026" spans="1:14" x14ac:dyDescent="0.25">
      <c r="A2026" s="20">
        <v>44606</v>
      </c>
      <c r="B2026" s="1">
        <f t="shared" ref="B2026" si="2940">B2018</f>
        <v>169</v>
      </c>
      <c r="C2026" s="1" t="s">
        <v>488</v>
      </c>
      <c r="D2026" s="1" t="s">
        <v>183</v>
      </c>
      <c r="E2026" s="26" t="e">
        <f t="shared" ref="E2026:F2026" si="2941">+E2025</f>
        <v>#REF!</v>
      </c>
      <c r="F2026" s="26" t="e">
        <f t="shared" si="2941"/>
        <v>#REF!</v>
      </c>
      <c r="G2026" s="17">
        <v>9</v>
      </c>
      <c r="H2026" s="17" t="s">
        <v>9</v>
      </c>
      <c r="I2026" s="30" t="s">
        <v>38</v>
      </c>
      <c r="J2026" s="22"/>
      <c r="K2026" s="22"/>
      <c r="L2026" s="8">
        <f t="shared" si="2929"/>
        <v>0</v>
      </c>
      <c r="M2026" s="24">
        <f t="shared" si="2864"/>
        <v>0</v>
      </c>
      <c r="N2026" s="14"/>
    </row>
    <row r="2027" spans="1:14" x14ac:dyDescent="0.25">
      <c r="A2027" s="20">
        <v>44606</v>
      </c>
      <c r="B2027" s="1">
        <f t="shared" ref="B2027" si="2942">B2018</f>
        <v>169</v>
      </c>
      <c r="C2027" s="1" t="s">
        <v>488</v>
      </c>
      <c r="D2027" s="1" t="s">
        <v>183</v>
      </c>
      <c r="E2027" s="26" t="e">
        <f t="shared" ref="E2027:F2027" si="2943">+E2026</f>
        <v>#REF!</v>
      </c>
      <c r="F2027" s="26" t="e">
        <f t="shared" si="2943"/>
        <v>#REF!</v>
      </c>
      <c r="G2027" s="17">
        <v>10</v>
      </c>
      <c r="H2027" s="17" t="s">
        <v>9</v>
      </c>
      <c r="I2027" s="30" t="s">
        <v>23</v>
      </c>
      <c r="J2027" s="22">
        <f>0.85+1.15</f>
        <v>2</v>
      </c>
      <c r="K2027" s="22">
        <f>0.55+0.55</f>
        <v>1.1000000000000001</v>
      </c>
      <c r="L2027" s="8">
        <f t="shared" si="2929"/>
        <v>0.89999999999999991</v>
      </c>
      <c r="M2027" s="24">
        <f t="shared" si="2864"/>
        <v>5.8252427184466028E-2</v>
      </c>
      <c r="N2027" s="14"/>
    </row>
    <row r="2028" spans="1:14" x14ac:dyDescent="0.25">
      <c r="A2028" s="20">
        <v>44606</v>
      </c>
      <c r="B2028" s="1">
        <f t="shared" ref="B2028" si="2944">B2018</f>
        <v>169</v>
      </c>
      <c r="C2028" s="1" t="s">
        <v>488</v>
      </c>
      <c r="D2028" s="1" t="s">
        <v>183</v>
      </c>
      <c r="E2028" s="26" t="e">
        <f t="shared" ref="E2028:F2028" si="2945">+E2027</f>
        <v>#REF!</v>
      </c>
      <c r="F2028" s="26" t="e">
        <f t="shared" si="2945"/>
        <v>#REF!</v>
      </c>
      <c r="G2028" s="17">
        <v>11</v>
      </c>
      <c r="H2028" s="17" t="s">
        <v>9</v>
      </c>
      <c r="I2028" s="30" t="s">
        <v>60</v>
      </c>
      <c r="J2028" s="22">
        <f>11.8+10.3+10.4+11.15+9.25+11</f>
        <v>63.9</v>
      </c>
      <c r="K2028" s="22">
        <f>8.55+8.55+8.55+8.5+8.5+8.55</f>
        <v>51.2</v>
      </c>
      <c r="L2028" s="8">
        <f t="shared" si="2929"/>
        <v>12.699999999999996</v>
      </c>
      <c r="M2028" s="24">
        <f t="shared" si="2864"/>
        <v>0.82200647249190939</v>
      </c>
      <c r="N2028" s="14"/>
    </row>
    <row r="2029" spans="1:14" ht="15.75" thickBot="1" x14ac:dyDescent="0.3">
      <c r="A2029" s="20">
        <v>44606</v>
      </c>
      <c r="B2029" s="57">
        <f t="shared" ref="B2029" si="2946">B2018</f>
        <v>169</v>
      </c>
      <c r="C2029" s="1" t="s">
        <v>488</v>
      </c>
      <c r="D2029" s="1" t="s">
        <v>183</v>
      </c>
      <c r="E2029" s="26" t="e">
        <f t="shared" ref="E2029:F2029" si="2947">+E2028</f>
        <v>#REF!</v>
      </c>
      <c r="F2029" s="26" t="e">
        <f t="shared" si="2947"/>
        <v>#REF!</v>
      </c>
      <c r="G2029" s="18">
        <f>+G2028+1</f>
        <v>12</v>
      </c>
      <c r="H2029" s="18" t="s">
        <v>10</v>
      </c>
      <c r="I2029" s="46" t="s">
        <v>10</v>
      </c>
      <c r="J2029" s="22">
        <f>8.9+9.7</f>
        <v>18.600000000000001</v>
      </c>
      <c r="K2029" s="63">
        <f>8.55+8.3</f>
        <v>16.850000000000001</v>
      </c>
      <c r="L2029" s="8">
        <f t="shared" si="2929"/>
        <v>1.75</v>
      </c>
      <c r="M2029" s="24">
        <f t="shared" si="2864"/>
        <v>0.11326860841423951</v>
      </c>
      <c r="N2029" s="14"/>
    </row>
    <row r="2030" spans="1:14" x14ac:dyDescent="0.25">
      <c r="A2030" s="19">
        <v>44606</v>
      </c>
      <c r="B2030" s="15">
        <f t="shared" ref="B2030" si="2948">B2018+1</f>
        <v>170</v>
      </c>
      <c r="C2030" s="15" t="s">
        <v>489</v>
      </c>
      <c r="D2030" s="15" t="s">
        <v>22</v>
      </c>
      <c r="E2030" s="25">
        <f>38.8-1.2</f>
        <v>37.599999999999994</v>
      </c>
      <c r="F2030" s="25">
        <f>+SUM(L2030:L2041)</f>
        <v>37.4</v>
      </c>
      <c r="G2030" s="16">
        <v>1</v>
      </c>
      <c r="H2030" s="16" t="s">
        <v>9</v>
      </c>
      <c r="I2030" s="59" t="s">
        <v>56</v>
      </c>
      <c r="J2030" s="21"/>
      <c r="K2030" s="21"/>
      <c r="L2030" s="12">
        <f>+J2030-K2030</f>
        <v>0</v>
      </c>
      <c r="M2030" s="23">
        <f t="shared" si="2864"/>
        <v>0</v>
      </c>
      <c r="N2030" s="13"/>
    </row>
    <row r="2031" spans="1:14" x14ac:dyDescent="0.25">
      <c r="A2031" s="20">
        <v>44606</v>
      </c>
      <c r="B2031" s="1">
        <f t="shared" ref="B2031" si="2949">B2030</f>
        <v>170</v>
      </c>
      <c r="C2031" s="1" t="s">
        <v>489</v>
      </c>
      <c r="D2031" s="1" t="s">
        <v>22</v>
      </c>
      <c r="E2031" s="26">
        <f>+E2030</f>
        <v>37.599999999999994</v>
      </c>
      <c r="F2031" s="28">
        <f>+(F2030-E2030)/E2030</f>
        <v>-5.3191489361700999E-3</v>
      </c>
      <c r="G2031" s="17">
        <v>2</v>
      </c>
      <c r="H2031" s="17" t="s">
        <v>9</v>
      </c>
      <c r="I2031" s="30" t="s">
        <v>57</v>
      </c>
      <c r="J2031" s="22">
        <v>0.6</v>
      </c>
      <c r="K2031" s="22">
        <v>0.55000000000000004</v>
      </c>
      <c r="L2031" s="8">
        <f t="shared" ref="L2031:L2041" si="2950">+J2031-K2031</f>
        <v>4.9999999999999933E-2</v>
      </c>
      <c r="M2031" s="24">
        <f t="shared" si="2864"/>
        <v>1.3368983957219233E-3</v>
      </c>
      <c r="N2031" s="14"/>
    </row>
    <row r="2032" spans="1:14" x14ac:dyDescent="0.25">
      <c r="A2032" s="20">
        <v>44606</v>
      </c>
      <c r="B2032" s="1">
        <f t="shared" ref="B2032" si="2951">B2030</f>
        <v>170</v>
      </c>
      <c r="C2032" s="1" t="s">
        <v>489</v>
      </c>
      <c r="D2032" s="1" t="s">
        <v>22</v>
      </c>
      <c r="E2032" s="26" t="e">
        <f>+#REF!</f>
        <v>#REF!</v>
      </c>
      <c r="F2032" s="26" t="e">
        <f>+#REF!</f>
        <v>#REF!</v>
      </c>
      <c r="G2032" s="17">
        <v>3</v>
      </c>
      <c r="H2032" s="17" t="s">
        <v>9</v>
      </c>
      <c r="I2032" s="30" t="s">
        <v>58</v>
      </c>
      <c r="J2032" s="22">
        <v>1.1499999999999999</v>
      </c>
      <c r="K2032" s="22">
        <v>0.55000000000000004</v>
      </c>
      <c r="L2032" s="8">
        <f t="shared" si="2950"/>
        <v>0.59999999999999987</v>
      </c>
      <c r="M2032" s="24">
        <f t="shared" si="2864"/>
        <v>1.60427807486631E-2</v>
      </c>
      <c r="N2032" s="14"/>
    </row>
    <row r="2033" spans="1:14" x14ac:dyDescent="0.25">
      <c r="A2033" s="20">
        <v>44606</v>
      </c>
      <c r="B2033" s="1">
        <f t="shared" ref="B2033" si="2952">B2030</f>
        <v>170</v>
      </c>
      <c r="C2033" s="1" t="s">
        <v>489</v>
      </c>
      <c r="D2033" s="1" t="s">
        <v>22</v>
      </c>
      <c r="E2033" s="26" t="e">
        <f t="shared" ref="E2033:F2033" si="2953">+E2032</f>
        <v>#REF!</v>
      </c>
      <c r="F2033" s="26" t="e">
        <f t="shared" si="2953"/>
        <v>#REF!</v>
      </c>
      <c r="G2033" s="17">
        <v>4</v>
      </c>
      <c r="H2033" s="17" t="s">
        <v>9</v>
      </c>
      <c r="I2033" s="30" t="s">
        <v>22</v>
      </c>
      <c r="J2033" s="22">
        <f>12.95+13.85+13.85+15.3+13.8+14.6+10.5</f>
        <v>94.85</v>
      </c>
      <c r="K2033" s="22">
        <f>8.55+8.3+8.55+8.5+8.55+8.55+8.3</f>
        <v>59.3</v>
      </c>
      <c r="L2033" s="8">
        <f t="shared" si="2950"/>
        <v>35.549999999999997</v>
      </c>
      <c r="M2033" s="24">
        <f t="shared" si="2864"/>
        <v>0.95053475935828868</v>
      </c>
      <c r="N2033" s="14"/>
    </row>
    <row r="2034" spans="1:14" x14ac:dyDescent="0.25">
      <c r="A2034" s="20">
        <v>44606</v>
      </c>
      <c r="B2034" s="1">
        <f t="shared" ref="B2034" si="2954">B2030</f>
        <v>170</v>
      </c>
      <c r="C2034" s="1" t="s">
        <v>489</v>
      </c>
      <c r="D2034" s="1" t="s">
        <v>22</v>
      </c>
      <c r="E2034" s="26" t="e">
        <f t="shared" ref="E2034:F2034" si="2955">+E2033</f>
        <v>#REF!</v>
      </c>
      <c r="F2034" s="26" t="e">
        <f t="shared" si="2955"/>
        <v>#REF!</v>
      </c>
      <c r="G2034" s="17">
        <v>5</v>
      </c>
      <c r="H2034" s="17" t="s">
        <v>9</v>
      </c>
      <c r="I2034" s="30" t="s">
        <v>34</v>
      </c>
      <c r="J2034" s="22"/>
      <c r="K2034" s="63"/>
      <c r="L2034" s="8">
        <f t="shared" si="2950"/>
        <v>0</v>
      </c>
      <c r="M2034" s="24">
        <f t="shared" si="2864"/>
        <v>0</v>
      </c>
      <c r="N2034" s="14"/>
    </row>
    <row r="2035" spans="1:14" x14ac:dyDescent="0.25">
      <c r="A2035" s="20">
        <v>44606</v>
      </c>
      <c r="B2035" s="1">
        <f t="shared" ref="B2035" si="2956">B2030</f>
        <v>170</v>
      </c>
      <c r="C2035" s="1" t="s">
        <v>489</v>
      </c>
      <c r="D2035" s="1" t="s">
        <v>22</v>
      </c>
      <c r="E2035" s="26" t="e">
        <f t="shared" ref="E2035:F2035" si="2957">+E2034</f>
        <v>#REF!</v>
      </c>
      <c r="F2035" s="26" t="e">
        <f t="shared" si="2957"/>
        <v>#REF!</v>
      </c>
      <c r="G2035" s="17">
        <v>6</v>
      </c>
      <c r="H2035" s="17" t="s">
        <v>9</v>
      </c>
      <c r="I2035" s="30" t="s">
        <v>35</v>
      </c>
      <c r="J2035" s="22"/>
      <c r="K2035" s="22"/>
      <c r="L2035" s="8">
        <f t="shared" si="2950"/>
        <v>0</v>
      </c>
      <c r="M2035" s="24">
        <f t="shared" si="2864"/>
        <v>0</v>
      </c>
      <c r="N2035" s="14"/>
    </row>
    <row r="2036" spans="1:14" x14ac:dyDescent="0.25">
      <c r="A2036" s="20">
        <v>44606</v>
      </c>
      <c r="B2036" s="1">
        <f t="shared" ref="B2036" si="2958">B2030</f>
        <v>170</v>
      </c>
      <c r="C2036" s="1" t="s">
        <v>489</v>
      </c>
      <c r="D2036" s="1" t="s">
        <v>22</v>
      </c>
      <c r="E2036" s="26" t="e">
        <f t="shared" ref="E2036:F2036" si="2959">+E2035</f>
        <v>#REF!</v>
      </c>
      <c r="F2036" s="26" t="e">
        <f t="shared" si="2959"/>
        <v>#REF!</v>
      </c>
      <c r="G2036" s="17">
        <v>7</v>
      </c>
      <c r="H2036" s="17" t="s">
        <v>9</v>
      </c>
      <c r="I2036" s="30" t="s">
        <v>36</v>
      </c>
      <c r="J2036" s="22"/>
      <c r="K2036" s="22"/>
      <c r="L2036" s="8">
        <f t="shared" si="2950"/>
        <v>0</v>
      </c>
      <c r="M2036" s="24">
        <f t="shared" si="2864"/>
        <v>0</v>
      </c>
      <c r="N2036" s="14"/>
    </row>
    <row r="2037" spans="1:14" x14ac:dyDescent="0.25">
      <c r="A2037" s="20">
        <v>44606</v>
      </c>
      <c r="B2037" s="1">
        <f t="shared" ref="B2037" si="2960">B2030</f>
        <v>170</v>
      </c>
      <c r="C2037" s="1" t="s">
        <v>489</v>
      </c>
      <c r="D2037" s="1" t="s">
        <v>22</v>
      </c>
      <c r="E2037" s="26" t="e">
        <f>+E2036</f>
        <v>#REF!</v>
      </c>
      <c r="F2037" s="26" t="e">
        <f>+F2036</f>
        <v>#REF!</v>
      </c>
      <c r="G2037" s="17">
        <v>8</v>
      </c>
      <c r="H2037" s="17" t="s">
        <v>9</v>
      </c>
      <c r="I2037" s="30" t="s">
        <v>59</v>
      </c>
      <c r="J2037" s="22">
        <v>0.6</v>
      </c>
      <c r="K2037" s="22">
        <v>0.5</v>
      </c>
      <c r="L2037" s="8">
        <f t="shared" si="2950"/>
        <v>9.9999999999999978E-2</v>
      </c>
      <c r="M2037" s="24">
        <f t="shared" si="2864"/>
        <v>2.6737967914438497E-3</v>
      </c>
      <c r="N2037" s="14"/>
    </row>
    <row r="2038" spans="1:14" x14ac:dyDescent="0.25">
      <c r="A2038" s="20">
        <v>44606</v>
      </c>
      <c r="B2038" s="1">
        <f t="shared" ref="B2038" si="2961">B2030</f>
        <v>170</v>
      </c>
      <c r="C2038" s="1" t="s">
        <v>489</v>
      </c>
      <c r="D2038" s="1" t="s">
        <v>22</v>
      </c>
      <c r="E2038" s="26" t="e">
        <f t="shared" ref="E2038:F2038" si="2962">+E2037</f>
        <v>#REF!</v>
      </c>
      <c r="F2038" s="26" t="e">
        <f t="shared" si="2962"/>
        <v>#REF!</v>
      </c>
      <c r="G2038" s="17">
        <v>9</v>
      </c>
      <c r="H2038" s="17" t="s">
        <v>9</v>
      </c>
      <c r="I2038" s="30" t="s">
        <v>38</v>
      </c>
      <c r="J2038" s="22"/>
      <c r="K2038" s="22"/>
      <c r="L2038" s="8">
        <f t="shared" si="2950"/>
        <v>0</v>
      </c>
      <c r="M2038" s="24">
        <f t="shared" si="2864"/>
        <v>0</v>
      </c>
      <c r="N2038" s="14"/>
    </row>
    <row r="2039" spans="1:14" x14ac:dyDescent="0.25">
      <c r="A2039" s="20">
        <v>44606</v>
      </c>
      <c r="B2039" s="1">
        <f t="shared" ref="B2039" si="2963">B2030</f>
        <v>170</v>
      </c>
      <c r="C2039" s="1" t="s">
        <v>489</v>
      </c>
      <c r="D2039" s="1" t="s">
        <v>22</v>
      </c>
      <c r="E2039" s="26" t="e">
        <f t="shared" ref="E2039:F2039" si="2964">+E2038</f>
        <v>#REF!</v>
      </c>
      <c r="F2039" s="26" t="e">
        <f t="shared" si="2964"/>
        <v>#REF!</v>
      </c>
      <c r="G2039" s="17">
        <v>10</v>
      </c>
      <c r="H2039" s="17" t="s">
        <v>9</v>
      </c>
      <c r="I2039" s="30" t="s">
        <v>23</v>
      </c>
      <c r="J2039" s="22">
        <v>1</v>
      </c>
      <c r="K2039" s="22">
        <v>0.55000000000000004</v>
      </c>
      <c r="L2039" s="8">
        <f t="shared" si="2950"/>
        <v>0.44999999999999996</v>
      </c>
      <c r="M2039" s="24">
        <f t="shared" si="2864"/>
        <v>1.2032085561497326E-2</v>
      </c>
      <c r="N2039" s="14"/>
    </row>
    <row r="2040" spans="1:14" x14ac:dyDescent="0.25">
      <c r="A2040" s="20">
        <v>44606</v>
      </c>
      <c r="B2040" s="1">
        <f t="shared" ref="B2040" si="2965">B2030</f>
        <v>170</v>
      </c>
      <c r="C2040" s="1" t="s">
        <v>489</v>
      </c>
      <c r="D2040" s="1" t="s">
        <v>22</v>
      </c>
      <c r="E2040" s="26" t="e">
        <f t="shared" ref="E2040:F2040" si="2966">+E2039</f>
        <v>#REF!</v>
      </c>
      <c r="F2040" s="26" t="e">
        <f t="shared" si="2966"/>
        <v>#REF!</v>
      </c>
      <c r="G2040" s="17">
        <v>11</v>
      </c>
      <c r="H2040" s="17" t="s">
        <v>9</v>
      </c>
      <c r="I2040" s="30" t="s">
        <v>60</v>
      </c>
      <c r="J2040" s="22">
        <v>0.6</v>
      </c>
      <c r="K2040" s="22">
        <v>0.55000000000000004</v>
      </c>
      <c r="L2040" s="8">
        <f t="shared" si="2950"/>
        <v>4.9999999999999933E-2</v>
      </c>
      <c r="M2040" s="24">
        <f t="shared" si="2864"/>
        <v>1.3368983957219233E-3</v>
      </c>
      <c r="N2040" s="14"/>
    </row>
    <row r="2041" spans="1:14" ht="15.75" thickBot="1" x14ac:dyDescent="0.3">
      <c r="A2041" s="20">
        <v>44606</v>
      </c>
      <c r="B2041" s="57">
        <f t="shared" ref="B2041" si="2967">B2030</f>
        <v>170</v>
      </c>
      <c r="C2041" s="1" t="s">
        <v>489</v>
      </c>
      <c r="D2041" s="1" t="s">
        <v>22</v>
      </c>
      <c r="E2041" s="26" t="e">
        <f t="shared" ref="E2041:F2041" si="2968">+E2040</f>
        <v>#REF!</v>
      </c>
      <c r="F2041" s="26" t="e">
        <f t="shared" si="2968"/>
        <v>#REF!</v>
      </c>
      <c r="G2041" s="18">
        <f>+G2040+1</f>
        <v>12</v>
      </c>
      <c r="H2041" s="18" t="s">
        <v>10</v>
      </c>
      <c r="I2041" s="46" t="s">
        <v>10</v>
      </c>
      <c r="J2041" s="22">
        <v>9.15</v>
      </c>
      <c r="K2041" s="63">
        <v>8.5500000000000007</v>
      </c>
      <c r="L2041" s="8">
        <f t="shared" si="2950"/>
        <v>0.59999999999999964</v>
      </c>
      <c r="M2041" s="24">
        <f t="shared" si="2864"/>
        <v>1.6042780748663093E-2</v>
      </c>
      <c r="N2041" s="14"/>
    </row>
    <row r="2042" spans="1:14" x14ac:dyDescent="0.25">
      <c r="A2042" s="19">
        <v>44606</v>
      </c>
      <c r="B2042" s="15">
        <f t="shared" ref="B2042" si="2969">B2030+1</f>
        <v>171</v>
      </c>
      <c r="C2042" s="15" t="s">
        <v>490</v>
      </c>
      <c r="D2042" s="15" t="s">
        <v>185</v>
      </c>
      <c r="E2042" s="25">
        <f>40.2-1.2</f>
        <v>39</v>
      </c>
      <c r="F2042" s="25">
        <f>+SUM(L2042:L2053)</f>
        <v>38.850000000000016</v>
      </c>
      <c r="G2042" s="16">
        <v>1</v>
      </c>
      <c r="H2042" s="16" t="s">
        <v>9</v>
      </c>
      <c r="I2042" s="59" t="s">
        <v>56</v>
      </c>
      <c r="J2042" s="21">
        <v>0.6</v>
      </c>
      <c r="K2042" s="21">
        <v>0.55000000000000004</v>
      </c>
      <c r="L2042" s="12">
        <f>+J2042-K2042</f>
        <v>4.9999999999999933E-2</v>
      </c>
      <c r="M2042" s="23">
        <f t="shared" si="2864"/>
        <v>1.2870012870012848E-3</v>
      </c>
      <c r="N2042" s="13"/>
    </row>
    <row r="2043" spans="1:14" x14ac:dyDescent="0.25">
      <c r="A2043" s="20">
        <v>44606</v>
      </c>
      <c r="B2043" s="1">
        <f t="shared" ref="B2043" si="2970">B2042</f>
        <v>171</v>
      </c>
      <c r="C2043" s="1" t="s">
        <v>490</v>
      </c>
      <c r="D2043" s="1" t="s">
        <v>185</v>
      </c>
      <c r="E2043" s="26">
        <f>+E2042</f>
        <v>39</v>
      </c>
      <c r="F2043" s="28">
        <f>+(F2042-E2042)/E2042</f>
        <v>-3.8461538461534452E-3</v>
      </c>
      <c r="G2043" s="17">
        <v>2</v>
      </c>
      <c r="H2043" s="17" t="s">
        <v>9</v>
      </c>
      <c r="I2043" s="30" t="s">
        <v>57</v>
      </c>
      <c r="J2043" s="22">
        <v>0.65</v>
      </c>
      <c r="K2043" s="22">
        <v>0.55000000000000004</v>
      </c>
      <c r="L2043" s="8">
        <f t="shared" ref="L2043:L2053" si="2971">+J2043-K2043</f>
        <v>9.9999999999999978E-2</v>
      </c>
      <c r="M2043" s="24">
        <f t="shared" si="2864"/>
        <v>2.5740025740025722E-3</v>
      </c>
      <c r="N2043" s="14"/>
    </row>
    <row r="2044" spans="1:14" x14ac:dyDescent="0.25">
      <c r="A2044" s="20">
        <v>44606</v>
      </c>
      <c r="B2044" s="1">
        <f t="shared" ref="B2044" si="2972">B2042</f>
        <v>171</v>
      </c>
      <c r="C2044" s="1" t="s">
        <v>490</v>
      </c>
      <c r="D2044" s="1" t="s">
        <v>185</v>
      </c>
      <c r="E2044" s="26" t="e">
        <f>+#REF!</f>
        <v>#REF!</v>
      </c>
      <c r="F2044" s="26" t="e">
        <f>+#REF!</f>
        <v>#REF!</v>
      </c>
      <c r="G2044" s="17">
        <v>3</v>
      </c>
      <c r="H2044" s="17" t="s">
        <v>9</v>
      </c>
      <c r="I2044" s="30" t="s">
        <v>58</v>
      </c>
      <c r="J2044" s="22">
        <f>0.7+0.65</f>
        <v>1.35</v>
      </c>
      <c r="K2044" s="22">
        <f>0.55+0.55</f>
        <v>1.1000000000000001</v>
      </c>
      <c r="L2044" s="8">
        <f t="shared" si="2971"/>
        <v>0.25</v>
      </c>
      <c r="M2044" s="24">
        <f t="shared" si="2864"/>
        <v>6.4350064350064328E-3</v>
      </c>
      <c r="N2044" s="14"/>
    </row>
    <row r="2045" spans="1:14" x14ac:dyDescent="0.25">
      <c r="A2045" s="20">
        <v>44606</v>
      </c>
      <c r="B2045" s="1">
        <f t="shared" ref="B2045" si="2973">B2042</f>
        <v>171</v>
      </c>
      <c r="C2045" s="1" t="s">
        <v>490</v>
      </c>
      <c r="D2045" s="1" t="s">
        <v>185</v>
      </c>
      <c r="E2045" s="26" t="e">
        <f t="shared" ref="E2045:F2045" si="2974">+E2044</f>
        <v>#REF!</v>
      </c>
      <c r="F2045" s="26" t="e">
        <f t="shared" si="2974"/>
        <v>#REF!</v>
      </c>
      <c r="G2045" s="17">
        <v>4</v>
      </c>
      <c r="H2045" s="17" t="s">
        <v>9</v>
      </c>
      <c r="I2045" s="30" t="s">
        <v>22</v>
      </c>
      <c r="J2045" s="22">
        <f>1.05+0.8</f>
        <v>1.85</v>
      </c>
      <c r="K2045" s="22">
        <f>0.55+0.55</f>
        <v>1.1000000000000001</v>
      </c>
      <c r="L2045" s="8">
        <f t="shared" si="2971"/>
        <v>0.75</v>
      </c>
      <c r="M2045" s="24">
        <f t="shared" si="2864"/>
        <v>1.9305019305019298E-2</v>
      </c>
      <c r="N2045" s="14"/>
    </row>
    <row r="2046" spans="1:14" x14ac:dyDescent="0.25">
      <c r="A2046" s="20">
        <v>44606</v>
      </c>
      <c r="B2046" s="1">
        <f t="shared" ref="B2046" si="2975">B2042</f>
        <v>171</v>
      </c>
      <c r="C2046" s="1" t="s">
        <v>490</v>
      </c>
      <c r="D2046" s="1" t="s">
        <v>185</v>
      </c>
      <c r="E2046" s="26" t="e">
        <f t="shared" ref="E2046:F2046" si="2976">+E2045</f>
        <v>#REF!</v>
      </c>
      <c r="F2046" s="26" t="e">
        <f t="shared" si="2976"/>
        <v>#REF!</v>
      </c>
      <c r="G2046" s="17">
        <v>5</v>
      </c>
      <c r="H2046" s="17" t="s">
        <v>9</v>
      </c>
      <c r="I2046" s="30" t="s">
        <v>34</v>
      </c>
      <c r="J2046" s="22">
        <f>15.35+13.9+12.2+13.25+14.9+11.55+11.9</f>
        <v>93.050000000000011</v>
      </c>
      <c r="K2046" s="63">
        <f>8.55+8.55+8.5+8.55+8.55+8.5+8.55</f>
        <v>59.75</v>
      </c>
      <c r="L2046" s="8">
        <f t="shared" si="2971"/>
        <v>33.300000000000011</v>
      </c>
      <c r="M2046" s="24">
        <f t="shared" ref="M2046:M2089" si="2977">+L2046/SUMIF(C:C,C2046,L:L)</f>
        <v>0.8571428571428571</v>
      </c>
      <c r="N2046" s="14"/>
    </row>
    <row r="2047" spans="1:14" x14ac:dyDescent="0.25">
      <c r="A2047" s="20">
        <v>44606</v>
      </c>
      <c r="B2047" s="1">
        <f t="shared" ref="B2047" si="2978">B2042</f>
        <v>171</v>
      </c>
      <c r="C2047" s="1" t="s">
        <v>490</v>
      </c>
      <c r="D2047" s="1" t="s">
        <v>185</v>
      </c>
      <c r="E2047" s="26" t="e">
        <f t="shared" ref="E2047:F2047" si="2979">+E2046</f>
        <v>#REF!</v>
      </c>
      <c r="F2047" s="26" t="e">
        <f t="shared" si="2979"/>
        <v>#REF!</v>
      </c>
      <c r="G2047" s="17">
        <v>6</v>
      </c>
      <c r="H2047" s="17" t="s">
        <v>9</v>
      </c>
      <c r="I2047" s="30" t="s">
        <v>35</v>
      </c>
      <c r="J2047" s="22">
        <v>0.75</v>
      </c>
      <c r="K2047" s="22">
        <v>0.55000000000000004</v>
      </c>
      <c r="L2047" s="8">
        <f t="shared" si="2971"/>
        <v>0.19999999999999996</v>
      </c>
      <c r="M2047" s="24">
        <f t="shared" si="2977"/>
        <v>5.1480051480051444E-3</v>
      </c>
      <c r="N2047" s="14"/>
    </row>
    <row r="2048" spans="1:14" x14ac:dyDescent="0.25">
      <c r="A2048" s="20">
        <v>44606</v>
      </c>
      <c r="B2048" s="1">
        <f t="shared" ref="B2048" si="2980">B2042</f>
        <v>171</v>
      </c>
      <c r="C2048" s="1" t="s">
        <v>490</v>
      </c>
      <c r="D2048" s="1" t="s">
        <v>185</v>
      </c>
      <c r="E2048" s="26" t="e">
        <f t="shared" ref="E2048:F2048" si="2981">+E2047</f>
        <v>#REF!</v>
      </c>
      <c r="F2048" s="26" t="e">
        <f t="shared" si="2981"/>
        <v>#REF!</v>
      </c>
      <c r="G2048" s="17">
        <v>7</v>
      </c>
      <c r="H2048" s="17" t="s">
        <v>9</v>
      </c>
      <c r="I2048" s="30" t="s">
        <v>36</v>
      </c>
      <c r="J2048" s="22"/>
      <c r="K2048" s="22"/>
      <c r="L2048" s="8">
        <f t="shared" si="2971"/>
        <v>0</v>
      </c>
      <c r="M2048" s="24">
        <f t="shared" si="2977"/>
        <v>0</v>
      </c>
      <c r="N2048" s="14"/>
    </row>
    <row r="2049" spans="1:14" x14ac:dyDescent="0.25">
      <c r="A2049" s="20">
        <v>44606</v>
      </c>
      <c r="B2049" s="1">
        <f t="shared" ref="B2049" si="2982">B2042</f>
        <v>171</v>
      </c>
      <c r="C2049" s="1" t="s">
        <v>490</v>
      </c>
      <c r="D2049" s="1" t="s">
        <v>185</v>
      </c>
      <c r="E2049" s="26" t="e">
        <f>+E2048</f>
        <v>#REF!</v>
      </c>
      <c r="F2049" s="26" t="e">
        <f>+F2048</f>
        <v>#REF!</v>
      </c>
      <c r="G2049" s="17">
        <v>8</v>
      </c>
      <c r="H2049" s="17" t="s">
        <v>9</v>
      </c>
      <c r="I2049" s="30" t="s">
        <v>59</v>
      </c>
      <c r="J2049" s="22"/>
      <c r="K2049" s="22"/>
      <c r="L2049" s="8">
        <f t="shared" si="2971"/>
        <v>0</v>
      </c>
      <c r="M2049" s="24">
        <f t="shared" si="2977"/>
        <v>0</v>
      </c>
      <c r="N2049" s="14"/>
    </row>
    <row r="2050" spans="1:14" x14ac:dyDescent="0.25">
      <c r="A2050" s="20">
        <v>44606</v>
      </c>
      <c r="B2050" s="1">
        <f t="shared" ref="B2050" si="2983">B2042</f>
        <v>171</v>
      </c>
      <c r="C2050" s="1" t="s">
        <v>490</v>
      </c>
      <c r="D2050" s="1" t="s">
        <v>185</v>
      </c>
      <c r="E2050" s="26" t="e">
        <f t="shared" ref="E2050:F2050" si="2984">+E2049</f>
        <v>#REF!</v>
      </c>
      <c r="F2050" s="26" t="e">
        <f t="shared" si="2984"/>
        <v>#REF!</v>
      </c>
      <c r="G2050" s="17">
        <v>9</v>
      </c>
      <c r="H2050" s="17" t="s">
        <v>9</v>
      </c>
      <c r="I2050" s="30" t="s">
        <v>38</v>
      </c>
      <c r="J2050" s="22">
        <v>1.8</v>
      </c>
      <c r="K2050" s="22">
        <v>0.55000000000000004</v>
      </c>
      <c r="L2050" s="8">
        <f t="shared" si="2971"/>
        <v>1.25</v>
      </c>
      <c r="M2050" s="24">
        <f t="shared" si="2977"/>
        <v>3.2175032175032162E-2</v>
      </c>
      <c r="N2050" s="14"/>
    </row>
    <row r="2051" spans="1:14" x14ac:dyDescent="0.25">
      <c r="A2051" s="20">
        <v>44606</v>
      </c>
      <c r="B2051" s="1">
        <f t="shared" ref="B2051" si="2985">B2042</f>
        <v>171</v>
      </c>
      <c r="C2051" s="1" t="s">
        <v>490</v>
      </c>
      <c r="D2051" s="1" t="s">
        <v>185</v>
      </c>
      <c r="E2051" s="26" t="e">
        <f t="shared" ref="E2051:F2051" si="2986">+E2050</f>
        <v>#REF!</v>
      </c>
      <c r="F2051" s="26" t="e">
        <f t="shared" si="2986"/>
        <v>#REF!</v>
      </c>
      <c r="G2051" s="17">
        <v>10</v>
      </c>
      <c r="H2051" s="17" t="s">
        <v>9</v>
      </c>
      <c r="I2051" s="30" t="s">
        <v>23</v>
      </c>
      <c r="J2051" s="22">
        <v>1.5</v>
      </c>
      <c r="K2051" s="22">
        <v>0.5</v>
      </c>
      <c r="L2051" s="8">
        <f t="shared" si="2971"/>
        <v>1</v>
      </c>
      <c r="M2051" s="24">
        <f t="shared" si="2977"/>
        <v>2.5740025740025731E-2</v>
      </c>
      <c r="N2051" s="14"/>
    </row>
    <row r="2052" spans="1:14" x14ac:dyDescent="0.25">
      <c r="A2052" s="20">
        <v>44606</v>
      </c>
      <c r="B2052" s="1">
        <f t="shared" ref="B2052" si="2987">B2042</f>
        <v>171</v>
      </c>
      <c r="C2052" s="1" t="s">
        <v>490</v>
      </c>
      <c r="D2052" s="1" t="s">
        <v>185</v>
      </c>
      <c r="E2052" s="26" t="e">
        <f t="shared" ref="E2052:F2052" si="2988">+E2051</f>
        <v>#REF!</v>
      </c>
      <c r="F2052" s="26" t="e">
        <f t="shared" si="2988"/>
        <v>#REF!</v>
      </c>
      <c r="G2052" s="17">
        <v>11</v>
      </c>
      <c r="H2052" s="17" t="s">
        <v>9</v>
      </c>
      <c r="I2052" s="30" t="s">
        <v>60</v>
      </c>
      <c r="J2052" s="22">
        <v>0.6</v>
      </c>
      <c r="K2052" s="22">
        <v>0.5</v>
      </c>
      <c r="L2052" s="8">
        <f t="shared" si="2971"/>
        <v>9.9999999999999978E-2</v>
      </c>
      <c r="M2052" s="24">
        <f t="shared" si="2977"/>
        <v>2.5740025740025722E-3</v>
      </c>
      <c r="N2052" s="14"/>
    </row>
    <row r="2053" spans="1:14" ht="15.75" thickBot="1" x14ac:dyDescent="0.3">
      <c r="A2053" s="20">
        <v>44606</v>
      </c>
      <c r="B2053" s="57">
        <f t="shared" ref="B2053" si="2989">B2042</f>
        <v>171</v>
      </c>
      <c r="C2053" s="1" t="s">
        <v>490</v>
      </c>
      <c r="D2053" s="1" t="s">
        <v>185</v>
      </c>
      <c r="E2053" s="26" t="e">
        <f t="shared" ref="E2053:F2053" si="2990">+E2052</f>
        <v>#REF!</v>
      </c>
      <c r="F2053" s="26" t="e">
        <f t="shared" si="2990"/>
        <v>#REF!</v>
      </c>
      <c r="G2053" s="18">
        <f>+G2052+1</f>
        <v>12</v>
      </c>
      <c r="H2053" s="18" t="s">
        <v>10</v>
      </c>
      <c r="I2053" s="46" t="s">
        <v>10</v>
      </c>
      <c r="J2053" s="22">
        <v>10.15</v>
      </c>
      <c r="K2053" s="63">
        <v>8.3000000000000007</v>
      </c>
      <c r="L2053" s="8">
        <f t="shared" si="2971"/>
        <v>1.8499999999999996</v>
      </c>
      <c r="M2053" s="24">
        <f t="shared" si="2977"/>
        <v>4.7619047619047589E-2</v>
      </c>
      <c r="N2053" s="14"/>
    </row>
    <row r="2054" spans="1:14" x14ac:dyDescent="0.25">
      <c r="A2054" s="19">
        <v>44606</v>
      </c>
      <c r="B2054" s="15">
        <f t="shared" ref="B2054" si="2991">B2042+1</f>
        <v>172</v>
      </c>
      <c r="C2054" s="15" t="s">
        <v>491</v>
      </c>
      <c r="D2054" s="15" t="s">
        <v>180</v>
      </c>
      <c r="E2054" s="25">
        <f>39.2-1.2</f>
        <v>38</v>
      </c>
      <c r="F2054" s="25">
        <f>+SUM(L2054:L2065)</f>
        <v>37.899999999999991</v>
      </c>
      <c r="G2054" s="16">
        <v>1</v>
      </c>
      <c r="H2054" s="16" t="s">
        <v>9</v>
      </c>
      <c r="I2054" s="59" t="s">
        <v>56</v>
      </c>
      <c r="J2054" s="21"/>
      <c r="K2054" s="21"/>
      <c r="L2054" s="12">
        <f>+J2054-K2054</f>
        <v>0</v>
      </c>
      <c r="M2054" s="23">
        <f t="shared" si="2977"/>
        <v>0</v>
      </c>
      <c r="N2054" s="13"/>
    </row>
    <row r="2055" spans="1:14" x14ac:dyDescent="0.25">
      <c r="A2055" s="20">
        <v>44606</v>
      </c>
      <c r="B2055" s="1">
        <f t="shared" ref="B2055" si="2992">B2054</f>
        <v>172</v>
      </c>
      <c r="C2055" s="1" t="s">
        <v>491</v>
      </c>
      <c r="D2055" s="1" t="s">
        <v>180</v>
      </c>
      <c r="E2055" s="26">
        <f>+E2054</f>
        <v>38</v>
      </c>
      <c r="F2055" s="28">
        <f>+(F2054-E2054)/E2054</f>
        <v>-2.6315789473686456E-3</v>
      </c>
      <c r="G2055" s="17">
        <v>2</v>
      </c>
      <c r="H2055" s="17" t="s">
        <v>9</v>
      </c>
      <c r="I2055" s="30" t="s">
        <v>57</v>
      </c>
      <c r="J2055" s="22">
        <v>0.6</v>
      </c>
      <c r="K2055" s="22">
        <v>0.55000000000000004</v>
      </c>
      <c r="L2055" s="8">
        <f t="shared" ref="L2055:L2065" si="2993">+J2055-K2055</f>
        <v>4.9999999999999933E-2</v>
      </c>
      <c r="M2055" s="24">
        <f t="shared" si="2977"/>
        <v>1.3192612137203151E-3</v>
      </c>
      <c r="N2055" s="14"/>
    </row>
    <row r="2056" spans="1:14" x14ac:dyDescent="0.25">
      <c r="A2056" s="20">
        <v>44606</v>
      </c>
      <c r="B2056" s="1">
        <f t="shared" ref="B2056" si="2994">B2054</f>
        <v>172</v>
      </c>
      <c r="C2056" s="1" t="s">
        <v>491</v>
      </c>
      <c r="D2056" s="1" t="s">
        <v>180</v>
      </c>
      <c r="E2056" s="26" t="e">
        <f>+#REF!</f>
        <v>#REF!</v>
      </c>
      <c r="F2056" s="26" t="e">
        <f>+#REF!</f>
        <v>#REF!</v>
      </c>
      <c r="G2056" s="17">
        <v>3</v>
      </c>
      <c r="H2056" s="17" t="s">
        <v>9</v>
      </c>
      <c r="I2056" s="30" t="s">
        <v>58</v>
      </c>
      <c r="J2056" s="22">
        <v>0.55000000000000004</v>
      </c>
      <c r="K2056" s="22">
        <v>0.5</v>
      </c>
      <c r="L2056" s="8">
        <f t="shared" si="2993"/>
        <v>5.0000000000000044E-2</v>
      </c>
      <c r="M2056" s="24">
        <f t="shared" si="2977"/>
        <v>1.3192612137203181E-3</v>
      </c>
      <c r="N2056" s="14"/>
    </row>
    <row r="2057" spans="1:14" x14ac:dyDescent="0.25">
      <c r="A2057" s="20">
        <v>44606</v>
      </c>
      <c r="B2057" s="1">
        <f t="shared" ref="B2057" si="2995">B2054</f>
        <v>172</v>
      </c>
      <c r="C2057" s="1" t="s">
        <v>491</v>
      </c>
      <c r="D2057" s="1" t="s">
        <v>180</v>
      </c>
      <c r="E2057" s="26" t="e">
        <f t="shared" ref="E2057:F2057" si="2996">+E2056</f>
        <v>#REF!</v>
      </c>
      <c r="F2057" s="26" t="e">
        <f t="shared" si="2996"/>
        <v>#REF!</v>
      </c>
      <c r="G2057" s="17">
        <v>4</v>
      </c>
      <c r="H2057" s="17" t="s">
        <v>9</v>
      </c>
      <c r="I2057" s="30" t="s">
        <v>22</v>
      </c>
      <c r="J2057" s="22">
        <v>0.6</v>
      </c>
      <c r="K2057" s="22">
        <v>0.55000000000000004</v>
      </c>
      <c r="L2057" s="8">
        <f t="shared" si="2993"/>
        <v>4.9999999999999933E-2</v>
      </c>
      <c r="M2057" s="24">
        <f t="shared" si="2977"/>
        <v>1.3192612137203151E-3</v>
      </c>
      <c r="N2057" s="14"/>
    </row>
    <row r="2058" spans="1:14" x14ac:dyDescent="0.25">
      <c r="A2058" s="20">
        <v>44606</v>
      </c>
      <c r="B2058" s="1">
        <f t="shared" ref="B2058" si="2997">B2054</f>
        <v>172</v>
      </c>
      <c r="C2058" s="1" t="s">
        <v>491</v>
      </c>
      <c r="D2058" s="1" t="s">
        <v>180</v>
      </c>
      <c r="E2058" s="26" t="e">
        <f t="shared" ref="E2058:F2058" si="2998">+E2057</f>
        <v>#REF!</v>
      </c>
      <c r="F2058" s="26" t="e">
        <f t="shared" si="2998"/>
        <v>#REF!</v>
      </c>
      <c r="G2058" s="17">
        <v>5</v>
      </c>
      <c r="H2058" s="17" t="s">
        <v>9</v>
      </c>
      <c r="I2058" s="30" t="s">
        <v>34</v>
      </c>
      <c r="J2058" s="22">
        <v>0.6</v>
      </c>
      <c r="K2058" s="63">
        <v>0.55000000000000004</v>
      </c>
      <c r="L2058" s="8">
        <f t="shared" si="2993"/>
        <v>4.9999999999999933E-2</v>
      </c>
      <c r="M2058" s="24">
        <f t="shared" si="2977"/>
        <v>1.3192612137203151E-3</v>
      </c>
      <c r="N2058" s="14"/>
    </row>
    <row r="2059" spans="1:14" x14ac:dyDescent="0.25">
      <c r="A2059" s="20">
        <v>44606</v>
      </c>
      <c r="B2059" s="1">
        <f t="shared" ref="B2059" si="2999">B2054</f>
        <v>172</v>
      </c>
      <c r="C2059" s="1" t="s">
        <v>491</v>
      </c>
      <c r="D2059" s="1" t="s">
        <v>180</v>
      </c>
      <c r="E2059" s="26" t="e">
        <f t="shared" ref="E2059:F2059" si="3000">+E2058</f>
        <v>#REF!</v>
      </c>
      <c r="F2059" s="26" t="e">
        <f t="shared" si="3000"/>
        <v>#REF!</v>
      </c>
      <c r="G2059" s="17">
        <v>6</v>
      </c>
      <c r="H2059" s="17" t="s">
        <v>9</v>
      </c>
      <c r="I2059" s="30" t="s">
        <v>35</v>
      </c>
      <c r="J2059" s="22"/>
      <c r="K2059" s="22"/>
      <c r="L2059" s="8">
        <f t="shared" si="2993"/>
        <v>0</v>
      </c>
      <c r="M2059" s="24">
        <f t="shared" si="2977"/>
        <v>0</v>
      </c>
      <c r="N2059" s="14"/>
    </row>
    <row r="2060" spans="1:14" x14ac:dyDescent="0.25">
      <c r="A2060" s="20">
        <v>44606</v>
      </c>
      <c r="B2060" s="1">
        <f t="shared" ref="B2060" si="3001">B2054</f>
        <v>172</v>
      </c>
      <c r="C2060" s="1" t="s">
        <v>491</v>
      </c>
      <c r="D2060" s="1" t="s">
        <v>180</v>
      </c>
      <c r="E2060" s="26" t="e">
        <f t="shared" ref="E2060:F2060" si="3002">+E2059</f>
        <v>#REF!</v>
      </c>
      <c r="F2060" s="26" t="e">
        <f t="shared" si="3002"/>
        <v>#REF!</v>
      </c>
      <c r="G2060" s="17">
        <v>7</v>
      </c>
      <c r="H2060" s="17" t="s">
        <v>9</v>
      </c>
      <c r="I2060" s="30" t="s">
        <v>36</v>
      </c>
      <c r="J2060" s="22"/>
      <c r="K2060" s="22"/>
      <c r="L2060" s="8">
        <f t="shared" si="2993"/>
        <v>0</v>
      </c>
      <c r="M2060" s="24">
        <f t="shared" si="2977"/>
        <v>0</v>
      </c>
      <c r="N2060" s="14"/>
    </row>
    <row r="2061" spans="1:14" x14ac:dyDescent="0.25">
      <c r="A2061" s="20">
        <v>44606</v>
      </c>
      <c r="B2061" s="1">
        <f t="shared" ref="B2061" si="3003">B2054</f>
        <v>172</v>
      </c>
      <c r="C2061" s="1" t="s">
        <v>491</v>
      </c>
      <c r="D2061" s="1" t="s">
        <v>180</v>
      </c>
      <c r="E2061" s="26" t="e">
        <f>+E2060</f>
        <v>#REF!</v>
      </c>
      <c r="F2061" s="26" t="e">
        <f>+F2060</f>
        <v>#REF!</v>
      </c>
      <c r="G2061" s="17">
        <v>8</v>
      </c>
      <c r="H2061" s="17" t="s">
        <v>9</v>
      </c>
      <c r="I2061" s="30" t="s">
        <v>59</v>
      </c>
      <c r="J2061" s="22">
        <f>11.65+18.45+14+21.45</f>
        <v>65.55</v>
      </c>
      <c r="K2061" s="22">
        <f>8.55+8.3+8.55+8.55</f>
        <v>33.950000000000003</v>
      </c>
      <c r="L2061" s="8">
        <f t="shared" si="2993"/>
        <v>31.599999999999994</v>
      </c>
      <c r="M2061" s="24">
        <f t="shared" si="2977"/>
        <v>0.83377308707124009</v>
      </c>
      <c r="N2061" s="14"/>
    </row>
    <row r="2062" spans="1:14" x14ac:dyDescent="0.25">
      <c r="A2062" s="20">
        <v>44606</v>
      </c>
      <c r="B2062" s="1">
        <f t="shared" ref="B2062" si="3004">B2054</f>
        <v>172</v>
      </c>
      <c r="C2062" s="1" t="s">
        <v>491</v>
      </c>
      <c r="D2062" s="1" t="s">
        <v>180</v>
      </c>
      <c r="E2062" s="26" t="e">
        <f t="shared" ref="E2062:F2062" si="3005">+E2061</f>
        <v>#REF!</v>
      </c>
      <c r="F2062" s="26" t="e">
        <f t="shared" si="3005"/>
        <v>#REF!</v>
      </c>
      <c r="G2062" s="17">
        <v>9</v>
      </c>
      <c r="H2062" s="17" t="s">
        <v>9</v>
      </c>
      <c r="I2062" s="30" t="s">
        <v>38</v>
      </c>
      <c r="J2062" s="22"/>
      <c r="K2062" s="22"/>
      <c r="L2062" s="8">
        <f t="shared" si="2993"/>
        <v>0</v>
      </c>
      <c r="M2062" s="24">
        <f t="shared" si="2977"/>
        <v>0</v>
      </c>
      <c r="N2062" s="14"/>
    </row>
    <row r="2063" spans="1:14" x14ac:dyDescent="0.25">
      <c r="A2063" s="20">
        <v>44606</v>
      </c>
      <c r="B2063" s="1">
        <f t="shared" ref="B2063" si="3006">B2054</f>
        <v>172</v>
      </c>
      <c r="C2063" s="1" t="s">
        <v>491</v>
      </c>
      <c r="D2063" s="1" t="s">
        <v>180</v>
      </c>
      <c r="E2063" s="26" t="e">
        <f t="shared" ref="E2063:F2063" si="3007">+E2062</f>
        <v>#REF!</v>
      </c>
      <c r="F2063" s="26" t="e">
        <f t="shared" si="3007"/>
        <v>#REF!</v>
      </c>
      <c r="G2063" s="17">
        <v>10</v>
      </c>
      <c r="H2063" s="17" t="s">
        <v>9</v>
      </c>
      <c r="I2063" s="30" t="s">
        <v>23</v>
      </c>
      <c r="J2063" s="22">
        <v>13</v>
      </c>
      <c r="K2063" s="22">
        <v>8.5500000000000007</v>
      </c>
      <c r="L2063" s="8">
        <f t="shared" si="2993"/>
        <v>4.4499999999999993</v>
      </c>
      <c r="M2063" s="24">
        <f t="shared" si="2977"/>
        <v>0.11741424802110818</v>
      </c>
      <c r="N2063" s="14"/>
    </row>
    <row r="2064" spans="1:14" x14ac:dyDescent="0.25">
      <c r="A2064" s="20">
        <v>44606</v>
      </c>
      <c r="B2064" s="1">
        <f t="shared" ref="B2064" si="3008">B2054</f>
        <v>172</v>
      </c>
      <c r="C2064" s="1" t="s">
        <v>491</v>
      </c>
      <c r="D2064" s="1" t="s">
        <v>180</v>
      </c>
      <c r="E2064" s="26" t="e">
        <f t="shared" ref="E2064:F2064" si="3009">+E2063</f>
        <v>#REF!</v>
      </c>
      <c r="F2064" s="26" t="e">
        <f t="shared" si="3009"/>
        <v>#REF!</v>
      </c>
      <c r="G2064" s="17">
        <v>11</v>
      </c>
      <c r="H2064" s="17" t="s">
        <v>9</v>
      </c>
      <c r="I2064" s="30" t="s">
        <v>60</v>
      </c>
      <c r="J2064" s="22">
        <v>0.6</v>
      </c>
      <c r="K2064" s="22">
        <v>0.5</v>
      </c>
      <c r="L2064" s="8">
        <f t="shared" si="2993"/>
        <v>9.9999999999999978E-2</v>
      </c>
      <c r="M2064" s="24">
        <f t="shared" si="2977"/>
        <v>2.6385224274406332E-3</v>
      </c>
      <c r="N2064" s="14"/>
    </row>
    <row r="2065" spans="1:14" ht="15.75" thickBot="1" x14ac:dyDescent="0.3">
      <c r="A2065" s="20">
        <v>44606</v>
      </c>
      <c r="B2065" s="57">
        <f t="shared" ref="B2065" si="3010">B2054</f>
        <v>172</v>
      </c>
      <c r="C2065" s="1" t="s">
        <v>491</v>
      </c>
      <c r="D2065" s="1" t="s">
        <v>180</v>
      </c>
      <c r="E2065" s="26" t="e">
        <f t="shared" ref="E2065:F2065" si="3011">+E2064</f>
        <v>#REF!</v>
      </c>
      <c r="F2065" s="26" t="e">
        <f t="shared" si="3011"/>
        <v>#REF!</v>
      </c>
      <c r="G2065" s="18">
        <f>+G2064+1</f>
        <v>12</v>
      </c>
      <c r="H2065" s="18" t="s">
        <v>10</v>
      </c>
      <c r="I2065" s="46" t="s">
        <v>10</v>
      </c>
      <c r="J2065" s="22">
        <f>1.5+1.1</f>
        <v>2.6</v>
      </c>
      <c r="K2065" s="63">
        <f>0.5+0.55</f>
        <v>1.05</v>
      </c>
      <c r="L2065" s="8">
        <f t="shared" si="2993"/>
        <v>1.55</v>
      </c>
      <c r="M2065" s="24">
        <f t="shared" si="2977"/>
        <v>4.0897097625329823E-2</v>
      </c>
      <c r="N2065" s="14"/>
    </row>
    <row r="2066" spans="1:14" x14ac:dyDescent="0.25">
      <c r="A2066" s="19">
        <v>44606</v>
      </c>
      <c r="B2066" s="15">
        <f t="shared" ref="B2066" si="3012">B2054+1</f>
        <v>173</v>
      </c>
      <c r="C2066" s="15" t="s">
        <v>492</v>
      </c>
      <c r="D2066" s="15" t="s">
        <v>180</v>
      </c>
      <c r="E2066" s="25">
        <f>39-1.2</f>
        <v>37.799999999999997</v>
      </c>
      <c r="F2066" s="25">
        <f>+SUM(L2066:L2077)</f>
        <v>38.049999999999997</v>
      </c>
      <c r="G2066" s="16">
        <v>1</v>
      </c>
      <c r="H2066" s="16" t="s">
        <v>9</v>
      </c>
      <c r="I2066" s="59" t="s">
        <v>56</v>
      </c>
      <c r="J2066" s="21"/>
      <c r="K2066" s="21"/>
      <c r="L2066" s="12">
        <f>+J2066-K2066</f>
        <v>0</v>
      </c>
      <c r="M2066" s="23">
        <f t="shared" si="2977"/>
        <v>0</v>
      </c>
      <c r="N2066" s="13"/>
    </row>
    <row r="2067" spans="1:14" x14ac:dyDescent="0.25">
      <c r="A2067" s="20">
        <v>44606</v>
      </c>
      <c r="B2067" s="1">
        <f t="shared" ref="B2067" si="3013">B2066</f>
        <v>173</v>
      </c>
      <c r="C2067" s="1" t="s">
        <v>492</v>
      </c>
      <c r="D2067" s="1" t="s">
        <v>180</v>
      </c>
      <c r="E2067" s="26">
        <f>+E2066</f>
        <v>37.799999999999997</v>
      </c>
      <c r="F2067" s="28">
        <f>+(F2066-E2066)/E2066</f>
        <v>6.6137566137566143E-3</v>
      </c>
      <c r="G2067" s="17">
        <v>2</v>
      </c>
      <c r="H2067" s="17" t="s">
        <v>9</v>
      </c>
      <c r="I2067" s="30" t="s">
        <v>57</v>
      </c>
      <c r="J2067" s="22">
        <v>0.6</v>
      </c>
      <c r="K2067" s="22">
        <v>0.55000000000000004</v>
      </c>
      <c r="L2067" s="8">
        <f t="shared" ref="L2067:L2077" si="3014">+J2067-K2067</f>
        <v>4.9999999999999933E-2</v>
      </c>
      <c r="M2067" s="24">
        <f t="shared" si="2977"/>
        <v>1.3140604467805502E-3</v>
      </c>
      <c r="N2067" s="14"/>
    </row>
    <row r="2068" spans="1:14" x14ac:dyDescent="0.25">
      <c r="A2068" s="20">
        <v>44606</v>
      </c>
      <c r="B2068" s="1">
        <f t="shared" ref="B2068" si="3015">B2066</f>
        <v>173</v>
      </c>
      <c r="C2068" s="1" t="s">
        <v>492</v>
      </c>
      <c r="D2068" s="1" t="s">
        <v>180</v>
      </c>
      <c r="E2068" s="26" t="e">
        <f>+#REF!</f>
        <v>#REF!</v>
      </c>
      <c r="F2068" s="26" t="e">
        <f>+#REF!</f>
        <v>#REF!</v>
      </c>
      <c r="G2068" s="17">
        <v>3</v>
      </c>
      <c r="H2068" s="17" t="s">
        <v>9</v>
      </c>
      <c r="I2068" s="30" t="s">
        <v>58</v>
      </c>
      <c r="J2068" s="22">
        <v>0.55000000000000004</v>
      </c>
      <c r="K2068" s="22">
        <v>0.5</v>
      </c>
      <c r="L2068" s="8">
        <f t="shared" si="3014"/>
        <v>5.0000000000000044E-2</v>
      </c>
      <c r="M2068" s="24">
        <f t="shared" si="2977"/>
        <v>1.3140604467805532E-3</v>
      </c>
      <c r="N2068" s="14"/>
    </row>
    <row r="2069" spans="1:14" x14ac:dyDescent="0.25">
      <c r="A2069" s="20">
        <v>44606</v>
      </c>
      <c r="B2069" s="1">
        <f t="shared" ref="B2069" si="3016">B2066</f>
        <v>173</v>
      </c>
      <c r="C2069" s="1" t="s">
        <v>492</v>
      </c>
      <c r="D2069" s="1" t="s">
        <v>180</v>
      </c>
      <c r="E2069" s="26" t="e">
        <f t="shared" ref="E2069:F2069" si="3017">+E2068</f>
        <v>#REF!</v>
      </c>
      <c r="F2069" s="26" t="e">
        <f t="shared" si="3017"/>
        <v>#REF!</v>
      </c>
      <c r="G2069" s="17">
        <v>4</v>
      </c>
      <c r="H2069" s="17" t="s">
        <v>9</v>
      </c>
      <c r="I2069" s="30" t="s">
        <v>22</v>
      </c>
      <c r="J2069" s="22">
        <v>0.7</v>
      </c>
      <c r="K2069" s="22">
        <v>0.55000000000000004</v>
      </c>
      <c r="L2069" s="8">
        <f t="shared" si="3014"/>
        <v>0.14999999999999991</v>
      </c>
      <c r="M2069" s="24">
        <f t="shared" si="2977"/>
        <v>3.9421813403416536E-3</v>
      </c>
      <c r="N2069" s="14"/>
    </row>
    <row r="2070" spans="1:14" x14ac:dyDescent="0.25">
      <c r="A2070" s="20">
        <v>44606</v>
      </c>
      <c r="B2070" s="1">
        <f t="shared" ref="B2070" si="3018">B2066</f>
        <v>173</v>
      </c>
      <c r="C2070" s="1" t="s">
        <v>492</v>
      </c>
      <c r="D2070" s="1" t="s">
        <v>180</v>
      </c>
      <c r="E2070" s="26" t="e">
        <f t="shared" ref="E2070:F2070" si="3019">+E2069</f>
        <v>#REF!</v>
      </c>
      <c r="F2070" s="26" t="e">
        <f t="shared" si="3019"/>
        <v>#REF!</v>
      </c>
      <c r="G2070" s="17">
        <v>5</v>
      </c>
      <c r="H2070" s="17" t="s">
        <v>9</v>
      </c>
      <c r="I2070" s="30" t="s">
        <v>34</v>
      </c>
      <c r="J2070" s="22"/>
      <c r="K2070" s="63"/>
      <c r="L2070" s="8">
        <f t="shared" si="3014"/>
        <v>0</v>
      </c>
      <c r="M2070" s="24">
        <f t="shared" si="2977"/>
        <v>0</v>
      </c>
      <c r="N2070" s="14"/>
    </row>
    <row r="2071" spans="1:14" x14ac:dyDescent="0.25">
      <c r="A2071" s="20">
        <v>44606</v>
      </c>
      <c r="B2071" s="1">
        <f t="shared" ref="B2071" si="3020">B2066</f>
        <v>173</v>
      </c>
      <c r="C2071" s="1" t="s">
        <v>492</v>
      </c>
      <c r="D2071" s="1" t="s">
        <v>180</v>
      </c>
      <c r="E2071" s="26" t="e">
        <f t="shared" ref="E2071:F2071" si="3021">+E2070</f>
        <v>#REF!</v>
      </c>
      <c r="F2071" s="26" t="e">
        <f t="shared" si="3021"/>
        <v>#REF!</v>
      </c>
      <c r="G2071" s="17">
        <v>6</v>
      </c>
      <c r="H2071" s="17" t="s">
        <v>9</v>
      </c>
      <c r="I2071" s="30" t="s">
        <v>35</v>
      </c>
      <c r="J2071" s="22"/>
      <c r="K2071" s="22"/>
      <c r="L2071" s="8">
        <f t="shared" si="3014"/>
        <v>0</v>
      </c>
      <c r="M2071" s="24">
        <f t="shared" si="2977"/>
        <v>0</v>
      </c>
      <c r="N2071" s="14"/>
    </row>
    <row r="2072" spans="1:14" x14ac:dyDescent="0.25">
      <c r="A2072" s="20">
        <v>44606</v>
      </c>
      <c r="B2072" s="1">
        <f t="shared" ref="B2072" si="3022">B2066</f>
        <v>173</v>
      </c>
      <c r="C2072" s="1" t="s">
        <v>492</v>
      </c>
      <c r="D2072" s="1" t="s">
        <v>180</v>
      </c>
      <c r="E2072" s="26" t="e">
        <f t="shared" ref="E2072:F2072" si="3023">+E2071</f>
        <v>#REF!</v>
      </c>
      <c r="F2072" s="26" t="e">
        <f t="shared" si="3023"/>
        <v>#REF!</v>
      </c>
      <c r="G2072" s="17">
        <v>7</v>
      </c>
      <c r="H2072" s="17" t="s">
        <v>9</v>
      </c>
      <c r="I2072" s="30" t="s">
        <v>36</v>
      </c>
      <c r="J2072" s="22"/>
      <c r="K2072" s="22"/>
      <c r="L2072" s="8">
        <f t="shared" si="3014"/>
        <v>0</v>
      </c>
      <c r="M2072" s="24">
        <f t="shared" si="2977"/>
        <v>0</v>
      </c>
      <c r="N2072" s="14"/>
    </row>
    <row r="2073" spans="1:14" x14ac:dyDescent="0.25">
      <c r="A2073" s="20">
        <v>44606</v>
      </c>
      <c r="B2073" s="1">
        <f t="shared" ref="B2073" si="3024">B2066</f>
        <v>173</v>
      </c>
      <c r="C2073" s="1" t="s">
        <v>492</v>
      </c>
      <c r="D2073" s="1" t="s">
        <v>180</v>
      </c>
      <c r="E2073" s="26" t="e">
        <f>+E2072</f>
        <v>#REF!</v>
      </c>
      <c r="F2073" s="26" t="e">
        <f>+F2072</f>
        <v>#REF!</v>
      </c>
      <c r="G2073" s="17">
        <v>8</v>
      </c>
      <c r="H2073" s="17" t="s">
        <v>9</v>
      </c>
      <c r="I2073" s="30" t="s">
        <v>59</v>
      </c>
      <c r="J2073" s="22">
        <f>11.3+16.9+18.75+18.75</f>
        <v>65.7</v>
      </c>
      <c r="K2073" s="22">
        <f>8.55+8.3+8.55+8.55</f>
        <v>33.950000000000003</v>
      </c>
      <c r="L2073" s="8">
        <f t="shared" si="3014"/>
        <v>31.75</v>
      </c>
      <c r="M2073" s="24">
        <f t="shared" si="2977"/>
        <v>0.83442838370565053</v>
      </c>
      <c r="N2073" s="14"/>
    </row>
    <row r="2074" spans="1:14" x14ac:dyDescent="0.25">
      <c r="A2074" s="20">
        <v>44606</v>
      </c>
      <c r="B2074" s="1">
        <f t="shared" ref="B2074" si="3025">B2066</f>
        <v>173</v>
      </c>
      <c r="C2074" s="1" t="s">
        <v>492</v>
      </c>
      <c r="D2074" s="1" t="s">
        <v>180</v>
      </c>
      <c r="E2074" s="26" t="e">
        <f t="shared" ref="E2074:F2074" si="3026">+E2073</f>
        <v>#REF!</v>
      </c>
      <c r="F2074" s="26" t="e">
        <f t="shared" si="3026"/>
        <v>#REF!</v>
      </c>
      <c r="G2074" s="17">
        <v>9</v>
      </c>
      <c r="H2074" s="17" t="s">
        <v>9</v>
      </c>
      <c r="I2074" s="30" t="s">
        <v>38</v>
      </c>
      <c r="J2074" s="22"/>
      <c r="K2074" s="22"/>
      <c r="L2074" s="8">
        <f t="shared" si="3014"/>
        <v>0</v>
      </c>
      <c r="M2074" s="24">
        <f t="shared" si="2977"/>
        <v>0</v>
      </c>
      <c r="N2074" s="14"/>
    </row>
    <row r="2075" spans="1:14" x14ac:dyDescent="0.25">
      <c r="A2075" s="20">
        <v>44606</v>
      </c>
      <c r="B2075" s="1">
        <f t="shared" ref="B2075" si="3027">B2066</f>
        <v>173</v>
      </c>
      <c r="C2075" s="1" t="s">
        <v>492</v>
      </c>
      <c r="D2075" s="1" t="s">
        <v>180</v>
      </c>
      <c r="E2075" s="26" t="e">
        <f t="shared" ref="E2075:F2075" si="3028">+E2074</f>
        <v>#REF!</v>
      </c>
      <c r="F2075" s="26" t="e">
        <f t="shared" si="3028"/>
        <v>#REF!</v>
      </c>
      <c r="G2075" s="17">
        <v>10</v>
      </c>
      <c r="H2075" s="17" t="s">
        <v>9</v>
      </c>
      <c r="I2075" s="30" t="s">
        <v>23</v>
      </c>
      <c r="J2075" s="22">
        <v>13.3</v>
      </c>
      <c r="K2075" s="22">
        <v>8.5</v>
      </c>
      <c r="L2075" s="8">
        <f t="shared" si="3014"/>
        <v>4.8000000000000007</v>
      </c>
      <c r="M2075" s="24">
        <f t="shared" si="2977"/>
        <v>0.126149802890933</v>
      </c>
      <c r="N2075" s="14"/>
    </row>
    <row r="2076" spans="1:14" x14ac:dyDescent="0.25">
      <c r="A2076" s="20">
        <v>44606</v>
      </c>
      <c r="B2076" s="1">
        <f t="shared" ref="B2076" si="3029">B2066</f>
        <v>173</v>
      </c>
      <c r="C2076" s="1" t="s">
        <v>492</v>
      </c>
      <c r="D2076" s="1" t="s">
        <v>180</v>
      </c>
      <c r="E2076" s="26" t="e">
        <f t="shared" ref="E2076:F2076" si="3030">+E2075</f>
        <v>#REF!</v>
      </c>
      <c r="F2076" s="26" t="e">
        <f t="shared" si="3030"/>
        <v>#REF!</v>
      </c>
      <c r="G2076" s="17">
        <v>11</v>
      </c>
      <c r="H2076" s="17" t="s">
        <v>9</v>
      </c>
      <c r="I2076" s="30" t="s">
        <v>60</v>
      </c>
      <c r="J2076" s="22"/>
      <c r="K2076" s="22"/>
      <c r="L2076" s="8">
        <f t="shared" si="3014"/>
        <v>0</v>
      </c>
      <c r="M2076" s="24">
        <f t="shared" si="2977"/>
        <v>0</v>
      </c>
      <c r="N2076" s="14"/>
    </row>
    <row r="2077" spans="1:14" ht="15.75" thickBot="1" x14ac:dyDescent="0.3">
      <c r="A2077" s="20">
        <v>44606</v>
      </c>
      <c r="B2077" s="57">
        <f t="shared" ref="B2077" si="3031">B2066</f>
        <v>173</v>
      </c>
      <c r="C2077" s="1" t="s">
        <v>492</v>
      </c>
      <c r="D2077" s="1" t="s">
        <v>180</v>
      </c>
      <c r="E2077" s="26" t="e">
        <f t="shared" ref="E2077:F2077" si="3032">+E2076</f>
        <v>#REF!</v>
      </c>
      <c r="F2077" s="26" t="e">
        <f t="shared" si="3032"/>
        <v>#REF!</v>
      </c>
      <c r="G2077" s="18">
        <f>+G2076+1</f>
        <v>12</v>
      </c>
      <c r="H2077" s="18" t="s">
        <v>10</v>
      </c>
      <c r="I2077" s="46" t="s">
        <v>10</v>
      </c>
      <c r="J2077" s="22">
        <f>9.8</f>
        <v>9.8000000000000007</v>
      </c>
      <c r="K2077" s="63">
        <f>8.55</f>
        <v>8.5500000000000007</v>
      </c>
      <c r="L2077" s="8">
        <f t="shared" si="3014"/>
        <v>1.25</v>
      </c>
      <c r="M2077" s="24">
        <f t="shared" si="2977"/>
        <v>3.2851511169513799E-2</v>
      </c>
      <c r="N2077" s="14"/>
    </row>
    <row r="2078" spans="1:14" x14ac:dyDescent="0.25">
      <c r="A2078" s="19">
        <v>44606</v>
      </c>
      <c r="B2078" s="15">
        <f t="shared" ref="B2078" si="3033">B2066+1</f>
        <v>174</v>
      </c>
      <c r="C2078" s="15" t="s">
        <v>493</v>
      </c>
      <c r="D2078" s="15" t="s">
        <v>179</v>
      </c>
      <c r="E2078" s="25">
        <f>35.6-1.2</f>
        <v>34.4</v>
      </c>
      <c r="F2078" s="25">
        <f>+SUM(L2078:L2089)</f>
        <v>34.599999999999994</v>
      </c>
      <c r="G2078" s="16">
        <v>1</v>
      </c>
      <c r="H2078" s="16" t="s">
        <v>9</v>
      </c>
      <c r="I2078" s="59" t="s">
        <v>56</v>
      </c>
      <c r="J2078" s="21"/>
      <c r="K2078" s="21"/>
      <c r="L2078" s="12">
        <f>+J2078-K2078</f>
        <v>0</v>
      </c>
      <c r="M2078" s="23">
        <f t="shared" si="2977"/>
        <v>0</v>
      </c>
      <c r="N2078" s="13"/>
    </row>
    <row r="2079" spans="1:14" x14ac:dyDescent="0.25">
      <c r="A2079" s="20">
        <v>44606</v>
      </c>
      <c r="B2079" s="1">
        <f t="shared" ref="B2079" si="3034">B2078</f>
        <v>174</v>
      </c>
      <c r="C2079" s="1" t="s">
        <v>493</v>
      </c>
      <c r="D2079" s="1" t="s">
        <v>179</v>
      </c>
      <c r="E2079" s="26">
        <f>+E2078</f>
        <v>34.4</v>
      </c>
      <c r="F2079" s="28">
        <f>+(F2078-E2078)/E2078</f>
        <v>5.8139534883719689E-3</v>
      </c>
      <c r="G2079" s="17">
        <v>2</v>
      </c>
      <c r="H2079" s="17" t="s">
        <v>9</v>
      </c>
      <c r="I2079" s="30" t="s">
        <v>57</v>
      </c>
      <c r="J2079" s="22">
        <v>1.05</v>
      </c>
      <c r="K2079" s="22">
        <v>0.55000000000000004</v>
      </c>
      <c r="L2079" s="8">
        <f t="shared" ref="L2079:L2089" si="3035">+J2079-K2079</f>
        <v>0.5</v>
      </c>
      <c r="M2079" s="24">
        <f t="shared" si="2977"/>
        <v>1.4450867052023125E-2</v>
      </c>
      <c r="N2079" s="14"/>
    </row>
    <row r="2080" spans="1:14" x14ac:dyDescent="0.25">
      <c r="A2080" s="20">
        <v>44606</v>
      </c>
      <c r="B2080" s="1">
        <f t="shared" ref="B2080" si="3036">B2078</f>
        <v>174</v>
      </c>
      <c r="C2080" s="1" t="s">
        <v>493</v>
      </c>
      <c r="D2080" s="1" t="s">
        <v>179</v>
      </c>
      <c r="E2080" s="26" t="e">
        <f>+#REF!</f>
        <v>#REF!</v>
      </c>
      <c r="F2080" s="26" t="e">
        <f>+#REF!</f>
        <v>#REF!</v>
      </c>
      <c r="G2080" s="17">
        <v>3</v>
      </c>
      <c r="H2080" s="17" t="s">
        <v>9</v>
      </c>
      <c r="I2080" s="30" t="s">
        <v>58</v>
      </c>
      <c r="J2080" s="22">
        <v>0.95</v>
      </c>
      <c r="K2080" s="22">
        <v>0.55000000000000004</v>
      </c>
      <c r="L2080" s="8">
        <f t="shared" si="3035"/>
        <v>0.39999999999999991</v>
      </c>
      <c r="M2080" s="24">
        <f t="shared" si="2977"/>
        <v>1.1560693641618497E-2</v>
      </c>
      <c r="N2080" s="14"/>
    </row>
    <row r="2081" spans="1:14" x14ac:dyDescent="0.25">
      <c r="A2081" s="20">
        <v>44606</v>
      </c>
      <c r="B2081" s="1">
        <f t="shared" ref="B2081" si="3037">B2078</f>
        <v>174</v>
      </c>
      <c r="C2081" s="1" t="s">
        <v>493</v>
      </c>
      <c r="D2081" s="1" t="s">
        <v>179</v>
      </c>
      <c r="E2081" s="26" t="e">
        <f t="shared" ref="E2081:F2081" si="3038">+E2080</f>
        <v>#REF!</v>
      </c>
      <c r="F2081" s="26" t="e">
        <f t="shared" si="3038"/>
        <v>#REF!</v>
      </c>
      <c r="G2081" s="17">
        <v>4</v>
      </c>
      <c r="H2081" s="17" t="s">
        <v>9</v>
      </c>
      <c r="I2081" s="30" t="s">
        <v>22</v>
      </c>
      <c r="J2081" s="22">
        <v>0.65</v>
      </c>
      <c r="K2081" s="22">
        <v>0.55000000000000004</v>
      </c>
      <c r="L2081" s="8">
        <f t="shared" si="3035"/>
        <v>9.9999999999999978E-2</v>
      </c>
      <c r="M2081" s="24">
        <f t="shared" si="2977"/>
        <v>2.8901734104046241E-3</v>
      </c>
      <c r="N2081" s="14"/>
    </row>
    <row r="2082" spans="1:14" x14ac:dyDescent="0.25">
      <c r="A2082" s="20">
        <v>44606</v>
      </c>
      <c r="B2082" s="1">
        <f t="shared" ref="B2082" si="3039">B2078</f>
        <v>174</v>
      </c>
      <c r="C2082" s="1" t="s">
        <v>493</v>
      </c>
      <c r="D2082" s="1" t="s">
        <v>179</v>
      </c>
      <c r="E2082" s="26" t="e">
        <f t="shared" ref="E2082:F2082" si="3040">+E2081</f>
        <v>#REF!</v>
      </c>
      <c r="F2082" s="26" t="e">
        <f t="shared" si="3040"/>
        <v>#REF!</v>
      </c>
      <c r="G2082" s="17">
        <v>5</v>
      </c>
      <c r="H2082" s="17" t="s">
        <v>9</v>
      </c>
      <c r="I2082" s="30" t="s">
        <v>34</v>
      </c>
      <c r="J2082" s="22">
        <v>1.25</v>
      </c>
      <c r="K2082" s="63">
        <v>0.55000000000000004</v>
      </c>
      <c r="L2082" s="8">
        <f t="shared" si="3035"/>
        <v>0.7</v>
      </c>
      <c r="M2082" s="24">
        <f t="shared" si="2977"/>
        <v>2.0231213872832374E-2</v>
      </c>
      <c r="N2082" s="14"/>
    </row>
    <row r="2083" spans="1:14" x14ac:dyDescent="0.25">
      <c r="A2083" s="20">
        <v>44606</v>
      </c>
      <c r="B2083" s="1">
        <f t="shared" ref="B2083" si="3041">B2078</f>
        <v>174</v>
      </c>
      <c r="C2083" s="1" t="s">
        <v>493</v>
      </c>
      <c r="D2083" s="1" t="s">
        <v>179</v>
      </c>
      <c r="E2083" s="26" t="e">
        <f t="shared" ref="E2083:F2083" si="3042">+E2082</f>
        <v>#REF!</v>
      </c>
      <c r="F2083" s="26" t="e">
        <f t="shared" si="3042"/>
        <v>#REF!</v>
      </c>
      <c r="G2083" s="17">
        <v>6</v>
      </c>
      <c r="H2083" s="17" t="s">
        <v>9</v>
      </c>
      <c r="I2083" s="30" t="s">
        <v>35</v>
      </c>
      <c r="J2083" s="22"/>
      <c r="K2083" s="22"/>
      <c r="L2083" s="8">
        <f t="shared" si="3035"/>
        <v>0</v>
      </c>
      <c r="M2083" s="24">
        <f t="shared" si="2977"/>
        <v>0</v>
      </c>
      <c r="N2083" s="14"/>
    </row>
    <row r="2084" spans="1:14" x14ac:dyDescent="0.25">
      <c r="A2084" s="20">
        <v>44606</v>
      </c>
      <c r="B2084" s="1">
        <f t="shared" ref="B2084" si="3043">B2078</f>
        <v>174</v>
      </c>
      <c r="C2084" s="1" t="s">
        <v>493</v>
      </c>
      <c r="D2084" s="1" t="s">
        <v>179</v>
      </c>
      <c r="E2084" s="26" t="e">
        <f t="shared" ref="E2084:F2084" si="3044">+E2083</f>
        <v>#REF!</v>
      </c>
      <c r="F2084" s="26" t="e">
        <f t="shared" si="3044"/>
        <v>#REF!</v>
      </c>
      <c r="G2084" s="17">
        <v>7</v>
      </c>
      <c r="H2084" s="17" t="s">
        <v>9</v>
      </c>
      <c r="I2084" s="30" t="s">
        <v>36</v>
      </c>
      <c r="J2084" s="22">
        <v>23.9</v>
      </c>
      <c r="K2084" s="22">
        <v>6.1</v>
      </c>
      <c r="L2084" s="8">
        <f t="shared" si="3035"/>
        <v>17.799999999999997</v>
      </c>
      <c r="M2084" s="24">
        <f t="shared" si="2977"/>
        <v>0.51445086705202314</v>
      </c>
      <c r="N2084" s="14"/>
    </row>
    <row r="2085" spans="1:14" x14ac:dyDescent="0.25">
      <c r="A2085" s="20">
        <v>44606</v>
      </c>
      <c r="B2085" s="1">
        <f t="shared" ref="B2085" si="3045">B2078</f>
        <v>174</v>
      </c>
      <c r="C2085" s="1" t="s">
        <v>493</v>
      </c>
      <c r="D2085" s="1" t="s">
        <v>179</v>
      </c>
      <c r="E2085" s="26" t="e">
        <f>+E2084</f>
        <v>#REF!</v>
      </c>
      <c r="F2085" s="26" t="e">
        <f>+F2084</f>
        <v>#REF!</v>
      </c>
      <c r="G2085" s="17">
        <v>8</v>
      </c>
      <c r="H2085" s="17" t="s">
        <v>9</v>
      </c>
      <c r="I2085" s="30" t="s">
        <v>59</v>
      </c>
      <c r="J2085" s="22">
        <v>3.3</v>
      </c>
      <c r="K2085" s="22">
        <v>0.55000000000000004</v>
      </c>
      <c r="L2085" s="8">
        <f t="shared" si="3035"/>
        <v>2.75</v>
      </c>
      <c r="M2085" s="24">
        <f t="shared" si="2977"/>
        <v>7.9479768786127183E-2</v>
      </c>
      <c r="N2085" s="14"/>
    </row>
    <row r="2086" spans="1:14" x14ac:dyDescent="0.25">
      <c r="A2086" s="20">
        <v>44606</v>
      </c>
      <c r="B2086" s="1">
        <f t="shared" ref="B2086" si="3046">B2078</f>
        <v>174</v>
      </c>
      <c r="C2086" s="1" t="s">
        <v>493</v>
      </c>
      <c r="D2086" s="1" t="s">
        <v>179</v>
      </c>
      <c r="E2086" s="26" t="e">
        <f t="shared" ref="E2086:F2086" si="3047">+E2085</f>
        <v>#REF!</v>
      </c>
      <c r="F2086" s="26" t="e">
        <f t="shared" si="3047"/>
        <v>#REF!</v>
      </c>
      <c r="G2086" s="17">
        <v>9</v>
      </c>
      <c r="H2086" s="17" t="s">
        <v>9</v>
      </c>
      <c r="I2086" s="30" t="s">
        <v>38</v>
      </c>
      <c r="J2086" s="22"/>
      <c r="K2086" s="22"/>
      <c r="L2086" s="8">
        <f t="shared" si="3035"/>
        <v>0</v>
      </c>
      <c r="M2086" s="24">
        <f t="shared" si="2977"/>
        <v>0</v>
      </c>
      <c r="N2086" s="14"/>
    </row>
    <row r="2087" spans="1:14" x14ac:dyDescent="0.25">
      <c r="A2087" s="20">
        <v>44606</v>
      </c>
      <c r="B2087" s="1">
        <f t="shared" ref="B2087" si="3048">B2078</f>
        <v>174</v>
      </c>
      <c r="C2087" s="1" t="s">
        <v>493</v>
      </c>
      <c r="D2087" s="1" t="s">
        <v>179</v>
      </c>
      <c r="E2087" s="26" t="e">
        <f t="shared" ref="E2087:F2087" si="3049">+E2086</f>
        <v>#REF!</v>
      </c>
      <c r="F2087" s="26" t="e">
        <f t="shared" si="3049"/>
        <v>#REF!</v>
      </c>
      <c r="G2087" s="17">
        <v>10</v>
      </c>
      <c r="H2087" s="17" t="s">
        <v>9</v>
      </c>
      <c r="I2087" s="30" t="s">
        <v>23</v>
      </c>
      <c r="J2087" s="22">
        <f>11.1</f>
        <v>11.1</v>
      </c>
      <c r="K2087" s="22">
        <f>8.55</f>
        <v>8.5500000000000007</v>
      </c>
      <c r="L2087" s="8">
        <f t="shared" si="3035"/>
        <v>2.5499999999999989</v>
      </c>
      <c r="M2087" s="24">
        <f t="shared" si="2977"/>
        <v>7.3699421965317896E-2</v>
      </c>
      <c r="N2087" s="14"/>
    </row>
    <row r="2088" spans="1:14" x14ac:dyDescent="0.25">
      <c r="A2088" s="20">
        <v>44606</v>
      </c>
      <c r="B2088" s="1">
        <f t="shared" ref="B2088" si="3050">B2078</f>
        <v>174</v>
      </c>
      <c r="C2088" s="1" t="s">
        <v>493</v>
      </c>
      <c r="D2088" s="1" t="s">
        <v>179</v>
      </c>
      <c r="E2088" s="26" t="e">
        <f t="shared" ref="E2088:F2088" si="3051">+E2087</f>
        <v>#REF!</v>
      </c>
      <c r="F2088" s="26" t="e">
        <f t="shared" si="3051"/>
        <v>#REF!</v>
      </c>
      <c r="G2088" s="17">
        <v>11</v>
      </c>
      <c r="H2088" s="17" t="s">
        <v>9</v>
      </c>
      <c r="I2088" s="30" t="s">
        <v>60</v>
      </c>
      <c r="J2088" s="22">
        <v>0.55000000000000004</v>
      </c>
      <c r="K2088" s="22">
        <v>0.5</v>
      </c>
      <c r="L2088" s="8">
        <f t="shared" si="3035"/>
        <v>5.0000000000000044E-2</v>
      </c>
      <c r="M2088" s="24">
        <f t="shared" si="2977"/>
        <v>1.4450867052023136E-3</v>
      </c>
      <c r="N2088" s="14"/>
    </row>
    <row r="2089" spans="1:14" ht="15.75" thickBot="1" x14ac:dyDescent="0.3">
      <c r="A2089" s="20">
        <v>44606</v>
      </c>
      <c r="B2089" s="57">
        <f t="shared" ref="B2089" si="3052">B2078</f>
        <v>174</v>
      </c>
      <c r="C2089" s="1" t="s">
        <v>493</v>
      </c>
      <c r="D2089" s="1" t="s">
        <v>179</v>
      </c>
      <c r="E2089" s="26" t="e">
        <f t="shared" ref="E2089:F2089" si="3053">+E2088</f>
        <v>#REF!</v>
      </c>
      <c r="F2089" s="26" t="e">
        <f t="shared" si="3053"/>
        <v>#REF!</v>
      </c>
      <c r="G2089" s="18">
        <f>+G2088+1</f>
        <v>12</v>
      </c>
      <c r="H2089" s="18" t="s">
        <v>10</v>
      </c>
      <c r="I2089" s="46" t="s">
        <v>10</v>
      </c>
      <c r="J2089" s="22">
        <v>18.25</v>
      </c>
      <c r="K2089" s="63">
        <v>8.5</v>
      </c>
      <c r="L2089" s="8">
        <f t="shared" si="3035"/>
        <v>9.75</v>
      </c>
      <c r="M2089" s="24">
        <f t="shared" si="2977"/>
        <v>0.28179190751445093</v>
      </c>
      <c r="N2089" s="14"/>
    </row>
    <row r="2090" spans="1:14" x14ac:dyDescent="0.25">
      <c r="A2090" s="19">
        <v>44606</v>
      </c>
      <c r="B2090" s="15">
        <f t="shared" ref="B2090" si="3054">B2078+1</f>
        <v>175</v>
      </c>
      <c r="C2090" s="15" t="s">
        <v>494</v>
      </c>
      <c r="D2090" s="15" t="s">
        <v>179</v>
      </c>
      <c r="E2090" s="25">
        <f>32.4-1.2</f>
        <v>31.2</v>
      </c>
      <c r="F2090" s="25">
        <f>+SUM(L2090:L2101)</f>
        <v>31.250000000000004</v>
      </c>
      <c r="G2090" s="16">
        <v>1</v>
      </c>
      <c r="H2090" s="16" t="s">
        <v>9</v>
      </c>
      <c r="I2090" s="59" t="s">
        <v>56</v>
      </c>
      <c r="J2090" s="21"/>
      <c r="K2090" s="21"/>
      <c r="L2090" s="12">
        <f>+J2090-K2090</f>
        <v>0</v>
      </c>
      <c r="M2090" s="23">
        <f t="shared" ref="M2090:M2125" si="3055">+L2090/SUMIF(C:C,C2090,L:L)</f>
        <v>0</v>
      </c>
      <c r="N2090" s="13"/>
    </row>
    <row r="2091" spans="1:14" x14ac:dyDescent="0.25">
      <c r="A2091" s="20">
        <v>44606</v>
      </c>
      <c r="B2091" s="1">
        <f t="shared" ref="B2091" si="3056">B2090</f>
        <v>175</v>
      </c>
      <c r="C2091" s="1" t="s">
        <v>494</v>
      </c>
      <c r="D2091" s="1" t="s">
        <v>179</v>
      </c>
      <c r="E2091" s="26">
        <f>+E2090</f>
        <v>31.2</v>
      </c>
      <c r="F2091" s="28">
        <f>+(F2090-E2090)/E2090</f>
        <v>1.6025641025642393E-3</v>
      </c>
      <c r="G2091" s="17">
        <v>2</v>
      </c>
      <c r="H2091" s="17" t="s">
        <v>9</v>
      </c>
      <c r="I2091" s="30" t="s">
        <v>57</v>
      </c>
      <c r="J2091" s="22">
        <v>0.9</v>
      </c>
      <c r="K2091" s="22">
        <v>0.5</v>
      </c>
      <c r="L2091" s="8">
        <f t="shared" ref="L2091:L2101" si="3057">+J2091-K2091</f>
        <v>0.4</v>
      </c>
      <c r="M2091" s="24">
        <f t="shared" si="3055"/>
        <v>1.2799999999999999E-2</v>
      </c>
      <c r="N2091" s="14"/>
    </row>
    <row r="2092" spans="1:14" x14ac:dyDescent="0.25">
      <c r="A2092" s="20">
        <v>44606</v>
      </c>
      <c r="B2092" s="1">
        <f t="shared" ref="B2092" si="3058">B2090</f>
        <v>175</v>
      </c>
      <c r="C2092" s="1" t="s">
        <v>494</v>
      </c>
      <c r="D2092" s="1" t="s">
        <v>179</v>
      </c>
      <c r="E2092" s="26" t="e">
        <f>+#REF!</f>
        <v>#REF!</v>
      </c>
      <c r="F2092" s="26" t="e">
        <f>+#REF!</f>
        <v>#REF!</v>
      </c>
      <c r="G2092" s="17">
        <v>3</v>
      </c>
      <c r="H2092" s="17" t="s">
        <v>9</v>
      </c>
      <c r="I2092" s="30" t="s">
        <v>58</v>
      </c>
      <c r="J2092" s="22">
        <v>0.7</v>
      </c>
      <c r="K2092" s="22">
        <v>0.55000000000000004</v>
      </c>
      <c r="L2092" s="8">
        <f t="shared" si="3057"/>
        <v>0.14999999999999991</v>
      </c>
      <c r="M2092" s="24">
        <f t="shared" si="3055"/>
        <v>4.799999999999997E-3</v>
      </c>
      <c r="N2092" s="14"/>
    </row>
    <row r="2093" spans="1:14" x14ac:dyDescent="0.25">
      <c r="A2093" s="20">
        <v>44606</v>
      </c>
      <c r="B2093" s="1">
        <f t="shared" ref="B2093" si="3059">B2090</f>
        <v>175</v>
      </c>
      <c r="C2093" s="1" t="s">
        <v>494</v>
      </c>
      <c r="D2093" s="1" t="s">
        <v>179</v>
      </c>
      <c r="E2093" s="26" t="e">
        <f t="shared" ref="E2093:F2093" si="3060">+E2092</f>
        <v>#REF!</v>
      </c>
      <c r="F2093" s="26" t="e">
        <f t="shared" si="3060"/>
        <v>#REF!</v>
      </c>
      <c r="G2093" s="17">
        <v>4</v>
      </c>
      <c r="H2093" s="17" t="s">
        <v>9</v>
      </c>
      <c r="I2093" s="30" t="s">
        <v>22</v>
      </c>
      <c r="J2093" s="22">
        <v>0.7</v>
      </c>
      <c r="K2093" s="22">
        <v>0.55000000000000004</v>
      </c>
      <c r="L2093" s="8">
        <f t="shared" si="3057"/>
        <v>0.14999999999999991</v>
      </c>
      <c r="M2093" s="24">
        <f t="shared" si="3055"/>
        <v>4.799999999999997E-3</v>
      </c>
      <c r="N2093" s="14"/>
    </row>
    <row r="2094" spans="1:14" x14ac:dyDescent="0.25">
      <c r="A2094" s="20">
        <v>44606</v>
      </c>
      <c r="B2094" s="1">
        <f t="shared" ref="B2094" si="3061">B2090</f>
        <v>175</v>
      </c>
      <c r="C2094" s="1" t="s">
        <v>494</v>
      </c>
      <c r="D2094" s="1" t="s">
        <v>179</v>
      </c>
      <c r="E2094" s="26" t="e">
        <f t="shared" ref="E2094:F2094" si="3062">+E2093</f>
        <v>#REF!</v>
      </c>
      <c r="F2094" s="26" t="e">
        <f t="shared" si="3062"/>
        <v>#REF!</v>
      </c>
      <c r="G2094" s="17">
        <v>5</v>
      </c>
      <c r="H2094" s="17" t="s">
        <v>9</v>
      </c>
      <c r="I2094" s="30" t="s">
        <v>34</v>
      </c>
      <c r="J2094" s="22">
        <v>1.1499999999999999</v>
      </c>
      <c r="K2094" s="63">
        <v>0.55000000000000004</v>
      </c>
      <c r="L2094" s="8">
        <f t="shared" si="3057"/>
        <v>0.59999999999999987</v>
      </c>
      <c r="M2094" s="24">
        <f t="shared" si="3055"/>
        <v>1.9199999999999995E-2</v>
      </c>
      <c r="N2094" s="14"/>
    </row>
    <row r="2095" spans="1:14" x14ac:dyDescent="0.25">
      <c r="A2095" s="20">
        <v>44606</v>
      </c>
      <c r="B2095" s="1">
        <f t="shared" ref="B2095" si="3063">B2090</f>
        <v>175</v>
      </c>
      <c r="C2095" s="1" t="s">
        <v>494</v>
      </c>
      <c r="D2095" s="1" t="s">
        <v>179</v>
      </c>
      <c r="E2095" s="26" t="e">
        <f t="shared" ref="E2095:F2095" si="3064">+E2094</f>
        <v>#REF!</v>
      </c>
      <c r="F2095" s="26" t="e">
        <f t="shared" si="3064"/>
        <v>#REF!</v>
      </c>
      <c r="G2095" s="17">
        <v>6</v>
      </c>
      <c r="H2095" s="17" t="s">
        <v>9</v>
      </c>
      <c r="I2095" s="30" t="s">
        <v>35</v>
      </c>
      <c r="J2095" s="22"/>
      <c r="K2095" s="22"/>
      <c r="L2095" s="8">
        <f t="shared" si="3057"/>
        <v>0</v>
      </c>
      <c r="M2095" s="24">
        <f t="shared" si="3055"/>
        <v>0</v>
      </c>
      <c r="N2095" s="14"/>
    </row>
    <row r="2096" spans="1:14" x14ac:dyDescent="0.25">
      <c r="A2096" s="20">
        <v>44606</v>
      </c>
      <c r="B2096" s="1">
        <f t="shared" ref="B2096" si="3065">B2090</f>
        <v>175</v>
      </c>
      <c r="C2096" s="1" t="s">
        <v>494</v>
      </c>
      <c r="D2096" s="1" t="s">
        <v>179</v>
      </c>
      <c r="E2096" s="26" t="e">
        <f t="shared" ref="E2096:F2096" si="3066">+E2095</f>
        <v>#REF!</v>
      </c>
      <c r="F2096" s="26" t="e">
        <f t="shared" si="3066"/>
        <v>#REF!</v>
      </c>
      <c r="G2096" s="17">
        <v>7</v>
      </c>
      <c r="H2096" s="17" t="s">
        <v>9</v>
      </c>
      <c r="I2096" s="30" t="s">
        <v>36</v>
      </c>
      <c r="J2096" s="22">
        <v>25.8</v>
      </c>
      <c r="K2096" s="22">
        <v>6.1</v>
      </c>
      <c r="L2096" s="8">
        <f t="shared" si="3057"/>
        <v>19.700000000000003</v>
      </c>
      <c r="M2096" s="24">
        <f t="shared" si="3055"/>
        <v>0.63040000000000007</v>
      </c>
      <c r="N2096" s="14"/>
    </row>
    <row r="2097" spans="1:14" x14ac:dyDescent="0.25">
      <c r="A2097" s="20">
        <v>44606</v>
      </c>
      <c r="B2097" s="1">
        <f t="shared" ref="B2097" si="3067">B2090</f>
        <v>175</v>
      </c>
      <c r="C2097" s="1" t="s">
        <v>494</v>
      </c>
      <c r="D2097" s="1" t="s">
        <v>179</v>
      </c>
      <c r="E2097" s="26" t="e">
        <f>+E2096</f>
        <v>#REF!</v>
      </c>
      <c r="F2097" s="26" t="e">
        <f>+F2096</f>
        <v>#REF!</v>
      </c>
      <c r="G2097" s="17">
        <v>8</v>
      </c>
      <c r="H2097" s="17" t="s">
        <v>9</v>
      </c>
      <c r="I2097" s="30" t="s">
        <v>59</v>
      </c>
      <c r="J2097" s="22">
        <v>1.05</v>
      </c>
      <c r="K2097" s="22">
        <v>0.5</v>
      </c>
      <c r="L2097" s="8">
        <f t="shared" si="3057"/>
        <v>0.55000000000000004</v>
      </c>
      <c r="M2097" s="24">
        <f t="shared" si="3055"/>
        <v>1.7600000000000001E-2</v>
      </c>
      <c r="N2097" s="14"/>
    </row>
    <row r="2098" spans="1:14" x14ac:dyDescent="0.25">
      <c r="A2098" s="20">
        <v>44606</v>
      </c>
      <c r="B2098" s="1">
        <f t="shared" ref="B2098" si="3068">B2090</f>
        <v>175</v>
      </c>
      <c r="C2098" s="1" t="s">
        <v>494</v>
      </c>
      <c r="D2098" s="1" t="s">
        <v>179</v>
      </c>
      <c r="E2098" s="26" t="e">
        <f t="shared" ref="E2098:F2098" si="3069">+E2097</f>
        <v>#REF!</v>
      </c>
      <c r="F2098" s="26" t="e">
        <f t="shared" si="3069"/>
        <v>#REF!</v>
      </c>
      <c r="G2098" s="17">
        <v>9</v>
      </c>
      <c r="H2098" s="17" t="s">
        <v>9</v>
      </c>
      <c r="I2098" s="30" t="s">
        <v>38</v>
      </c>
      <c r="J2098" s="22"/>
      <c r="K2098" s="22"/>
      <c r="L2098" s="8">
        <f t="shared" si="3057"/>
        <v>0</v>
      </c>
      <c r="M2098" s="24">
        <f t="shared" si="3055"/>
        <v>0</v>
      </c>
      <c r="N2098" s="14"/>
    </row>
    <row r="2099" spans="1:14" x14ac:dyDescent="0.25">
      <c r="A2099" s="20">
        <v>44606</v>
      </c>
      <c r="B2099" s="1">
        <f t="shared" ref="B2099" si="3070">B2090</f>
        <v>175</v>
      </c>
      <c r="C2099" s="1" t="s">
        <v>494</v>
      </c>
      <c r="D2099" s="1" t="s">
        <v>179</v>
      </c>
      <c r="E2099" s="26" t="e">
        <f t="shared" ref="E2099:F2099" si="3071">+E2098</f>
        <v>#REF!</v>
      </c>
      <c r="F2099" s="26" t="e">
        <f t="shared" si="3071"/>
        <v>#REF!</v>
      </c>
      <c r="G2099" s="17">
        <v>10</v>
      </c>
      <c r="H2099" s="17" t="s">
        <v>9</v>
      </c>
      <c r="I2099" s="30" t="s">
        <v>23</v>
      </c>
      <c r="J2099" s="22">
        <v>2.1</v>
      </c>
      <c r="K2099" s="22">
        <v>0.55000000000000004</v>
      </c>
      <c r="L2099" s="8">
        <f t="shared" si="3057"/>
        <v>1.55</v>
      </c>
      <c r="M2099" s="24">
        <f t="shared" si="3055"/>
        <v>4.9599999999999998E-2</v>
      </c>
      <c r="N2099" s="14"/>
    </row>
    <row r="2100" spans="1:14" x14ac:dyDescent="0.25">
      <c r="A2100" s="20">
        <v>44606</v>
      </c>
      <c r="B2100" s="1">
        <f t="shared" ref="B2100" si="3072">B2090</f>
        <v>175</v>
      </c>
      <c r="C2100" s="1" t="s">
        <v>494</v>
      </c>
      <c r="D2100" s="1" t="s">
        <v>179</v>
      </c>
      <c r="E2100" s="26" t="e">
        <f t="shared" ref="E2100:F2100" si="3073">+E2099</f>
        <v>#REF!</v>
      </c>
      <c r="F2100" s="26" t="e">
        <f t="shared" si="3073"/>
        <v>#REF!</v>
      </c>
      <c r="G2100" s="17">
        <v>11</v>
      </c>
      <c r="H2100" s="17" t="s">
        <v>9</v>
      </c>
      <c r="I2100" s="30" t="s">
        <v>60</v>
      </c>
      <c r="J2100" s="22"/>
      <c r="K2100" s="22"/>
      <c r="L2100" s="8">
        <f t="shared" si="3057"/>
        <v>0</v>
      </c>
      <c r="M2100" s="24">
        <f t="shared" si="3055"/>
        <v>0</v>
      </c>
      <c r="N2100" s="14"/>
    </row>
    <row r="2101" spans="1:14" ht="15.75" thickBot="1" x14ac:dyDescent="0.3">
      <c r="A2101" s="20">
        <v>44606</v>
      </c>
      <c r="B2101" s="57">
        <f t="shared" ref="B2101" si="3074">B2090</f>
        <v>175</v>
      </c>
      <c r="C2101" s="1" t="s">
        <v>494</v>
      </c>
      <c r="D2101" s="1" t="s">
        <v>179</v>
      </c>
      <c r="E2101" s="26" t="e">
        <f t="shared" ref="E2101:F2101" si="3075">+E2100</f>
        <v>#REF!</v>
      </c>
      <c r="F2101" s="26" t="e">
        <f t="shared" si="3075"/>
        <v>#REF!</v>
      </c>
      <c r="G2101" s="18">
        <f>+G2100+1</f>
        <v>12</v>
      </c>
      <c r="H2101" s="18" t="s">
        <v>10</v>
      </c>
      <c r="I2101" s="46" t="s">
        <v>10</v>
      </c>
      <c r="J2101" s="22">
        <v>16.7</v>
      </c>
      <c r="K2101" s="63">
        <v>8.5500000000000007</v>
      </c>
      <c r="L2101" s="8">
        <f t="shared" si="3057"/>
        <v>8.1499999999999986</v>
      </c>
      <c r="M2101" s="24">
        <f t="shared" si="3055"/>
        <v>0.26079999999999992</v>
      </c>
      <c r="N2101" s="14"/>
    </row>
    <row r="2102" spans="1:14" x14ac:dyDescent="0.25">
      <c r="A2102" s="19">
        <v>44606</v>
      </c>
      <c r="B2102" s="15">
        <f t="shared" ref="B2102" si="3076">B2090+1</f>
        <v>176</v>
      </c>
      <c r="C2102" s="15" t="s">
        <v>495</v>
      </c>
      <c r="D2102" s="15" t="s">
        <v>178</v>
      </c>
      <c r="E2102" s="25">
        <f>28.8-1.2</f>
        <v>27.6</v>
      </c>
      <c r="F2102" s="25">
        <f>+SUM(L2102:L2113)</f>
        <v>26.2</v>
      </c>
      <c r="G2102" s="16">
        <v>1</v>
      </c>
      <c r="H2102" s="16" t="s">
        <v>9</v>
      </c>
      <c r="I2102" s="59" t="s">
        <v>56</v>
      </c>
      <c r="J2102" s="21">
        <f>1.2</f>
        <v>1.2</v>
      </c>
      <c r="K2102" s="21">
        <f>0.5</f>
        <v>0.5</v>
      </c>
      <c r="L2102" s="12">
        <f>+J2102-K2102</f>
        <v>0.7</v>
      </c>
      <c r="M2102" s="23">
        <f t="shared" si="3055"/>
        <v>2.6717557251908396E-2</v>
      </c>
      <c r="N2102" s="13"/>
    </row>
    <row r="2103" spans="1:14" x14ac:dyDescent="0.25">
      <c r="A2103" s="20">
        <v>44606</v>
      </c>
      <c r="B2103" s="1">
        <f t="shared" ref="B2103" si="3077">B2102</f>
        <v>176</v>
      </c>
      <c r="C2103" s="1" t="s">
        <v>495</v>
      </c>
      <c r="D2103" s="1" t="s">
        <v>178</v>
      </c>
      <c r="E2103" s="26">
        <f>+E2102</f>
        <v>27.6</v>
      </c>
      <c r="F2103" s="28">
        <f>+(F2102-E2102)/E2102</f>
        <v>-5.0724637681159493E-2</v>
      </c>
      <c r="G2103" s="17">
        <v>2</v>
      </c>
      <c r="H2103" s="17" t="s">
        <v>9</v>
      </c>
      <c r="I2103" s="30" t="s">
        <v>57</v>
      </c>
      <c r="J2103" s="22">
        <v>2.25</v>
      </c>
      <c r="K2103" s="22">
        <f>0.55*2</f>
        <v>1.1000000000000001</v>
      </c>
      <c r="L2103" s="8">
        <f t="shared" ref="L2103:L2113" si="3078">+J2103-K2103</f>
        <v>1.1499999999999999</v>
      </c>
      <c r="M2103" s="24">
        <f t="shared" si="3055"/>
        <v>4.3893129770992363E-2</v>
      </c>
      <c r="N2103" s="14"/>
    </row>
    <row r="2104" spans="1:14" x14ac:dyDescent="0.25">
      <c r="A2104" s="20">
        <v>44606</v>
      </c>
      <c r="B2104" s="1">
        <f t="shared" ref="B2104" si="3079">B2102</f>
        <v>176</v>
      </c>
      <c r="C2104" s="1" t="s">
        <v>495</v>
      </c>
      <c r="D2104" s="1" t="s">
        <v>178</v>
      </c>
      <c r="E2104" s="26" t="e">
        <f>+#REF!</f>
        <v>#REF!</v>
      </c>
      <c r="F2104" s="26" t="e">
        <f>+#REF!</f>
        <v>#REF!</v>
      </c>
      <c r="G2104" s="17">
        <v>3</v>
      </c>
      <c r="H2104" s="17" t="s">
        <v>9</v>
      </c>
      <c r="I2104" s="30" t="s">
        <v>58</v>
      </c>
      <c r="J2104" s="22">
        <v>12.95</v>
      </c>
      <c r="K2104" s="22">
        <v>8.5</v>
      </c>
      <c r="L2104" s="8">
        <f t="shared" si="3078"/>
        <v>4.4499999999999993</v>
      </c>
      <c r="M2104" s="24">
        <f t="shared" si="3055"/>
        <v>0.16984732824427479</v>
      </c>
      <c r="N2104" s="14"/>
    </row>
    <row r="2105" spans="1:14" x14ac:dyDescent="0.25">
      <c r="A2105" s="20">
        <v>44606</v>
      </c>
      <c r="B2105" s="1">
        <f t="shared" ref="B2105" si="3080">B2102</f>
        <v>176</v>
      </c>
      <c r="C2105" s="1" t="s">
        <v>495</v>
      </c>
      <c r="D2105" s="1" t="s">
        <v>178</v>
      </c>
      <c r="E2105" s="26" t="e">
        <f t="shared" ref="E2105:F2105" si="3081">+E2104</f>
        <v>#REF!</v>
      </c>
      <c r="F2105" s="26" t="e">
        <f t="shared" si="3081"/>
        <v>#REF!</v>
      </c>
      <c r="G2105" s="17">
        <v>4</v>
      </c>
      <c r="H2105" s="17" t="s">
        <v>9</v>
      </c>
      <c r="I2105" s="30" t="s">
        <v>22</v>
      </c>
      <c r="J2105" s="22">
        <v>0.85</v>
      </c>
      <c r="K2105" s="22">
        <v>0.55000000000000004</v>
      </c>
      <c r="L2105" s="8">
        <f t="shared" si="3078"/>
        <v>0.29999999999999993</v>
      </c>
      <c r="M2105" s="24">
        <f t="shared" si="3055"/>
        <v>1.1450381679389311E-2</v>
      </c>
      <c r="N2105" s="14"/>
    </row>
    <row r="2106" spans="1:14" x14ac:dyDescent="0.25">
      <c r="A2106" s="20">
        <v>44606</v>
      </c>
      <c r="B2106" s="1">
        <f t="shared" ref="B2106" si="3082">B2102</f>
        <v>176</v>
      </c>
      <c r="C2106" s="1" t="s">
        <v>495</v>
      </c>
      <c r="D2106" s="1" t="s">
        <v>178</v>
      </c>
      <c r="E2106" s="26" t="e">
        <f t="shared" ref="E2106:F2106" si="3083">+E2105</f>
        <v>#REF!</v>
      </c>
      <c r="F2106" s="26" t="e">
        <f t="shared" si="3083"/>
        <v>#REF!</v>
      </c>
      <c r="G2106" s="17">
        <v>5</v>
      </c>
      <c r="H2106" s="17" t="s">
        <v>9</v>
      </c>
      <c r="I2106" s="30" t="s">
        <v>34</v>
      </c>
      <c r="J2106" s="22">
        <v>1.3</v>
      </c>
      <c r="K2106" s="63">
        <v>0.55000000000000004</v>
      </c>
      <c r="L2106" s="8">
        <f t="shared" si="3078"/>
        <v>0.75</v>
      </c>
      <c r="M2106" s="24">
        <f t="shared" si="3055"/>
        <v>2.8625954198473282E-2</v>
      </c>
      <c r="N2106" s="14"/>
    </row>
    <row r="2107" spans="1:14" x14ac:dyDescent="0.25">
      <c r="A2107" s="20">
        <v>44606</v>
      </c>
      <c r="B2107" s="1">
        <f t="shared" ref="B2107" si="3084">B2102</f>
        <v>176</v>
      </c>
      <c r="C2107" s="1" t="s">
        <v>495</v>
      </c>
      <c r="D2107" s="1" t="s">
        <v>178</v>
      </c>
      <c r="E2107" s="26" t="e">
        <f t="shared" ref="E2107:F2107" si="3085">+E2106</f>
        <v>#REF!</v>
      </c>
      <c r="F2107" s="26" t="e">
        <f t="shared" si="3085"/>
        <v>#REF!</v>
      </c>
      <c r="G2107" s="17">
        <v>6</v>
      </c>
      <c r="H2107" s="17" t="s">
        <v>9</v>
      </c>
      <c r="I2107" s="30" t="s">
        <v>35</v>
      </c>
      <c r="J2107" s="22"/>
      <c r="K2107" s="22"/>
      <c r="L2107" s="8">
        <f t="shared" si="3078"/>
        <v>0</v>
      </c>
      <c r="M2107" s="24">
        <f t="shared" si="3055"/>
        <v>0</v>
      </c>
      <c r="N2107" s="14"/>
    </row>
    <row r="2108" spans="1:14" x14ac:dyDescent="0.25">
      <c r="A2108" s="20">
        <v>44606</v>
      </c>
      <c r="B2108" s="1">
        <f t="shared" ref="B2108" si="3086">B2102</f>
        <v>176</v>
      </c>
      <c r="C2108" s="1" t="s">
        <v>495</v>
      </c>
      <c r="D2108" s="1" t="s">
        <v>178</v>
      </c>
      <c r="E2108" s="26" t="e">
        <f t="shared" ref="E2108:F2108" si="3087">+E2107</f>
        <v>#REF!</v>
      </c>
      <c r="F2108" s="26" t="e">
        <f t="shared" si="3087"/>
        <v>#REF!</v>
      </c>
      <c r="G2108" s="17">
        <v>7</v>
      </c>
      <c r="H2108" s="17" t="s">
        <v>9</v>
      </c>
      <c r="I2108" s="30" t="s">
        <v>36</v>
      </c>
      <c r="J2108" s="22"/>
      <c r="K2108" s="22"/>
      <c r="L2108" s="8">
        <f t="shared" si="3078"/>
        <v>0</v>
      </c>
      <c r="M2108" s="24">
        <f t="shared" si="3055"/>
        <v>0</v>
      </c>
      <c r="N2108" s="14"/>
    </row>
    <row r="2109" spans="1:14" x14ac:dyDescent="0.25">
      <c r="A2109" s="20">
        <v>44606</v>
      </c>
      <c r="B2109" s="1">
        <f t="shared" ref="B2109" si="3088">B2102</f>
        <v>176</v>
      </c>
      <c r="C2109" s="1" t="s">
        <v>495</v>
      </c>
      <c r="D2109" s="1" t="s">
        <v>178</v>
      </c>
      <c r="E2109" s="26" t="e">
        <f>+E2108</f>
        <v>#REF!</v>
      </c>
      <c r="F2109" s="26" t="e">
        <f>+F2108</f>
        <v>#REF!</v>
      </c>
      <c r="G2109" s="17">
        <v>8</v>
      </c>
      <c r="H2109" s="17" t="s">
        <v>9</v>
      </c>
      <c r="I2109" s="30" t="s">
        <v>59</v>
      </c>
      <c r="J2109" s="22">
        <v>9.1999999999999993</v>
      </c>
      <c r="K2109" s="22">
        <v>8.5500000000000007</v>
      </c>
      <c r="L2109" s="8">
        <f t="shared" si="3078"/>
        <v>0.64999999999999858</v>
      </c>
      <c r="M2109" s="24">
        <f t="shared" si="3055"/>
        <v>2.4809160305343459E-2</v>
      </c>
      <c r="N2109" s="14"/>
    </row>
    <row r="2110" spans="1:14" x14ac:dyDescent="0.25">
      <c r="A2110" s="20">
        <v>44606</v>
      </c>
      <c r="B2110" s="1">
        <f t="shared" ref="B2110" si="3089">B2102</f>
        <v>176</v>
      </c>
      <c r="C2110" s="1" t="s">
        <v>495</v>
      </c>
      <c r="D2110" s="1" t="s">
        <v>178</v>
      </c>
      <c r="E2110" s="26" t="e">
        <f t="shared" ref="E2110:F2110" si="3090">+E2109</f>
        <v>#REF!</v>
      </c>
      <c r="F2110" s="26" t="e">
        <f t="shared" si="3090"/>
        <v>#REF!</v>
      </c>
      <c r="G2110" s="17">
        <v>9</v>
      </c>
      <c r="H2110" s="17" t="s">
        <v>9</v>
      </c>
      <c r="I2110" s="30" t="s">
        <v>38</v>
      </c>
      <c r="J2110" s="22"/>
      <c r="K2110" s="22"/>
      <c r="L2110" s="8">
        <f t="shared" si="3078"/>
        <v>0</v>
      </c>
      <c r="M2110" s="24">
        <f t="shared" si="3055"/>
        <v>0</v>
      </c>
      <c r="N2110" s="14"/>
    </row>
    <row r="2111" spans="1:14" x14ac:dyDescent="0.25">
      <c r="A2111" s="20">
        <v>44606</v>
      </c>
      <c r="B2111" s="1">
        <f t="shared" ref="B2111" si="3091">B2102</f>
        <v>176</v>
      </c>
      <c r="C2111" s="1" t="s">
        <v>495</v>
      </c>
      <c r="D2111" s="1" t="s">
        <v>178</v>
      </c>
      <c r="E2111" s="26" t="e">
        <f t="shared" ref="E2111:F2111" si="3092">+E2110</f>
        <v>#REF!</v>
      </c>
      <c r="F2111" s="26" t="e">
        <f t="shared" si="3092"/>
        <v>#REF!</v>
      </c>
      <c r="G2111" s="17">
        <v>10</v>
      </c>
      <c r="H2111" s="17" t="s">
        <v>9</v>
      </c>
      <c r="I2111" s="30" t="s">
        <v>23</v>
      </c>
      <c r="J2111" s="22">
        <v>9.9499999999999993</v>
      </c>
      <c r="K2111" s="22">
        <v>8.5500000000000007</v>
      </c>
      <c r="L2111" s="8">
        <f t="shared" si="3078"/>
        <v>1.3999999999999986</v>
      </c>
      <c r="M2111" s="24">
        <f t="shared" si="3055"/>
        <v>5.3435114503816744E-2</v>
      </c>
      <c r="N2111" s="14"/>
    </row>
    <row r="2112" spans="1:14" x14ac:dyDescent="0.25">
      <c r="A2112" s="20">
        <v>44606</v>
      </c>
      <c r="B2112" s="1">
        <f t="shared" ref="B2112" si="3093">B2102</f>
        <v>176</v>
      </c>
      <c r="C2112" s="1" t="s">
        <v>495</v>
      </c>
      <c r="D2112" s="1" t="s">
        <v>178</v>
      </c>
      <c r="E2112" s="26" t="e">
        <f t="shared" ref="E2112:F2112" si="3094">+E2111</f>
        <v>#REF!</v>
      </c>
      <c r="F2112" s="26" t="e">
        <f t="shared" si="3094"/>
        <v>#REF!</v>
      </c>
      <c r="G2112" s="17">
        <v>11</v>
      </c>
      <c r="H2112" s="17" t="s">
        <v>9</v>
      </c>
      <c r="I2112" s="30" t="s">
        <v>60</v>
      </c>
      <c r="J2112" s="22">
        <v>0.8</v>
      </c>
      <c r="K2112" s="22">
        <v>0.5</v>
      </c>
      <c r="L2112" s="8">
        <f t="shared" si="3078"/>
        <v>0.30000000000000004</v>
      </c>
      <c r="M2112" s="24">
        <f t="shared" si="3055"/>
        <v>1.1450381679389315E-2</v>
      </c>
      <c r="N2112" s="14"/>
    </row>
    <row r="2113" spans="1:14" ht="15.75" thickBot="1" x14ac:dyDescent="0.3">
      <c r="A2113" s="20">
        <v>44606</v>
      </c>
      <c r="B2113" s="57">
        <f t="shared" ref="B2113" si="3095">B2102</f>
        <v>176</v>
      </c>
      <c r="C2113" s="1" t="s">
        <v>495</v>
      </c>
      <c r="D2113" s="1" t="s">
        <v>178</v>
      </c>
      <c r="E2113" s="26" t="e">
        <f t="shared" ref="E2113:F2113" si="3096">+E2112</f>
        <v>#REF!</v>
      </c>
      <c r="F2113" s="26" t="e">
        <f t="shared" si="3096"/>
        <v>#REF!</v>
      </c>
      <c r="G2113" s="18">
        <f>+G2112+1</f>
        <v>12</v>
      </c>
      <c r="H2113" s="18" t="s">
        <v>10</v>
      </c>
      <c r="I2113" s="46" t="s">
        <v>10</v>
      </c>
      <c r="J2113" s="22">
        <f>13.4+11.9+16.85</f>
        <v>42.150000000000006</v>
      </c>
      <c r="K2113" s="63">
        <f>8.55+8.55+8.55</f>
        <v>25.650000000000002</v>
      </c>
      <c r="L2113" s="8">
        <f t="shared" si="3078"/>
        <v>16.500000000000004</v>
      </c>
      <c r="M2113" s="24">
        <f t="shared" si="3055"/>
        <v>0.62977099236641232</v>
      </c>
      <c r="N2113" s="14"/>
    </row>
    <row r="2114" spans="1:14" x14ac:dyDescent="0.25">
      <c r="A2114" s="19">
        <v>44607</v>
      </c>
      <c r="B2114" s="15">
        <f t="shared" ref="B2114" si="3097">B2102+1</f>
        <v>177</v>
      </c>
      <c r="C2114" s="15" t="s">
        <v>496</v>
      </c>
      <c r="D2114" s="15" t="s">
        <v>181</v>
      </c>
      <c r="E2114" s="25"/>
      <c r="F2114" s="25">
        <f>+SUM(L2114:L2125)</f>
        <v>33.700000000000003</v>
      </c>
      <c r="G2114" s="16">
        <v>1</v>
      </c>
      <c r="H2114" s="16" t="s">
        <v>9</v>
      </c>
      <c r="I2114" s="59" t="s">
        <v>56</v>
      </c>
      <c r="J2114" s="21"/>
      <c r="K2114" s="21"/>
      <c r="L2114" s="12">
        <f>+J2114-K2114</f>
        <v>0</v>
      </c>
      <c r="M2114" s="23">
        <f t="shared" si="3055"/>
        <v>0</v>
      </c>
      <c r="N2114" s="13"/>
    </row>
    <row r="2115" spans="1:14" x14ac:dyDescent="0.25">
      <c r="A2115" s="20">
        <v>44607</v>
      </c>
      <c r="B2115" s="1">
        <f t="shared" ref="B2115" si="3098">B2114</f>
        <v>177</v>
      </c>
      <c r="C2115" s="1" t="s">
        <v>496</v>
      </c>
      <c r="D2115" s="1" t="s">
        <v>181</v>
      </c>
      <c r="E2115" s="26">
        <f>+E2114</f>
        <v>0</v>
      </c>
      <c r="F2115" s="28" t="e">
        <f>+(F2114-E2114)/E2114</f>
        <v>#DIV/0!</v>
      </c>
      <c r="G2115" s="17">
        <v>2</v>
      </c>
      <c r="H2115" s="17" t="s">
        <v>9</v>
      </c>
      <c r="I2115" s="30" t="s">
        <v>57</v>
      </c>
      <c r="J2115" s="22"/>
      <c r="K2115" s="22"/>
      <c r="L2115" s="8">
        <f t="shared" ref="L2115:L2125" si="3099">+J2115-K2115</f>
        <v>0</v>
      </c>
      <c r="M2115" s="24">
        <f t="shared" si="3055"/>
        <v>0</v>
      </c>
      <c r="N2115" s="14"/>
    </row>
    <row r="2116" spans="1:14" x14ac:dyDescent="0.25">
      <c r="A2116" s="20">
        <v>44607</v>
      </c>
      <c r="B2116" s="1">
        <f t="shared" ref="B2116" si="3100">B2114</f>
        <v>177</v>
      </c>
      <c r="C2116" s="1" t="s">
        <v>496</v>
      </c>
      <c r="D2116" s="1" t="s">
        <v>181</v>
      </c>
      <c r="E2116" s="26" t="e">
        <f>+#REF!</f>
        <v>#REF!</v>
      </c>
      <c r="F2116" s="26" t="e">
        <f>+#REF!</f>
        <v>#REF!</v>
      </c>
      <c r="G2116" s="17">
        <v>3</v>
      </c>
      <c r="H2116" s="17" t="s">
        <v>9</v>
      </c>
      <c r="I2116" s="30" t="s">
        <v>58</v>
      </c>
      <c r="J2116" s="22">
        <v>0.55000000000000004</v>
      </c>
      <c r="K2116" s="22">
        <v>0.5</v>
      </c>
      <c r="L2116" s="8">
        <f t="shared" si="3099"/>
        <v>5.0000000000000044E-2</v>
      </c>
      <c r="M2116" s="24">
        <f t="shared" si="3055"/>
        <v>1.4836795252225531E-3</v>
      </c>
      <c r="N2116" s="14"/>
    </row>
    <row r="2117" spans="1:14" x14ac:dyDescent="0.25">
      <c r="A2117" s="20">
        <v>44607</v>
      </c>
      <c r="B2117" s="1">
        <f t="shared" ref="B2117" si="3101">B2114</f>
        <v>177</v>
      </c>
      <c r="C2117" s="1" t="s">
        <v>496</v>
      </c>
      <c r="D2117" s="1" t="s">
        <v>181</v>
      </c>
      <c r="E2117" s="26" t="e">
        <f t="shared" ref="E2117:F2117" si="3102">+E2116</f>
        <v>#REF!</v>
      </c>
      <c r="F2117" s="26" t="e">
        <f t="shared" si="3102"/>
        <v>#REF!</v>
      </c>
      <c r="G2117" s="17">
        <v>4</v>
      </c>
      <c r="H2117" s="17" t="s">
        <v>9</v>
      </c>
      <c r="I2117" s="30" t="s">
        <v>22</v>
      </c>
      <c r="J2117" s="22"/>
      <c r="K2117" s="22"/>
      <c r="L2117" s="8">
        <f t="shared" si="3099"/>
        <v>0</v>
      </c>
      <c r="M2117" s="24">
        <f t="shared" si="3055"/>
        <v>0</v>
      </c>
      <c r="N2117" s="14"/>
    </row>
    <row r="2118" spans="1:14" x14ac:dyDescent="0.25">
      <c r="A2118" s="20">
        <v>44607</v>
      </c>
      <c r="B2118" s="1">
        <f t="shared" ref="B2118" si="3103">B2114</f>
        <v>177</v>
      </c>
      <c r="C2118" s="1" t="s">
        <v>496</v>
      </c>
      <c r="D2118" s="1" t="s">
        <v>181</v>
      </c>
      <c r="E2118" s="26" t="e">
        <f t="shared" ref="E2118:F2118" si="3104">+E2117</f>
        <v>#REF!</v>
      </c>
      <c r="F2118" s="26" t="e">
        <f t="shared" si="3104"/>
        <v>#REF!</v>
      </c>
      <c r="G2118" s="17">
        <v>5</v>
      </c>
      <c r="H2118" s="17" t="s">
        <v>9</v>
      </c>
      <c r="I2118" s="30" t="s">
        <v>34</v>
      </c>
      <c r="J2118" s="22"/>
      <c r="K2118" s="63"/>
      <c r="L2118" s="8">
        <f t="shared" si="3099"/>
        <v>0</v>
      </c>
      <c r="M2118" s="24">
        <f t="shared" si="3055"/>
        <v>0</v>
      </c>
      <c r="N2118" s="14"/>
    </row>
    <row r="2119" spans="1:14" x14ac:dyDescent="0.25">
      <c r="A2119" s="20">
        <v>44607</v>
      </c>
      <c r="B2119" s="1">
        <f t="shared" ref="B2119" si="3105">B2114</f>
        <v>177</v>
      </c>
      <c r="C2119" s="1" t="s">
        <v>496</v>
      </c>
      <c r="D2119" s="1" t="s">
        <v>181</v>
      </c>
      <c r="E2119" s="26" t="e">
        <f t="shared" ref="E2119:F2119" si="3106">+E2118</f>
        <v>#REF!</v>
      </c>
      <c r="F2119" s="26" t="e">
        <f t="shared" si="3106"/>
        <v>#REF!</v>
      </c>
      <c r="G2119" s="17">
        <v>6</v>
      </c>
      <c r="H2119" s="17" t="s">
        <v>9</v>
      </c>
      <c r="I2119" s="30" t="s">
        <v>35</v>
      </c>
      <c r="J2119" s="22"/>
      <c r="K2119" s="22"/>
      <c r="L2119" s="8">
        <f t="shared" si="3099"/>
        <v>0</v>
      </c>
      <c r="M2119" s="24">
        <f t="shared" si="3055"/>
        <v>0</v>
      </c>
      <c r="N2119" s="14"/>
    </row>
    <row r="2120" spans="1:14" x14ac:dyDescent="0.25">
      <c r="A2120" s="20">
        <v>44607</v>
      </c>
      <c r="B2120" s="1">
        <f t="shared" ref="B2120" si="3107">B2114</f>
        <v>177</v>
      </c>
      <c r="C2120" s="1" t="s">
        <v>496</v>
      </c>
      <c r="D2120" s="1" t="s">
        <v>181</v>
      </c>
      <c r="E2120" s="26" t="e">
        <f t="shared" ref="E2120:F2120" si="3108">+E2119</f>
        <v>#REF!</v>
      </c>
      <c r="F2120" s="26" t="e">
        <f t="shared" si="3108"/>
        <v>#REF!</v>
      </c>
      <c r="G2120" s="17">
        <v>7</v>
      </c>
      <c r="H2120" s="17" t="s">
        <v>9</v>
      </c>
      <c r="I2120" s="30" t="s">
        <v>36</v>
      </c>
      <c r="J2120" s="22"/>
      <c r="K2120" s="22"/>
      <c r="L2120" s="8">
        <f t="shared" si="3099"/>
        <v>0</v>
      </c>
      <c r="M2120" s="24">
        <f t="shared" si="3055"/>
        <v>0</v>
      </c>
      <c r="N2120" s="14"/>
    </row>
    <row r="2121" spans="1:14" x14ac:dyDescent="0.25">
      <c r="A2121" s="20">
        <v>44607</v>
      </c>
      <c r="B2121" s="1">
        <f t="shared" ref="B2121" si="3109">B2114</f>
        <v>177</v>
      </c>
      <c r="C2121" s="1" t="s">
        <v>496</v>
      </c>
      <c r="D2121" s="1" t="s">
        <v>181</v>
      </c>
      <c r="E2121" s="26" t="e">
        <f>+E2120</f>
        <v>#REF!</v>
      </c>
      <c r="F2121" s="26" t="e">
        <f>+F2120</f>
        <v>#REF!</v>
      </c>
      <c r="G2121" s="17">
        <v>8</v>
      </c>
      <c r="H2121" s="17" t="s">
        <v>9</v>
      </c>
      <c r="I2121" s="30" t="s">
        <v>59</v>
      </c>
      <c r="J2121" s="22">
        <v>1.3</v>
      </c>
      <c r="K2121" s="22">
        <v>0.55000000000000004</v>
      </c>
      <c r="L2121" s="8">
        <f t="shared" si="3099"/>
        <v>0.75</v>
      </c>
      <c r="M2121" s="24">
        <f t="shared" si="3055"/>
        <v>2.2255192878338277E-2</v>
      </c>
      <c r="N2121" s="14"/>
    </row>
    <row r="2122" spans="1:14" x14ac:dyDescent="0.25">
      <c r="A2122" s="20">
        <v>44607</v>
      </c>
      <c r="B2122" s="1">
        <f t="shared" ref="B2122" si="3110">B2114</f>
        <v>177</v>
      </c>
      <c r="C2122" s="1" t="s">
        <v>496</v>
      </c>
      <c r="D2122" s="1" t="s">
        <v>181</v>
      </c>
      <c r="E2122" s="26" t="e">
        <f t="shared" ref="E2122:F2122" si="3111">+E2121</f>
        <v>#REF!</v>
      </c>
      <c r="F2122" s="26" t="e">
        <f t="shared" si="3111"/>
        <v>#REF!</v>
      </c>
      <c r="G2122" s="17">
        <v>9</v>
      </c>
      <c r="H2122" s="17" t="s">
        <v>9</v>
      </c>
      <c r="I2122" s="30" t="s">
        <v>38</v>
      </c>
      <c r="J2122" s="22"/>
      <c r="K2122" s="22"/>
      <c r="L2122" s="8">
        <f t="shared" si="3099"/>
        <v>0</v>
      </c>
      <c r="M2122" s="24">
        <f t="shared" si="3055"/>
        <v>0</v>
      </c>
      <c r="N2122" s="14"/>
    </row>
    <row r="2123" spans="1:14" x14ac:dyDescent="0.25">
      <c r="A2123" s="20">
        <v>44607</v>
      </c>
      <c r="B2123" s="1">
        <f t="shared" ref="B2123" si="3112">B2114</f>
        <v>177</v>
      </c>
      <c r="C2123" s="1" t="s">
        <v>496</v>
      </c>
      <c r="D2123" s="1" t="s">
        <v>181</v>
      </c>
      <c r="E2123" s="26" t="e">
        <f t="shared" ref="E2123:F2123" si="3113">+E2122</f>
        <v>#REF!</v>
      </c>
      <c r="F2123" s="26" t="e">
        <f t="shared" si="3113"/>
        <v>#REF!</v>
      </c>
      <c r="G2123" s="17">
        <v>10</v>
      </c>
      <c r="H2123" s="17" t="s">
        <v>9</v>
      </c>
      <c r="I2123" s="30" t="s">
        <v>23</v>
      </c>
      <c r="J2123" s="22">
        <f>12.05+11.95+10.35+12.5+12.7+12.9+12.15+12.6+11.85</f>
        <v>109.05</v>
      </c>
      <c r="K2123" s="22">
        <f>8.55+8.55+8.55+8.55+8.5+8.55+8.55+8.55+8.3</f>
        <v>76.649999999999991</v>
      </c>
      <c r="L2123" s="8">
        <f t="shared" si="3099"/>
        <v>32.400000000000006</v>
      </c>
      <c r="M2123" s="24">
        <f t="shared" si="3055"/>
        <v>0.96142433234421376</v>
      </c>
      <c r="N2123" s="14"/>
    </row>
    <row r="2124" spans="1:14" x14ac:dyDescent="0.25">
      <c r="A2124" s="20">
        <v>44607</v>
      </c>
      <c r="B2124" s="1">
        <f t="shared" ref="B2124" si="3114">B2114</f>
        <v>177</v>
      </c>
      <c r="C2124" s="1" t="s">
        <v>496</v>
      </c>
      <c r="D2124" s="1" t="s">
        <v>181</v>
      </c>
      <c r="E2124" s="26" t="e">
        <f t="shared" ref="E2124:F2124" si="3115">+E2123</f>
        <v>#REF!</v>
      </c>
      <c r="F2124" s="26" t="e">
        <f t="shared" si="3115"/>
        <v>#REF!</v>
      </c>
      <c r="G2124" s="17">
        <v>11</v>
      </c>
      <c r="H2124" s="17" t="s">
        <v>9</v>
      </c>
      <c r="I2124" s="30" t="s">
        <v>60</v>
      </c>
      <c r="J2124" s="22">
        <v>0.55000000000000004</v>
      </c>
      <c r="K2124" s="22">
        <v>0.5</v>
      </c>
      <c r="L2124" s="8">
        <f t="shared" si="3099"/>
        <v>5.0000000000000044E-2</v>
      </c>
      <c r="M2124" s="24">
        <f t="shared" si="3055"/>
        <v>1.4836795252225531E-3</v>
      </c>
      <c r="N2124" s="14"/>
    </row>
    <row r="2125" spans="1:14" ht="15.75" thickBot="1" x14ac:dyDescent="0.3">
      <c r="A2125" s="20">
        <v>44607</v>
      </c>
      <c r="B2125" s="57">
        <f t="shared" ref="B2125" si="3116">B2114</f>
        <v>177</v>
      </c>
      <c r="C2125" s="1" t="s">
        <v>496</v>
      </c>
      <c r="D2125" s="57" t="s">
        <v>181</v>
      </c>
      <c r="E2125" s="26" t="e">
        <f t="shared" ref="E2125:F2125" si="3117">+E2124</f>
        <v>#REF!</v>
      </c>
      <c r="F2125" s="26" t="e">
        <f t="shared" si="3117"/>
        <v>#REF!</v>
      </c>
      <c r="G2125" s="18">
        <f>+G2124+1</f>
        <v>12</v>
      </c>
      <c r="H2125" s="18" t="s">
        <v>10</v>
      </c>
      <c r="I2125" s="46" t="s">
        <v>10</v>
      </c>
      <c r="J2125" s="22">
        <f>0.95+0.6</f>
        <v>1.5499999999999998</v>
      </c>
      <c r="K2125" s="63">
        <f>0.55+0.55</f>
        <v>1.1000000000000001</v>
      </c>
      <c r="L2125" s="8">
        <f t="shared" si="3099"/>
        <v>0.44999999999999973</v>
      </c>
      <c r="M2125" s="24">
        <f t="shared" si="3055"/>
        <v>1.3353115727002958E-2</v>
      </c>
      <c r="N2125" s="14"/>
    </row>
    <row r="2126" spans="1:14" x14ac:dyDescent="0.25">
      <c r="A2126" s="19">
        <v>44607</v>
      </c>
      <c r="B2126" s="15">
        <f t="shared" ref="B2126" si="3118">B2114+1</f>
        <v>178</v>
      </c>
      <c r="C2126" s="15" t="s">
        <v>497</v>
      </c>
      <c r="D2126" s="15" t="s">
        <v>186</v>
      </c>
      <c r="E2126" s="25"/>
      <c r="F2126" s="25">
        <f>+SUM(L2126:L2137)</f>
        <v>37.559999999999995</v>
      </c>
      <c r="G2126" s="16">
        <v>1</v>
      </c>
      <c r="H2126" s="16" t="s">
        <v>9</v>
      </c>
      <c r="I2126" s="59" t="s">
        <v>56</v>
      </c>
      <c r="J2126" s="21"/>
      <c r="K2126" s="21"/>
      <c r="L2126" s="12">
        <f>+J2126-K2126</f>
        <v>0</v>
      </c>
      <c r="M2126" s="23">
        <f t="shared" ref="M2126:M2137" si="3119">+L2126/SUMIF(C:C,C2126,L:L)</f>
        <v>0</v>
      </c>
      <c r="N2126" s="13"/>
    </row>
    <row r="2127" spans="1:14" x14ac:dyDescent="0.25">
      <c r="A2127" s="20">
        <v>44607</v>
      </c>
      <c r="B2127" s="1">
        <f t="shared" ref="B2127" si="3120">B2126</f>
        <v>178</v>
      </c>
      <c r="C2127" s="1" t="s">
        <v>497</v>
      </c>
      <c r="D2127" s="1" t="s">
        <v>186</v>
      </c>
      <c r="E2127" s="26">
        <f>+E2126</f>
        <v>0</v>
      </c>
      <c r="F2127" s="28" t="e">
        <f>+(F2126-E2126)/E2126</f>
        <v>#DIV/0!</v>
      </c>
      <c r="G2127" s="17">
        <v>2</v>
      </c>
      <c r="H2127" s="17" t="s">
        <v>9</v>
      </c>
      <c r="I2127" s="30" t="s">
        <v>57</v>
      </c>
      <c r="J2127" s="22"/>
      <c r="K2127" s="22"/>
      <c r="L2127" s="8">
        <f t="shared" ref="L2127:L2137" si="3121">+J2127-K2127</f>
        <v>0</v>
      </c>
      <c r="M2127" s="24">
        <f t="shared" si="3119"/>
        <v>0</v>
      </c>
      <c r="N2127" s="14"/>
    </row>
    <row r="2128" spans="1:14" x14ac:dyDescent="0.25">
      <c r="A2128" s="20">
        <v>44607</v>
      </c>
      <c r="B2128" s="1">
        <f t="shared" ref="B2128" si="3122">B2126</f>
        <v>178</v>
      </c>
      <c r="C2128" s="1" t="s">
        <v>497</v>
      </c>
      <c r="D2128" s="1" t="s">
        <v>186</v>
      </c>
      <c r="E2128" s="26" t="e">
        <f>+#REF!</f>
        <v>#REF!</v>
      </c>
      <c r="F2128" s="26" t="e">
        <f>+#REF!</f>
        <v>#REF!</v>
      </c>
      <c r="G2128" s="17">
        <v>3</v>
      </c>
      <c r="H2128" s="17" t="s">
        <v>9</v>
      </c>
      <c r="I2128" s="30" t="s">
        <v>58</v>
      </c>
      <c r="J2128" s="22">
        <v>0.75</v>
      </c>
      <c r="K2128" s="22">
        <v>0.55000000000000004</v>
      </c>
      <c r="L2128" s="8">
        <f t="shared" si="3121"/>
        <v>0.19999999999999996</v>
      </c>
      <c r="M2128" s="24">
        <f t="shared" si="3119"/>
        <v>5.3248136315228959E-3</v>
      </c>
      <c r="N2128" s="14"/>
    </row>
    <row r="2129" spans="1:14" x14ac:dyDescent="0.25">
      <c r="A2129" s="20">
        <v>44607</v>
      </c>
      <c r="B2129" s="1">
        <f t="shared" ref="B2129" si="3123">B2126</f>
        <v>178</v>
      </c>
      <c r="C2129" s="1" t="s">
        <v>497</v>
      </c>
      <c r="D2129" s="1" t="s">
        <v>186</v>
      </c>
      <c r="E2129" s="26" t="e">
        <f t="shared" ref="E2129:F2129" si="3124">+E2128</f>
        <v>#REF!</v>
      </c>
      <c r="F2129" s="26" t="e">
        <f t="shared" si="3124"/>
        <v>#REF!</v>
      </c>
      <c r="G2129" s="17">
        <v>4</v>
      </c>
      <c r="H2129" s="17" t="s">
        <v>9</v>
      </c>
      <c r="I2129" s="30" t="s">
        <v>22</v>
      </c>
      <c r="J2129" s="22">
        <f>1.2+0.85</f>
        <v>2.0499999999999998</v>
      </c>
      <c r="K2129" s="22">
        <f>0.55+0.55</f>
        <v>1.1000000000000001</v>
      </c>
      <c r="L2129" s="8">
        <f t="shared" si="3121"/>
        <v>0.94999999999999973</v>
      </c>
      <c r="M2129" s="24">
        <f t="shared" si="3119"/>
        <v>2.5292864749733756E-2</v>
      </c>
      <c r="N2129" s="14"/>
    </row>
    <row r="2130" spans="1:14" x14ac:dyDescent="0.25">
      <c r="A2130" s="20">
        <v>44607</v>
      </c>
      <c r="B2130" s="1">
        <f t="shared" ref="B2130" si="3125">B2126</f>
        <v>178</v>
      </c>
      <c r="C2130" s="1" t="s">
        <v>497</v>
      </c>
      <c r="D2130" s="1" t="s">
        <v>186</v>
      </c>
      <c r="E2130" s="26" t="e">
        <f t="shared" ref="E2130:F2130" si="3126">+E2129</f>
        <v>#REF!</v>
      </c>
      <c r="F2130" s="26" t="e">
        <f t="shared" si="3126"/>
        <v>#REF!</v>
      </c>
      <c r="G2130" s="17">
        <v>5</v>
      </c>
      <c r="H2130" s="17" t="s">
        <v>9</v>
      </c>
      <c r="I2130" s="30" t="s">
        <v>34</v>
      </c>
      <c r="J2130" s="22">
        <f>9.75+11.36+14.45+17.4</f>
        <v>52.96</v>
      </c>
      <c r="K2130" s="63">
        <f>8.5+8.5+8.55+8.3</f>
        <v>33.85</v>
      </c>
      <c r="L2130" s="8">
        <f t="shared" si="3121"/>
        <v>19.11</v>
      </c>
      <c r="M2130" s="24">
        <f t="shared" si="3119"/>
        <v>0.50878594249201281</v>
      </c>
      <c r="N2130" s="14"/>
    </row>
    <row r="2131" spans="1:14" x14ac:dyDescent="0.25">
      <c r="A2131" s="20">
        <v>44607</v>
      </c>
      <c r="B2131" s="1">
        <f t="shared" ref="B2131" si="3127">B2126</f>
        <v>178</v>
      </c>
      <c r="C2131" s="1" t="s">
        <v>497</v>
      </c>
      <c r="D2131" s="1" t="s">
        <v>186</v>
      </c>
      <c r="E2131" s="26" t="e">
        <f t="shared" ref="E2131:F2131" si="3128">+E2130</f>
        <v>#REF!</v>
      </c>
      <c r="F2131" s="26" t="e">
        <f t="shared" si="3128"/>
        <v>#REF!</v>
      </c>
      <c r="G2131" s="17">
        <v>6</v>
      </c>
      <c r="H2131" s="17" t="s">
        <v>9</v>
      </c>
      <c r="I2131" s="30" t="s">
        <v>35</v>
      </c>
      <c r="J2131" s="22">
        <v>5</v>
      </c>
      <c r="K2131" s="22">
        <f>0.5+0.55</f>
        <v>1.05</v>
      </c>
      <c r="L2131" s="8">
        <f t="shared" si="3121"/>
        <v>3.95</v>
      </c>
      <c r="M2131" s="24">
        <f t="shared" si="3119"/>
        <v>0.10516506922257723</v>
      </c>
      <c r="N2131" s="14"/>
    </row>
    <row r="2132" spans="1:14" x14ac:dyDescent="0.25">
      <c r="A2132" s="20">
        <v>44607</v>
      </c>
      <c r="B2132" s="1">
        <f t="shared" ref="B2132" si="3129">B2126</f>
        <v>178</v>
      </c>
      <c r="C2132" s="1" t="s">
        <v>497</v>
      </c>
      <c r="D2132" s="1" t="s">
        <v>186</v>
      </c>
      <c r="E2132" s="26" t="e">
        <f t="shared" ref="E2132:F2132" si="3130">+E2131</f>
        <v>#REF!</v>
      </c>
      <c r="F2132" s="26" t="e">
        <f t="shared" si="3130"/>
        <v>#REF!</v>
      </c>
      <c r="G2132" s="17">
        <v>7</v>
      </c>
      <c r="H2132" s="17" t="s">
        <v>9</v>
      </c>
      <c r="I2132" s="30" t="s">
        <v>36</v>
      </c>
      <c r="J2132" s="22"/>
      <c r="K2132" s="22"/>
      <c r="L2132" s="8">
        <f t="shared" si="3121"/>
        <v>0</v>
      </c>
      <c r="M2132" s="24">
        <f t="shared" si="3119"/>
        <v>0</v>
      </c>
      <c r="N2132" s="14"/>
    </row>
    <row r="2133" spans="1:14" x14ac:dyDescent="0.25">
      <c r="A2133" s="20">
        <v>44607</v>
      </c>
      <c r="B2133" s="1">
        <f t="shared" ref="B2133" si="3131">B2126</f>
        <v>178</v>
      </c>
      <c r="C2133" s="1" t="s">
        <v>497</v>
      </c>
      <c r="D2133" s="1" t="s">
        <v>186</v>
      </c>
      <c r="E2133" s="26" t="e">
        <f>+E2132</f>
        <v>#REF!</v>
      </c>
      <c r="F2133" s="26" t="e">
        <f>+F2132</f>
        <v>#REF!</v>
      </c>
      <c r="G2133" s="17">
        <v>8</v>
      </c>
      <c r="H2133" s="17" t="s">
        <v>9</v>
      </c>
      <c r="I2133" s="30" t="s">
        <v>59</v>
      </c>
      <c r="J2133" s="22"/>
      <c r="K2133" s="22"/>
      <c r="L2133" s="8">
        <f t="shared" si="3121"/>
        <v>0</v>
      </c>
      <c r="M2133" s="24">
        <f t="shared" si="3119"/>
        <v>0</v>
      </c>
      <c r="N2133" s="14"/>
    </row>
    <row r="2134" spans="1:14" x14ac:dyDescent="0.25">
      <c r="A2134" s="20">
        <v>44607</v>
      </c>
      <c r="B2134" s="1">
        <f t="shared" ref="B2134" si="3132">B2126</f>
        <v>178</v>
      </c>
      <c r="C2134" s="1" t="s">
        <v>497</v>
      </c>
      <c r="D2134" s="1" t="s">
        <v>186</v>
      </c>
      <c r="E2134" s="26" t="e">
        <f t="shared" ref="E2134:F2134" si="3133">+E2133</f>
        <v>#REF!</v>
      </c>
      <c r="F2134" s="26" t="e">
        <f t="shared" si="3133"/>
        <v>#REF!</v>
      </c>
      <c r="G2134" s="17">
        <v>9</v>
      </c>
      <c r="H2134" s="17" t="s">
        <v>9</v>
      </c>
      <c r="I2134" s="30" t="s">
        <v>38</v>
      </c>
      <c r="J2134" s="22"/>
      <c r="K2134" s="22"/>
      <c r="L2134" s="8">
        <f t="shared" si="3121"/>
        <v>0</v>
      </c>
      <c r="M2134" s="24">
        <f t="shared" si="3119"/>
        <v>0</v>
      </c>
      <c r="N2134" s="14"/>
    </row>
    <row r="2135" spans="1:14" x14ac:dyDescent="0.25">
      <c r="A2135" s="20">
        <v>44607</v>
      </c>
      <c r="B2135" s="1">
        <f t="shared" ref="B2135" si="3134">B2126</f>
        <v>178</v>
      </c>
      <c r="C2135" s="1" t="s">
        <v>497</v>
      </c>
      <c r="D2135" s="1" t="s">
        <v>186</v>
      </c>
      <c r="E2135" s="26" t="e">
        <f t="shared" ref="E2135:F2135" si="3135">+E2134</f>
        <v>#REF!</v>
      </c>
      <c r="F2135" s="26" t="e">
        <f t="shared" si="3135"/>
        <v>#REF!</v>
      </c>
      <c r="G2135" s="17">
        <v>10</v>
      </c>
      <c r="H2135" s="17" t="s">
        <v>9</v>
      </c>
      <c r="I2135" s="30" t="s">
        <v>23</v>
      </c>
      <c r="J2135" s="22">
        <v>0.7</v>
      </c>
      <c r="K2135" s="22">
        <v>0.55000000000000004</v>
      </c>
      <c r="L2135" s="8">
        <f t="shared" si="3121"/>
        <v>0.14999999999999991</v>
      </c>
      <c r="M2135" s="24">
        <f t="shared" si="3119"/>
        <v>3.9936102236421706E-3</v>
      </c>
      <c r="N2135" s="14"/>
    </row>
    <row r="2136" spans="1:14" x14ac:dyDescent="0.25">
      <c r="A2136" s="20">
        <v>44607</v>
      </c>
      <c r="B2136" s="1">
        <f t="shared" ref="B2136" si="3136">B2126</f>
        <v>178</v>
      </c>
      <c r="C2136" s="1" t="s">
        <v>497</v>
      </c>
      <c r="D2136" s="1" t="s">
        <v>186</v>
      </c>
      <c r="E2136" s="26" t="e">
        <f t="shared" ref="E2136:F2136" si="3137">+E2135</f>
        <v>#REF!</v>
      </c>
      <c r="F2136" s="26" t="e">
        <f t="shared" si="3137"/>
        <v>#REF!</v>
      </c>
      <c r="G2136" s="17">
        <v>11</v>
      </c>
      <c r="H2136" s="17" t="s">
        <v>9</v>
      </c>
      <c r="I2136" s="30" t="s">
        <v>60</v>
      </c>
      <c r="J2136" s="22"/>
      <c r="K2136" s="22"/>
      <c r="L2136" s="8">
        <f t="shared" si="3121"/>
        <v>0</v>
      </c>
      <c r="M2136" s="24">
        <f t="shared" si="3119"/>
        <v>0</v>
      </c>
      <c r="N2136" s="14"/>
    </row>
    <row r="2137" spans="1:14" ht="15.75" thickBot="1" x14ac:dyDescent="0.3">
      <c r="A2137" s="20">
        <v>44607</v>
      </c>
      <c r="B2137" s="57">
        <f t="shared" ref="B2137" si="3138">B2126</f>
        <v>178</v>
      </c>
      <c r="C2137" s="1" t="s">
        <v>497</v>
      </c>
      <c r="D2137" s="1" t="s">
        <v>186</v>
      </c>
      <c r="E2137" s="26" t="e">
        <f t="shared" ref="E2137:F2137" si="3139">+E2136</f>
        <v>#REF!</v>
      </c>
      <c r="F2137" s="26" t="e">
        <f t="shared" si="3139"/>
        <v>#REF!</v>
      </c>
      <c r="G2137" s="18">
        <f>+G2136+1</f>
        <v>12</v>
      </c>
      <c r="H2137" s="18" t="s">
        <v>10</v>
      </c>
      <c r="I2137" s="46" t="s">
        <v>10</v>
      </c>
      <c r="J2137" s="22">
        <f>12.8+17.5</f>
        <v>30.3</v>
      </c>
      <c r="K2137" s="63">
        <f>8.55+8.55</f>
        <v>17.100000000000001</v>
      </c>
      <c r="L2137" s="8">
        <f t="shared" si="3121"/>
        <v>13.2</v>
      </c>
      <c r="M2137" s="24">
        <f t="shared" si="3119"/>
        <v>0.3514376996805112</v>
      </c>
      <c r="N2137" s="14"/>
    </row>
    <row r="2138" spans="1:14" x14ac:dyDescent="0.25">
      <c r="A2138" s="19">
        <v>44607</v>
      </c>
      <c r="B2138" s="15">
        <f t="shared" ref="B2138" si="3140">B2126+1</f>
        <v>179</v>
      </c>
      <c r="C2138" s="15" t="s">
        <v>498</v>
      </c>
      <c r="D2138" s="15" t="s">
        <v>23</v>
      </c>
      <c r="E2138" s="25">
        <f>37.8-1.2</f>
        <v>36.599999999999994</v>
      </c>
      <c r="F2138" s="25">
        <f>+SUM(L2138:L2149)</f>
        <v>36.700000000000003</v>
      </c>
      <c r="G2138" s="16">
        <v>1</v>
      </c>
      <c r="H2138" s="16" t="s">
        <v>9</v>
      </c>
      <c r="I2138" s="59" t="s">
        <v>56</v>
      </c>
      <c r="J2138" s="21"/>
      <c r="K2138" s="21"/>
      <c r="L2138" s="12">
        <f>+J2138-K2138</f>
        <v>0</v>
      </c>
      <c r="M2138" s="23">
        <f t="shared" ref="M2138:M2201" si="3141">+L2138/SUMIF(C:C,C2138,L:L)</f>
        <v>0</v>
      </c>
      <c r="N2138" s="13"/>
    </row>
    <row r="2139" spans="1:14" x14ac:dyDescent="0.25">
      <c r="A2139" s="20">
        <v>44607</v>
      </c>
      <c r="B2139" s="1">
        <f t="shared" ref="B2139" si="3142">B2138</f>
        <v>179</v>
      </c>
      <c r="C2139" s="1" t="s">
        <v>498</v>
      </c>
      <c r="D2139" s="1" t="s">
        <v>23</v>
      </c>
      <c r="E2139" s="26">
        <f>+E2138</f>
        <v>36.599999999999994</v>
      </c>
      <c r="F2139" s="28">
        <f>+(F2138-E2138)/E2138</f>
        <v>2.7322404371587033E-3</v>
      </c>
      <c r="G2139" s="17">
        <v>2</v>
      </c>
      <c r="H2139" s="17" t="s">
        <v>9</v>
      </c>
      <c r="I2139" s="30" t="s">
        <v>57</v>
      </c>
      <c r="J2139" s="22">
        <v>0.6</v>
      </c>
      <c r="K2139" s="22">
        <v>0.55000000000000004</v>
      </c>
      <c r="L2139" s="8">
        <f t="shared" ref="L2139:L2149" si="3143">+J2139-K2139</f>
        <v>4.9999999999999933E-2</v>
      </c>
      <c r="M2139" s="24">
        <f t="shared" si="3141"/>
        <v>1.3623978201634857E-3</v>
      </c>
      <c r="N2139" s="14"/>
    </row>
    <row r="2140" spans="1:14" x14ac:dyDescent="0.25">
      <c r="A2140" s="20">
        <v>44607</v>
      </c>
      <c r="B2140" s="1">
        <f t="shared" ref="B2140" si="3144">B2138</f>
        <v>179</v>
      </c>
      <c r="C2140" s="1" t="s">
        <v>498</v>
      </c>
      <c r="D2140" s="1" t="s">
        <v>23</v>
      </c>
      <c r="E2140" s="26" t="e">
        <f>+#REF!</f>
        <v>#REF!</v>
      </c>
      <c r="F2140" s="26" t="e">
        <f>+#REF!</f>
        <v>#REF!</v>
      </c>
      <c r="G2140" s="17">
        <v>3</v>
      </c>
      <c r="H2140" s="17" t="s">
        <v>9</v>
      </c>
      <c r="I2140" s="30" t="s">
        <v>58</v>
      </c>
      <c r="J2140" s="22"/>
      <c r="K2140" s="22"/>
      <c r="L2140" s="8">
        <f t="shared" si="3143"/>
        <v>0</v>
      </c>
      <c r="M2140" s="24">
        <f t="shared" si="3141"/>
        <v>0</v>
      </c>
      <c r="N2140" s="14"/>
    </row>
    <row r="2141" spans="1:14" x14ac:dyDescent="0.25">
      <c r="A2141" s="20">
        <v>44607</v>
      </c>
      <c r="B2141" s="1">
        <f t="shared" ref="B2141" si="3145">B2138</f>
        <v>179</v>
      </c>
      <c r="C2141" s="1" t="s">
        <v>498</v>
      </c>
      <c r="D2141" s="1" t="s">
        <v>23</v>
      </c>
      <c r="E2141" s="26" t="e">
        <f t="shared" ref="E2141:F2141" si="3146">+E2140</f>
        <v>#REF!</v>
      </c>
      <c r="F2141" s="26" t="e">
        <f t="shared" si="3146"/>
        <v>#REF!</v>
      </c>
      <c r="G2141" s="17">
        <v>4</v>
      </c>
      <c r="H2141" s="17" t="s">
        <v>9</v>
      </c>
      <c r="I2141" s="30" t="s">
        <v>22</v>
      </c>
      <c r="J2141" s="22">
        <v>0.6</v>
      </c>
      <c r="K2141" s="22">
        <v>0.55000000000000004</v>
      </c>
      <c r="L2141" s="8">
        <f t="shared" si="3143"/>
        <v>4.9999999999999933E-2</v>
      </c>
      <c r="M2141" s="24">
        <f t="shared" si="3141"/>
        <v>1.3623978201634857E-3</v>
      </c>
      <c r="N2141" s="14"/>
    </row>
    <row r="2142" spans="1:14" x14ac:dyDescent="0.25">
      <c r="A2142" s="20">
        <v>44607</v>
      </c>
      <c r="B2142" s="1">
        <f t="shared" ref="B2142" si="3147">B2138</f>
        <v>179</v>
      </c>
      <c r="C2142" s="1" t="s">
        <v>498</v>
      </c>
      <c r="D2142" s="1" t="s">
        <v>23</v>
      </c>
      <c r="E2142" s="26" t="e">
        <f t="shared" ref="E2142:F2142" si="3148">+E2141</f>
        <v>#REF!</v>
      </c>
      <c r="F2142" s="26" t="e">
        <f t="shared" si="3148"/>
        <v>#REF!</v>
      </c>
      <c r="G2142" s="17">
        <v>5</v>
      </c>
      <c r="H2142" s="17" t="s">
        <v>9</v>
      </c>
      <c r="I2142" s="30" t="s">
        <v>34</v>
      </c>
      <c r="J2142" s="22">
        <v>0.65</v>
      </c>
      <c r="K2142" s="63">
        <v>0.55000000000000004</v>
      </c>
      <c r="L2142" s="8">
        <f t="shared" si="3143"/>
        <v>9.9999999999999978E-2</v>
      </c>
      <c r="M2142" s="24">
        <f t="shared" si="3141"/>
        <v>2.7247956403269745E-3</v>
      </c>
      <c r="N2142" s="14"/>
    </row>
    <row r="2143" spans="1:14" x14ac:dyDescent="0.25">
      <c r="A2143" s="20">
        <v>44607</v>
      </c>
      <c r="B2143" s="1">
        <f t="shared" ref="B2143" si="3149">B2138</f>
        <v>179</v>
      </c>
      <c r="C2143" s="1" t="s">
        <v>498</v>
      </c>
      <c r="D2143" s="1" t="s">
        <v>23</v>
      </c>
      <c r="E2143" s="26" t="e">
        <f t="shared" ref="E2143:F2143" si="3150">+E2142</f>
        <v>#REF!</v>
      </c>
      <c r="F2143" s="26" t="e">
        <f t="shared" si="3150"/>
        <v>#REF!</v>
      </c>
      <c r="G2143" s="17">
        <v>6</v>
      </c>
      <c r="H2143" s="17" t="s">
        <v>9</v>
      </c>
      <c r="I2143" s="30" t="s">
        <v>35</v>
      </c>
      <c r="J2143" s="22"/>
      <c r="K2143" s="22"/>
      <c r="L2143" s="8">
        <f t="shared" si="3143"/>
        <v>0</v>
      </c>
      <c r="M2143" s="24">
        <f t="shared" si="3141"/>
        <v>0</v>
      </c>
      <c r="N2143" s="14"/>
    </row>
    <row r="2144" spans="1:14" x14ac:dyDescent="0.25">
      <c r="A2144" s="20">
        <v>44607</v>
      </c>
      <c r="B2144" s="1">
        <f t="shared" ref="B2144" si="3151">B2138</f>
        <v>179</v>
      </c>
      <c r="C2144" s="1" t="s">
        <v>498</v>
      </c>
      <c r="D2144" s="1" t="s">
        <v>23</v>
      </c>
      <c r="E2144" s="26" t="e">
        <f t="shared" ref="E2144:F2144" si="3152">+E2143</f>
        <v>#REF!</v>
      </c>
      <c r="F2144" s="26" t="e">
        <f t="shared" si="3152"/>
        <v>#REF!</v>
      </c>
      <c r="G2144" s="17">
        <v>7</v>
      </c>
      <c r="H2144" s="17" t="s">
        <v>9</v>
      </c>
      <c r="I2144" s="30" t="s">
        <v>36</v>
      </c>
      <c r="J2144" s="22"/>
      <c r="K2144" s="22"/>
      <c r="L2144" s="8">
        <f t="shared" si="3143"/>
        <v>0</v>
      </c>
      <c r="M2144" s="24">
        <f t="shared" si="3141"/>
        <v>0</v>
      </c>
      <c r="N2144" s="14"/>
    </row>
    <row r="2145" spans="1:14" x14ac:dyDescent="0.25">
      <c r="A2145" s="20">
        <v>44607</v>
      </c>
      <c r="B2145" s="1">
        <f t="shared" ref="B2145" si="3153">B2138</f>
        <v>179</v>
      </c>
      <c r="C2145" s="1" t="s">
        <v>498</v>
      </c>
      <c r="D2145" s="1" t="s">
        <v>23</v>
      </c>
      <c r="E2145" s="26" t="e">
        <f>+E2144</f>
        <v>#REF!</v>
      </c>
      <c r="F2145" s="26" t="e">
        <f>+F2144</f>
        <v>#REF!</v>
      </c>
      <c r="G2145" s="17">
        <v>8</v>
      </c>
      <c r="H2145" s="17" t="s">
        <v>9</v>
      </c>
      <c r="I2145" s="30" t="s">
        <v>59</v>
      </c>
      <c r="J2145" s="22">
        <f>11.35+11.1</f>
        <v>22.45</v>
      </c>
      <c r="K2145" s="22">
        <f>8.55+8.55</f>
        <v>17.100000000000001</v>
      </c>
      <c r="L2145" s="8">
        <f t="shared" si="3143"/>
        <v>5.3499999999999979</v>
      </c>
      <c r="M2145" s="24">
        <f t="shared" si="3141"/>
        <v>0.14577656675749312</v>
      </c>
      <c r="N2145" s="14"/>
    </row>
    <row r="2146" spans="1:14" x14ac:dyDescent="0.25">
      <c r="A2146" s="20">
        <v>44607</v>
      </c>
      <c r="B2146" s="1">
        <f t="shared" ref="B2146" si="3154">B2138</f>
        <v>179</v>
      </c>
      <c r="C2146" s="1" t="s">
        <v>498</v>
      </c>
      <c r="D2146" s="1" t="s">
        <v>23</v>
      </c>
      <c r="E2146" s="26" t="e">
        <f t="shared" ref="E2146:F2146" si="3155">+E2145</f>
        <v>#REF!</v>
      </c>
      <c r="F2146" s="26" t="e">
        <f t="shared" si="3155"/>
        <v>#REF!</v>
      </c>
      <c r="G2146" s="17">
        <v>9</v>
      </c>
      <c r="H2146" s="17" t="s">
        <v>9</v>
      </c>
      <c r="I2146" s="30" t="s">
        <v>38</v>
      </c>
      <c r="J2146" s="22"/>
      <c r="K2146" s="22"/>
      <c r="L2146" s="8">
        <f t="shared" si="3143"/>
        <v>0</v>
      </c>
      <c r="M2146" s="24">
        <f t="shared" si="3141"/>
        <v>0</v>
      </c>
      <c r="N2146" s="14"/>
    </row>
    <row r="2147" spans="1:14" x14ac:dyDescent="0.25">
      <c r="A2147" s="20">
        <v>44607</v>
      </c>
      <c r="B2147" s="1">
        <f t="shared" ref="B2147" si="3156">B2138</f>
        <v>179</v>
      </c>
      <c r="C2147" s="1" t="s">
        <v>498</v>
      </c>
      <c r="D2147" s="1" t="s">
        <v>23</v>
      </c>
      <c r="E2147" s="26" t="e">
        <f t="shared" ref="E2147:F2147" si="3157">+E2146</f>
        <v>#REF!</v>
      </c>
      <c r="F2147" s="26" t="e">
        <f t="shared" si="3157"/>
        <v>#REF!</v>
      </c>
      <c r="G2147" s="17">
        <v>10</v>
      </c>
      <c r="H2147" s="17" t="s">
        <v>9</v>
      </c>
      <c r="I2147" s="30" t="s">
        <v>23</v>
      </c>
      <c r="J2147" s="22">
        <f>13.1+11.4+13.7+11.85+11.55+12.35+15.65</f>
        <v>89.600000000000009</v>
      </c>
      <c r="K2147" s="22">
        <f>8.55+8.3+8.5+8.5+8.55+8.55+8.55</f>
        <v>59.5</v>
      </c>
      <c r="L2147" s="8">
        <f t="shared" si="3143"/>
        <v>30.100000000000009</v>
      </c>
      <c r="M2147" s="24">
        <f t="shared" si="3141"/>
        <v>0.82016348773841974</v>
      </c>
      <c r="N2147" s="14"/>
    </row>
    <row r="2148" spans="1:14" x14ac:dyDescent="0.25">
      <c r="A2148" s="20">
        <v>44607</v>
      </c>
      <c r="B2148" s="1">
        <f t="shared" ref="B2148" si="3158">B2138</f>
        <v>179</v>
      </c>
      <c r="C2148" s="1" t="s">
        <v>498</v>
      </c>
      <c r="D2148" s="1" t="s">
        <v>23</v>
      </c>
      <c r="E2148" s="26" t="e">
        <f t="shared" ref="E2148:F2148" si="3159">+E2147</f>
        <v>#REF!</v>
      </c>
      <c r="F2148" s="26" t="e">
        <f t="shared" si="3159"/>
        <v>#REF!</v>
      </c>
      <c r="G2148" s="17">
        <v>11</v>
      </c>
      <c r="H2148" s="17" t="s">
        <v>9</v>
      </c>
      <c r="I2148" s="30" t="s">
        <v>60</v>
      </c>
      <c r="J2148" s="22">
        <v>0.6</v>
      </c>
      <c r="K2148" s="22">
        <v>0.55000000000000004</v>
      </c>
      <c r="L2148" s="8">
        <f t="shared" si="3143"/>
        <v>4.9999999999999933E-2</v>
      </c>
      <c r="M2148" s="24">
        <f t="shared" si="3141"/>
        <v>1.3623978201634857E-3</v>
      </c>
      <c r="N2148" s="14"/>
    </row>
    <row r="2149" spans="1:14" ht="15.75" thickBot="1" x14ac:dyDescent="0.3">
      <c r="A2149" s="20">
        <v>44607</v>
      </c>
      <c r="B2149" s="57">
        <f t="shared" ref="B2149" si="3160">B2138</f>
        <v>179</v>
      </c>
      <c r="C2149" s="1" t="s">
        <v>498</v>
      </c>
      <c r="D2149" s="1" t="s">
        <v>23</v>
      </c>
      <c r="E2149" s="26" t="e">
        <f t="shared" ref="E2149:F2149" si="3161">+E2148</f>
        <v>#REF!</v>
      </c>
      <c r="F2149" s="26" t="e">
        <f t="shared" si="3161"/>
        <v>#REF!</v>
      </c>
      <c r="G2149" s="18">
        <f>+G2148+1</f>
        <v>12</v>
      </c>
      <c r="H2149" s="18" t="s">
        <v>10</v>
      </c>
      <c r="I2149" s="46" t="s">
        <v>10</v>
      </c>
      <c r="J2149" s="22">
        <f>9.55</f>
        <v>9.5500000000000007</v>
      </c>
      <c r="K2149" s="63">
        <f>8.55</f>
        <v>8.5500000000000007</v>
      </c>
      <c r="L2149" s="8">
        <f t="shared" si="3143"/>
        <v>1</v>
      </c>
      <c r="M2149" s="24">
        <f t="shared" si="3141"/>
        <v>2.7247956403269751E-2</v>
      </c>
      <c r="N2149" s="14"/>
    </row>
    <row r="2150" spans="1:14" x14ac:dyDescent="0.25">
      <c r="A2150" s="19">
        <v>44607</v>
      </c>
      <c r="B2150" s="15">
        <f t="shared" ref="B2150" si="3162">B2138+1</f>
        <v>180</v>
      </c>
      <c r="C2150" s="15" t="s">
        <v>499</v>
      </c>
      <c r="D2150" s="15" t="s">
        <v>22</v>
      </c>
      <c r="E2150" s="25">
        <f>42-1.2</f>
        <v>40.799999999999997</v>
      </c>
      <c r="F2150" s="25">
        <f>+SUM(L2150:L2161)</f>
        <v>40.149999999999977</v>
      </c>
      <c r="G2150" s="16">
        <v>1</v>
      </c>
      <c r="H2150" s="16" t="s">
        <v>9</v>
      </c>
      <c r="I2150" s="59" t="s">
        <v>56</v>
      </c>
      <c r="J2150" s="21"/>
      <c r="K2150" s="21"/>
      <c r="L2150" s="12">
        <f>+J2150-K2150</f>
        <v>0</v>
      </c>
      <c r="M2150" s="23">
        <f t="shared" si="3141"/>
        <v>0</v>
      </c>
      <c r="N2150" s="13"/>
    </row>
    <row r="2151" spans="1:14" x14ac:dyDescent="0.25">
      <c r="A2151" s="20">
        <v>44607</v>
      </c>
      <c r="B2151" s="1">
        <f t="shared" ref="B2151" si="3163">B2150</f>
        <v>180</v>
      </c>
      <c r="C2151" s="1" t="s">
        <v>499</v>
      </c>
      <c r="D2151" s="1" t="s">
        <v>22</v>
      </c>
      <c r="E2151" s="26">
        <f>+E2150</f>
        <v>40.799999999999997</v>
      </c>
      <c r="F2151" s="28">
        <f>+(F2150-E2150)/E2150</f>
        <v>-1.5931372549020096E-2</v>
      </c>
      <c r="G2151" s="17">
        <v>2</v>
      </c>
      <c r="H2151" s="17" t="s">
        <v>9</v>
      </c>
      <c r="I2151" s="30" t="s">
        <v>57</v>
      </c>
      <c r="J2151" s="22">
        <v>0.75</v>
      </c>
      <c r="K2151" s="22">
        <v>0.55000000000000004</v>
      </c>
      <c r="L2151" s="8">
        <f t="shared" ref="L2151:L2161" si="3164">+J2151-K2151</f>
        <v>0.19999999999999996</v>
      </c>
      <c r="M2151" s="24">
        <f t="shared" si="3141"/>
        <v>4.9813200498132022E-3</v>
      </c>
      <c r="N2151" s="14"/>
    </row>
    <row r="2152" spans="1:14" x14ac:dyDescent="0.25">
      <c r="A2152" s="20">
        <v>44607</v>
      </c>
      <c r="B2152" s="1">
        <f t="shared" ref="B2152" si="3165">B2150</f>
        <v>180</v>
      </c>
      <c r="C2152" s="1" t="s">
        <v>499</v>
      </c>
      <c r="D2152" s="1" t="s">
        <v>22</v>
      </c>
      <c r="E2152" s="26" t="e">
        <f>+#REF!</f>
        <v>#REF!</v>
      </c>
      <c r="F2152" s="26" t="e">
        <f>+#REF!</f>
        <v>#REF!</v>
      </c>
      <c r="G2152" s="17">
        <v>3</v>
      </c>
      <c r="H2152" s="17" t="s">
        <v>9</v>
      </c>
      <c r="I2152" s="30" t="s">
        <v>58</v>
      </c>
      <c r="J2152" s="22">
        <v>1.6</v>
      </c>
      <c r="K2152" s="22">
        <v>0.55000000000000004</v>
      </c>
      <c r="L2152" s="8">
        <f t="shared" si="3164"/>
        <v>1.05</v>
      </c>
      <c r="M2152" s="24">
        <f t="shared" si="3141"/>
        <v>2.6151930261519317E-2</v>
      </c>
      <c r="N2152" s="14"/>
    </row>
    <row r="2153" spans="1:14" x14ac:dyDescent="0.25">
      <c r="A2153" s="20">
        <v>44607</v>
      </c>
      <c r="B2153" s="1">
        <f t="shared" ref="B2153" si="3166">B2150</f>
        <v>180</v>
      </c>
      <c r="C2153" s="1" t="s">
        <v>499</v>
      </c>
      <c r="D2153" s="1" t="s">
        <v>22</v>
      </c>
      <c r="E2153" s="26" t="e">
        <f t="shared" ref="E2153:F2153" si="3167">+E2152</f>
        <v>#REF!</v>
      </c>
      <c r="F2153" s="26" t="e">
        <f t="shared" si="3167"/>
        <v>#REF!</v>
      </c>
      <c r="G2153" s="17">
        <v>4</v>
      </c>
      <c r="H2153" s="17" t="s">
        <v>9</v>
      </c>
      <c r="I2153" s="30" t="s">
        <v>22</v>
      </c>
      <c r="J2153" s="22">
        <f>16.2+15.25+16.35+13.3+11.55+14.35</f>
        <v>86.999999999999986</v>
      </c>
      <c r="K2153" s="22">
        <f>8.5+8.55+8.55+8.3+8.55+8.55</f>
        <v>51</v>
      </c>
      <c r="L2153" s="8">
        <f t="shared" si="3164"/>
        <v>35.999999999999986</v>
      </c>
      <c r="M2153" s="24">
        <f t="shared" si="3141"/>
        <v>0.89663760896637623</v>
      </c>
      <c r="N2153" s="14"/>
    </row>
    <row r="2154" spans="1:14" x14ac:dyDescent="0.25">
      <c r="A2154" s="20">
        <v>44607</v>
      </c>
      <c r="B2154" s="1">
        <f t="shared" ref="B2154" si="3168">B2150</f>
        <v>180</v>
      </c>
      <c r="C2154" s="1" t="s">
        <v>499</v>
      </c>
      <c r="D2154" s="1" t="s">
        <v>22</v>
      </c>
      <c r="E2154" s="26" t="e">
        <f t="shared" ref="E2154:F2154" si="3169">+E2153</f>
        <v>#REF!</v>
      </c>
      <c r="F2154" s="26" t="e">
        <f t="shared" si="3169"/>
        <v>#REF!</v>
      </c>
      <c r="G2154" s="17">
        <v>5</v>
      </c>
      <c r="H2154" s="17" t="s">
        <v>9</v>
      </c>
      <c r="I2154" s="30" t="s">
        <v>34</v>
      </c>
      <c r="J2154" s="22">
        <v>0.6</v>
      </c>
      <c r="K2154" s="63">
        <v>0.55000000000000004</v>
      </c>
      <c r="L2154" s="8">
        <f t="shared" si="3164"/>
        <v>4.9999999999999933E-2</v>
      </c>
      <c r="M2154" s="24">
        <f t="shared" si="3141"/>
        <v>1.2453300124532992E-3</v>
      </c>
      <c r="N2154" s="14"/>
    </row>
    <row r="2155" spans="1:14" x14ac:dyDescent="0.25">
      <c r="A2155" s="20">
        <v>44607</v>
      </c>
      <c r="B2155" s="1">
        <f t="shared" ref="B2155" si="3170">B2150</f>
        <v>180</v>
      </c>
      <c r="C2155" s="1" t="s">
        <v>499</v>
      </c>
      <c r="D2155" s="1" t="s">
        <v>22</v>
      </c>
      <c r="E2155" s="26" t="e">
        <f t="shared" ref="E2155:F2155" si="3171">+E2154</f>
        <v>#REF!</v>
      </c>
      <c r="F2155" s="26" t="e">
        <f t="shared" si="3171"/>
        <v>#REF!</v>
      </c>
      <c r="G2155" s="17">
        <v>6</v>
      </c>
      <c r="H2155" s="17" t="s">
        <v>9</v>
      </c>
      <c r="I2155" s="30" t="s">
        <v>35</v>
      </c>
      <c r="J2155" s="22"/>
      <c r="K2155" s="22"/>
      <c r="L2155" s="8">
        <f t="shared" si="3164"/>
        <v>0</v>
      </c>
      <c r="M2155" s="24">
        <f t="shared" si="3141"/>
        <v>0</v>
      </c>
      <c r="N2155" s="14"/>
    </row>
    <row r="2156" spans="1:14" x14ac:dyDescent="0.25">
      <c r="A2156" s="20">
        <v>44607</v>
      </c>
      <c r="B2156" s="1">
        <f t="shared" ref="B2156" si="3172">B2150</f>
        <v>180</v>
      </c>
      <c r="C2156" s="1" t="s">
        <v>499</v>
      </c>
      <c r="D2156" s="1" t="s">
        <v>22</v>
      </c>
      <c r="E2156" s="26" t="e">
        <f t="shared" ref="E2156:F2156" si="3173">+E2155</f>
        <v>#REF!</v>
      </c>
      <c r="F2156" s="26" t="e">
        <f t="shared" si="3173"/>
        <v>#REF!</v>
      </c>
      <c r="G2156" s="17">
        <v>7</v>
      </c>
      <c r="H2156" s="17" t="s">
        <v>9</v>
      </c>
      <c r="I2156" s="30" t="s">
        <v>36</v>
      </c>
      <c r="J2156" s="22"/>
      <c r="K2156" s="22"/>
      <c r="L2156" s="8">
        <f t="shared" si="3164"/>
        <v>0</v>
      </c>
      <c r="M2156" s="24">
        <f t="shared" si="3141"/>
        <v>0</v>
      </c>
      <c r="N2156" s="14"/>
    </row>
    <row r="2157" spans="1:14" x14ac:dyDescent="0.25">
      <c r="A2157" s="20">
        <v>44607</v>
      </c>
      <c r="B2157" s="1">
        <f t="shared" ref="B2157" si="3174">B2150</f>
        <v>180</v>
      </c>
      <c r="C2157" s="1" t="s">
        <v>499</v>
      </c>
      <c r="D2157" s="1" t="s">
        <v>22</v>
      </c>
      <c r="E2157" s="26" t="e">
        <f>+E2156</f>
        <v>#REF!</v>
      </c>
      <c r="F2157" s="26" t="e">
        <f>+F2156</f>
        <v>#REF!</v>
      </c>
      <c r="G2157" s="17">
        <v>8</v>
      </c>
      <c r="H2157" s="17" t="s">
        <v>9</v>
      </c>
      <c r="I2157" s="30" t="s">
        <v>59</v>
      </c>
      <c r="J2157" s="22">
        <v>0.8</v>
      </c>
      <c r="K2157" s="22">
        <v>0.5</v>
      </c>
      <c r="L2157" s="8">
        <f t="shared" si="3164"/>
        <v>0.30000000000000004</v>
      </c>
      <c r="M2157" s="24">
        <f t="shared" si="3141"/>
        <v>7.4719800747198063E-3</v>
      </c>
      <c r="N2157" s="14"/>
    </row>
    <row r="2158" spans="1:14" x14ac:dyDescent="0.25">
      <c r="A2158" s="20">
        <v>44607</v>
      </c>
      <c r="B2158" s="1">
        <f t="shared" ref="B2158" si="3175">B2150</f>
        <v>180</v>
      </c>
      <c r="C2158" s="1" t="s">
        <v>499</v>
      </c>
      <c r="D2158" s="1" t="s">
        <v>22</v>
      </c>
      <c r="E2158" s="26" t="e">
        <f t="shared" ref="E2158:F2158" si="3176">+E2157</f>
        <v>#REF!</v>
      </c>
      <c r="F2158" s="26" t="e">
        <f t="shared" si="3176"/>
        <v>#REF!</v>
      </c>
      <c r="G2158" s="17">
        <v>9</v>
      </c>
      <c r="H2158" s="17" t="s">
        <v>9</v>
      </c>
      <c r="I2158" s="30" t="s">
        <v>38</v>
      </c>
      <c r="J2158" s="22"/>
      <c r="K2158" s="22"/>
      <c r="L2158" s="8">
        <f t="shared" si="3164"/>
        <v>0</v>
      </c>
      <c r="M2158" s="24">
        <f t="shared" si="3141"/>
        <v>0</v>
      </c>
      <c r="N2158" s="14"/>
    </row>
    <row r="2159" spans="1:14" x14ac:dyDescent="0.25">
      <c r="A2159" s="20">
        <v>44607</v>
      </c>
      <c r="B2159" s="1">
        <f t="shared" ref="B2159" si="3177">B2150</f>
        <v>180</v>
      </c>
      <c r="C2159" s="1" t="s">
        <v>499</v>
      </c>
      <c r="D2159" s="1" t="s">
        <v>22</v>
      </c>
      <c r="E2159" s="26" t="e">
        <f t="shared" ref="E2159:F2159" si="3178">+E2158</f>
        <v>#REF!</v>
      </c>
      <c r="F2159" s="26" t="e">
        <f t="shared" si="3178"/>
        <v>#REF!</v>
      </c>
      <c r="G2159" s="17">
        <v>10</v>
      </c>
      <c r="H2159" s="17" t="s">
        <v>9</v>
      </c>
      <c r="I2159" s="30" t="s">
        <v>23</v>
      </c>
      <c r="J2159" s="22">
        <v>1.75</v>
      </c>
      <c r="K2159" s="22">
        <v>0.55000000000000004</v>
      </c>
      <c r="L2159" s="8">
        <f t="shared" si="3164"/>
        <v>1.2</v>
      </c>
      <c r="M2159" s="24">
        <f t="shared" si="3141"/>
        <v>2.9887920298879218E-2</v>
      </c>
      <c r="N2159" s="14"/>
    </row>
    <row r="2160" spans="1:14" x14ac:dyDescent="0.25">
      <c r="A2160" s="20">
        <v>44607</v>
      </c>
      <c r="B2160" s="1">
        <f t="shared" ref="B2160" si="3179">B2150</f>
        <v>180</v>
      </c>
      <c r="C2160" s="1" t="s">
        <v>499</v>
      </c>
      <c r="D2160" s="1" t="s">
        <v>22</v>
      </c>
      <c r="E2160" s="26" t="e">
        <f t="shared" ref="E2160:F2160" si="3180">+E2159</f>
        <v>#REF!</v>
      </c>
      <c r="F2160" s="26" t="e">
        <f t="shared" si="3180"/>
        <v>#REF!</v>
      </c>
      <c r="G2160" s="17">
        <v>11</v>
      </c>
      <c r="H2160" s="17" t="s">
        <v>9</v>
      </c>
      <c r="I2160" s="30" t="s">
        <v>60</v>
      </c>
      <c r="J2160" s="22">
        <v>0.6</v>
      </c>
      <c r="K2160" s="22">
        <v>0.55000000000000004</v>
      </c>
      <c r="L2160" s="8">
        <f t="shared" si="3164"/>
        <v>4.9999999999999933E-2</v>
      </c>
      <c r="M2160" s="24">
        <f t="shared" si="3141"/>
        <v>1.2453300124532992E-3</v>
      </c>
      <c r="N2160" s="14"/>
    </row>
    <row r="2161" spans="1:14" ht="15.75" thickBot="1" x14ac:dyDescent="0.3">
      <c r="A2161" s="20">
        <v>44607</v>
      </c>
      <c r="B2161" s="57">
        <f t="shared" ref="B2161" si="3181">B2150</f>
        <v>180</v>
      </c>
      <c r="C2161" s="1" t="s">
        <v>499</v>
      </c>
      <c r="D2161" s="1" t="s">
        <v>22</v>
      </c>
      <c r="E2161" s="26" t="e">
        <f t="shared" ref="E2161:F2161" si="3182">+E2160</f>
        <v>#REF!</v>
      </c>
      <c r="F2161" s="26" t="e">
        <f t="shared" si="3182"/>
        <v>#REF!</v>
      </c>
      <c r="G2161" s="18">
        <f>+G2160+1</f>
        <v>12</v>
      </c>
      <c r="H2161" s="18" t="s">
        <v>10</v>
      </c>
      <c r="I2161" s="46" t="s">
        <v>10</v>
      </c>
      <c r="J2161" s="22">
        <v>9.85</v>
      </c>
      <c r="K2161" s="63">
        <v>8.5500000000000007</v>
      </c>
      <c r="L2161" s="8">
        <f t="shared" si="3164"/>
        <v>1.2999999999999989</v>
      </c>
      <c r="M2161" s="24">
        <f t="shared" si="3141"/>
        <v>3.2378580323785794E-2</v>
      </c>
      <c r="N2161" s="14"/>
    </row>
    <row r="2162" spans="1:14" x14ac:dyDescent="0.25">
      <c r="A2162" s="19">
        <v>44607</v>
      </c>
      <c r="B2162" s="15">
        <f t="shared" ref="B2162" si="3183">B2150+1</f>
        <v>181</v>
      </c>
      <c r="C2162" s="15" t="s">
        <v>500</v>
      </c>
      <c r="D2162" s="15" t="s">
        <v>183</v>
      </c>
      <c r="E2162" s="25">
        <f>20.9-1.2</f>
        <v>19.7</v>
      </c>
      <c r="F2162" s="25">
        <f>+SUM(L2162:L2173)</f>
        <v>19.20000000000001</v>
      </c>
      <c r="G2162" s="16">
        <v>1</v>
      </c>
      <c r="H2162" s="16" t="s">
        <v>9</v>
      </c>
      <c r="I2162" s="59" t="s">
        <v>56</v>
      </c>
      <c r="J2162" s="21"/>
      <c r="K2162" s="21"/>
      <c r="L2162" s="12">
        <f>+J2162-K2162</f>
        <v>0</v>
      </c>
      <c r="M2162" s="23">
        <f t="shared" si="3141"/>
        <v>0</v>
      </c>
      <c r="N2162" s="13"/>
    </row>
    <row r="2163" spans="1:14" x14ac:dyDescent="0.25">
      <c r="A2163" s="20">
        <v>44607</v>
      </c>
      <c r="B2163" s="1">
        <f t="shared" ref="B2163" si="3184">B2162</f>
        <v>181</v>
      </c>
      <c r="C2163" s="1" t="s">
        <v>500</v>
      </c>
      <c r="D2163" s="1" t="s">
        <v>183</v>
      </c>
      <c r="E2163" s="26">
        <f>+E2162</f>
        <v>19.7</v>
      </c>
      <c r="F2163" s="28">
        <f>+(F2162-E2162)/E2162</f>
        <v>-2.5380710659897936E-2</v>
      </c>
      <c r="G2163" s="17">
        <v>2</v>
      </c>
      <c r="H2163" s="17" t="s">
        <v>9</v>
      </c>
      <c r="I2163" s="30" t="s">
        <v>57</v>
      </c>
      <c r="J2163" s="22"/>
      <c r="K2163" s="22"/>
      <c r="L2163" s="8">
        <f t="shared" ref="L2163:L2173" si="3185">+J2163-K2163</f>
        <v>0</v>
      </c>
      <c r="M2163" s="24">
        <f t="shared" si="3141"/>
        <v>0</v>
      </c>
      <c r="N2163" s="14"/>
    </row>
    <row r="2164" spans="1:14" x14ac:dyDescent="0.25">
      <c r="A2164" s="20">
        <v>44607</v>
      </c>
      <c r="B2164" s="1">
        <f t="shared" ref="B2164" si="3186">B2162</f>
        <v>181</v>
      </c>
      <c r="C2164" s="1" t="s">
        <v>500</v>
      </c>
      <c r="D2164" s="1" t="s">
        <v>183</v>
      </c>
      <c r="E2164" s="26" t="e">
        <f>+#REF!</f>
        <v>#REF!</v>
      </c>
      <c r="F2164" s="26" t="e">
        <f>+#REF!</f>
        <v>#REF!</v>
      </c>
      <c r="G2164" s="17">
        <v>3</v>
      </c>
      <c r="H2164" s="17" t="s">
        <v>9</v>
      </c>
      <c r="I2164" s="30" t="s">
        <v>58</v>
      </c>
      <c r="J2164" s="22">
        <v>0.6</v>
      </c>
      <c r="K2164" s="22">
        <v>0.55000000000000004</v>
      </c>
      <c r="L2164" s="8">
        <f t="shared" si="3185"/>
        <v>4.9999999999999933E-2</v>
      </c>
      <c r="M2164" s="24">
        <f t="shared" si="3141"/>
        <v>2.6041666666666618E-3</v>
      </c>
      <c r="N2164" s="14"/>
    </row>
    <row r="2165" spans="1:14" x14ac:dyDescent="0.25">
      <c r="A2165" s="20">
        <v>44607</v>
      </c>
      <c r="B2165" s="1">
        <f t="shared" ref="B2165" si="3187">B2162</f>
        <v>181</v>
      </c>
      <c r="C2165" s="1" t="s">
        <v>500</v>
      </c>
      <c r="D2165" s="1" t="s">
        <v>183</v>
      </c>
      <c r="E2165" s="26" t="e">
        <f t="shared" ref="E2165:F2165" si="3188">+E2164</f>
        <v>#REF!</v>
      </c>
      <c r="F2165" s="26" t="e">
        <f t="shared" si="3188"/>
        <v>#REF!</v>
      </c>
      <c r="G2165" s="17">
        <v>4</v>
      </c>
      <c r="H2165" s="17" t="s">
        <v>9</v>
      </c>
      <c r="I2165" s="30" t="s">
        <v>22</v>
      </c>
      <c r="J2165" s="22"/>
      <c r="K2165" s="22"/>
      <c r="L2165" s="8">
        <f t="shared" si="3185"/>
        <v>0</v>
      </c>
      <c r="M2165" s="24">
        <f t="shared" si="3141"/>
        <v>0</v>
      </c>
      <c r="N2165" s="14"/>
    </row>
    <row r="2166" spans="1:14" x14ac:dyDescent="0.25">
      <c r="A2166" s="20">
        <v>44607</v>
      </c>
      <c r="B2166" s="1">
        <f t="shared" ref="B2166" si="3189">B2162</f>
        <v>181</v>
      </c>
      <c r="C2166" s="1" t="s">
        <v>500</v>
      </c>
      <c r="D2166" s="1" t="s">
        <v>183</v>
      </c>
      <c r="E2166" s="26" t="e">
        <f t="shared" ref="E2166:F2166" si="3190">+E2165</f>
        <v>#REF!</v>
      </c>
      <c r="F2166" s="26" t="e">
        <f t="shared" si="3190"/>
        <v>#REF!</v>
      </c>
      <c r="G2166" s="17">
        <v>5</v>
      </c>
      <c r="H2166" s="17" t="s">
        <v>9</v>
      </c>
      <c r="I2166" s="30" t="s">
        <v>34</v>
      </c>
      <c r="J2166" s="22"/>
      <c r="K2166" s="63"/>
      <c r="L2166" s="8">
        <f t="shared" si="3185"/>
        <v>0</v>
      </c>
      <c r="M2166" s="24">
        <f t="shared" si="3141"/>
        <v>0</v>
      </c>
      <c r="N2166" s="14"/>
    </row>
    <row r="2167" spans="1:14" x14ac:dyDescent="0.25">
      <c r="A2167" s="20">
        <v>44607</v>
      </c>
      <c r="B2167" s="1">
        <f t="shared" ref="B2167" si="3191">B2162</f>
        <v>181</v>
      </c>
      <c r="C2167" s="1" t="s">
        <v>500</v>
      </c>
      <c r="D2167" s="1" t="s">
        <v>183</v>
      </c>
      <c r="E2167" s="26" t="e">
        <f t="shared" ref="E2167:F2167" si="3192">+E2166</f>
        <v>#REF!</v>
      </c>
      <c r="F2167" s="26" t="e">
        <f t="shared" si="3192"/>
        <v>#REF!</v>
      </c>
      <c r="G2167" s="17">
        <v>6</v>
      </c>
      <c r="H2167" s="17" t="s">
        <v>9</v>
      </c>
      <c r="I2167" s="30" t="s">
        <v>35</v>
      </c>
      <c r="J2167" s="22"/>
      <c r="K2167" s="22"/>
      <c r="L2167" s="8">
        <f t="shared" si="3185"/>
        <v>0</v>
      </c>
      <c r="M2167" s="24">
        <f t="shared" si="3141"/>
        <v>0</v>
      </c>
      <c r="N2167" s="14"/>
    </row>
    <row r="2168" spans="1:14" x14ac:dyDescent="0.25">
      <c r="A2168" s="20">
        <v>44607</v>
      </c>
      <c r="B2168" s="1">
        <f t="shared" ref="B2168" si="3193">B2162</f>
        <v>181</v>
      </c>
      <c r="C2168" s="1" t="s">
        <v>500</v>
      </c>
      <c r="D2168" s="1" t="s">
        <v>183</v>
      </c>
      <c r="E2168" s="26" t="e">
        <f t="shared" ref="E2168:F2168" si="3194">+E2167</f>
        <v>#REF!</v>
      </c>
      <c r="F2168" s="26" t="e">
        <f t="shared" si="3194"/>
        <v>#REF!</v>
      </c>
      <c r="G2168" s="17">
        <v>7</v>
      </c>
      <c r="H2168" s="17" t="s">
        <v>9</v>
      </c>
      <c r="I2168" s="30" t="s">
        <v>36</v>
      </c>
      <c r="J2168" s="22"/>
      <c r="K2168" s="22"/>
      <c r="L2168" s="8">
        <f t="shared" si="3185"/>
        <v>0</v>
      </c>
      <c r="M2168" s="24">
        <f t="shared" si="3141"/>
        <v>0</v>
      </c>
      <c r="N2168" s="14"/>
    </row>
    <row r="2169" spans="1:14" x14ac:dyDescent="0.25">
      <c r="A2169" s="20">
        <v>44607</v>
      </c>
      <c r="B2169" s="1">
        <f t="shared" ref="B2169" si="3195">B2162</f>
        <v>181</v>
      </c>
      <c r="C2169" s="1" t="s">
        <v>500</v>
      </c>
      <c r="D2169" s="1" t="s">
        <v>183</v>
      </c>
      <c r="E2169" s="26" t="e">
        <f>+E2168</f>
        <v>#REF!</v>
      </c>
      <c r="F2169" s="26" t="e">
        <f>+F2168</f>
        <v>#REF!</v>
      </c>
      <c r="G2169" s="17">
        <v>8</v>
      </c>
      <c r="H2169" s="17" t="s">
        <v>9</v>
      </c>
      <c r="I2169" s="30" t="s">
        <v>59</v>
      </c>
      <c r="J2169" s="22"/>
      <c r="K2169" s="22"/>
      <c r="L2169" s="8">
        <f t="shared" si="3185"/>
        <v>0</v>
      </c>
      <c r="M2169" s="24">
        <f t="shared" si="3141"/>
        <v>0</v>
      </c>
      <c r="N2169" s="14"/>
    </row>
    <row r="2170" spans="1:14" x14ac:dyDescent="0.25">
      <c r="A2170" s="20">
        <v>44607</v>
      </c>
      <c r="B2170" s="1">
        <f t="shared" ref="B2170" si="3196">B2162</f>
        <v>181</v>
      </c>
      <c r="C2170" s="1" t="s">
        <v>500</v>
      </c>
      <c r="D2170" s="1" t="s">
        <v>183</v>
      </c>
      <c r="E2170" s="26" t="e">
        <f t="shared" ref="E2170:F2170" si="3197">+E2169</f>
        <v>#REF!</v>
      </c>
      <c r="F2170" s="26" t="e">
        <f t="shared" si="3197"/>
        <v>#REF!</v>
      </c>
      <c r="G2170" s="17">
        <v>9</v>
      </c>
      <c r="H2170" s="17" t="s">
        <v>9</v>
      </c>
      <c r="I2170" s="30" t="s">
        <v>38</v>
      </c>
      <c r="J2170" s="22"/>
      <c r="K2170" s="22"/>
      <c r="L2170" s="8">
        <f t="shared" si="3185"/>
        <v>0</v>
      </c>
      <c r="M2170" s="24">
        <f t="shared" si="3141"/>
        <v>0</v>
      </c>
      <c r="N2170" s="14"/>
    </row>
    <row r="2171" spans="1:14" x14ac:dyDescent="0.25">
      <c r="A2171" s="20">
        <v>44607</v>
      </c>
      <c r="B2171" s="1">
        <f t="shared" ref="B2171" si="3198">B2162</f>
        <v>181</v>
      </c>
      <c r="C2171" s="1" t="s">
        <v>500</v>
      </c>
      <c r="D2171" s="1" t="s">
        <v>183</v>
      </c>
      <c r="E2171" s="26" t="e">
        <f t="shared" ref="E2171:F2171" si="3199">+E2170</f>
        <v>#REF!</v>
      </c>
      <c r="F2171" s="26" t="e">
        <f t="shared" si="3199"/>
        <v>#REF!</v>
      </c>
      <c r="G2171" s="17">
        <v>10</v>
      </c>
      <c r="H2171" s="17" t="s">
        <v>9</v>
      </c>
      <c r="I2171" s="30" t="s">
        <v>23</v>
      </c>
      <c r="J2171" s="22">
        <f>2.05</f>
        <v>2.0499999999999998</v>
      </c>
      <c r="K2171" s="22">
        <f>0.55*2</f>
        <v>1.1000000000000001</v>
      </c>
      <c r="L2171" s="8">
        <f t="shared" si="3185"/>
        <v>0.94999999999999973</v>
      </c>
      <c r="M2171" s="24">
        <f t="shared" si="3141"/>
        <v>4.947916666666663E-2</v>
      </c>
      <c r="N2171" s="14"/>
    </row>
    <row r="2172" spans="1:14" x14ac:dyDescent="0.25">
      <c r="A2172" s="20">
        <v>44607</v>
      </c>
      <c r="B2172" s="1">
        <f t="shared" ref="B2172" si="3200">B2162</f>
        <v>181</v>
      </c>
      <c r="C2172" s="1" t="s">
        <v>500</v>
      </c>
      <c r="D2172" s="1" t="s">
        <v>183</v>
      </c>
      <c r="E2172" s="26" t="e">
        <f t="shared" ref="E2172:F2172" si="3201">+E2171</f>
        <v>#REF!</v>
      </c>
      <c r="F2172" s="26" t="e">
        <f t="shared" si="3201"/>
        <v>#REF!</v>
      </c>
      <c r="G2172" s="17">
        <v>11</v>
      </c>
      <c r="H2172" s="17" t="s">
        <v>9</v>
      </c>
      <c r="I2172" s="30" t="s">
        <v>60</v>
      </c>
      <c r="J2172" s="22">
        <f>11.35+11.15+10.05+10.7+10.05+8.85+10.75+9.4+11.75</f>
        <v>94.050000000000011</v>
      </c>
      <c r="K2172" s="22">
        <f>8.55+8.5+8.55+8.55+8.55+8.5+8.55+8.55+8.5</f>
        <v>76.8</v>
      </c>
      <c r="L2172" s="8">
        <f t="shared" si="3185"/>
        <v>17.250000000000014</v>
      </c>
      <c r="M2172" s="24">
        <f t="shared" si="3141"/>
        <v>0.89843750000000022</v>
      </c>
      <c r="N2172" s="14"/>
    </row>
    <row r="2173" spans="1:14" ht="15.75" thickBot="1" x14ac:dyDescent="0.3">
      <c r="A2173" s="20">
        <v>44607</v>
      </c>
      <c r="B2173" s="57">
        <f t="shared" ref="B2173" si="3202">B2162</f>
        <v>181</v>
      </c>
      <c r="C2173" s="1" t="s">
        <v>500</v>
      </c>
      <c r="D2173" s="1" t="s">
        <v>183</v>
      </c>
      <c r="E2173" s="26" t="e">
        <f t="shared" ref="E2173:F2173" si="3203">+E2172</f>
        <v>#REF!</v>
      </c>
      <c r="F2173" s="26" t="e">
        <f t="shared" si="3203"/>
        <v>#REF!</v>
      </c>
      <c r="G2173" s="18">
        <f>+G2172+1</f>
        <v>12</v>
      </c>
      <c r="H2173" s="18" t="s">
        <v>10</v>
      </c>
      <c r="I2173" s="46" t="s">
        <v>10</v>
      </c>
      <c r="J2173" s="22">
        <f>8.95+9.1</f>
        <v>18.049999999999997</v>
      </c>
      <c r="K2173" s="63">
        <f>8.55+8.55</f>
        <v>17.100000000000001</v>
      </c>
      <c r="L2173" s="8">
        <f t="shared" si="3185"/>
        <v>0.94999999999999574</v>
      </c>
      <c r="M2173" s="24">
        <f t="shared" si="3141"/>
        <v>4.9479166666666421E-2</v>
      </c>
      <c r="N2173" s="14"/>
    </row>
    <row r="2174" spans="1:14" x14ac:dyDescent="0.25">
      <c r="A2174" s="19">
        <v>44607</v>
      </c>
      <c r="B2174" s="15">
        <f t="shared" ref="B2174" si="3204">B2162+1</f>
        <v>182</v>
      </c>
      <c r="C2174" s="15" t="s">
        <v>501</v>
      </c>
      <c r="D2174" s="15" t="s">
        <v>184</v>
      </c>
      <c r="E2174" s="25">
        <f>29-1.2</f>
        <v>27.8</v>
      </c>
      <c r="F2174" s="25">
        <f>+SUM(L2174:L2185)</f>
        <v>28.05</v>
      </c>
      <c r="G2174" s="16">
        <v>1</v>
      </c>
      <c r="H2174" s="16" t="s">
        <v>9</v>
      </c>
      <c r="I2174" s="59" t="s">
        <v>56</v>
      </c>
      <c r="J2174" s="21">
        <f>11.5+10.85+11.1+12.25+11.75+10.8+11.8+12.25+11.5</f>
        <v>103.8</v>
      </c>
      <c r="K2174" s="21">
        <f>8.55+8.5+8.5+8.55+8.55+8.5+8.55+8.3+8.55</f>
        <v>76.55</v>
      </c>
      <c r="L2174" s="12">
        <f>+J2174-K2174</f>
        <v>27.25</v>
      </c>
      <c r="M2174" s="23">
        <f t="shared" si="3141"/>
        <v>0.97147950089126556</v>
      </c>
      <c r="N2174" s="13"/>
    </row>
    <row r="2175" spans="1:14" x14ac:dyDescent="0.25">
      <c r="A2175" s="20">
        <v>44607</v>
      </c>
      <c r="B2175" s="1">
        <f t="shared" ref="B2175" si="3205">B2174</f>
        <v>182</v>
      </c>
      <c r="C2175" s="1" t="s">
        <v>501</v>
      </c>
      <c r="D2175" s="1" t="s">
        <v>184</v>
      </c>
      <c r="E2175" s="26">
        <f>+E2174</f>
        <v>27.8</v>
      </c>
      <c r="F2175" s="28">
        <f>+(F2174-E2174)/E2174</f>
        <v>8.9928057553956831E-3</v>
      </c>
      <c r="G2175" s="17">
        <v>2</v>
      </c>
      <c r="H2175" s="17" t="s">
        <v>9</v>
      </c>
      <c r="I2175" s="30" t="s">
        <v>57</v>
      </c>
      <c r="J2175" s="22">
        <v>1.1000000000000001</v>
      </c>
      <c r="K2175" s="22">
        <v>0.5</v>
      </c>
      <c r="L2175" s="8">
        <f t="shared" ref="L2175:L2185" si="3206">+J2175-K2175</f>
        <v>0.60000000000000009</v>
      </c>
      <c r="M2175" s="24">
        <f t="shared" si="3141"/>
        <v>2.1390374331550804E-2</v>
      </c>
      <c r="N2175" s="14"/>
    </row>
    <row r="2176" spans="1:14" x14ac:dyDescent="0.25">
      <c r="A2176" s="20">
        <v>44607</v>
      </c>
      <c r="B2176" s="1">
        <f t="shared" ref="B2176" si="3207">B2174</f>
        <v>182</v>
      </c>
      <c r="C2176" s="1" t="s">
        <v>501</v>
      </c>
      <c r="D2176" s="1" t="s">
        <v>184</v>
      </c>
      <c r="E2176" s="26" t="e">
        <f>+#REF!</f>
        <v>#REF!</v>
      </c>
      <c r="F2176" s="26" t="e">
        <f>+#REF!</f>
        <v>#REF!</v>
      </c>
      <c r="G2176" s="17">
        <v>3</v>
      </c>
      <c r="H2176" s="17" t="s">
        <v>9</v>
      </c>
      <c r="I2176" s="30" t="s">
        <v>58</v>
      </c>
      <c r="J2176" s="22"/>
      <c r="K2176" s="22"/>
      <c r="L2176" s="8">
        <f t="shared" si="3206"/>
        <v>0</v>
      </c>
      <c r="M2176" s="24">
        <f t="shared" si="3141"/>
        <v>0</v>
      </c>
      <c r="N2176" s="14"/>
    </row>
    <row r="2177" spans="1:14" x14ac:dyDescent="0.25">
      <c r="A2177" s="20">
        <v>44607</v>
      </c>
      <c r="B2177" s="1">
        <f t="shared" ref="B2177" si="3208">B2174</f>
        <v>182</v>
      </c>
      <c r="C2177" s="1" t="s">
        <v>501</v>
      </c>
      <c r="D2177" s="1" t="s">
        <v>184</v>
      </c>
      <c r="E2177" s="26" t="e">
        <f t="shared" ref="E2177:F2177" si="3209">+E2176</f>
        <v>#REF!</v>
      </c>
      <c r="F2177" s="26" t="e">
        <f t="shared" si="3209"/>
        <v>#REF!</v>
      </c>
      <c r="G2177" s="17">
        <v>4</v>
      </c>
      <c r="H2177" s="17" t="s">
        <v>9</v>
      </c>
      <c r="I2177" s="30" t="s">
        <v>22</v>
      </c>
      <c r="J2177" s="22"/>
      <c r="K2177" s="22"/>
      <c r="L2177" s="8">
        <f t="shared" si="3206"/>
        <v>0</v>
      </c>
      <c r="M2177" s="24">
        <f t="shared" si="3141"/>
        <v>0</v>
      </c>
      <c r="N2177" s="14"/>
    </row>
    <row r="2178" spans="1:14" x14ac:dyDescent="0.25">
      <c r="A2178" s="20">
        <v>44607</v>
      </c>
      <c r="B2178" s="1">
        <f t="shared" ref="B2178" si="3210">B2174</f>
        <v>182</v>
      </c>
      <c r="C2178" s="1" t="s">
        <v>501</v>
      </c>
      <c r="D2178" s="1" t="s">
        <v>184</v>
      </c>
      <c r="E2178" s="26" t="e">
        <f t="shared" ref="E2178:F2178" si="3211">+E2177</f>
        <v>#REF!</v>
      </c>
      <c r="F2178" s="26" t="e">
        <f t="shared" si="3211"/>
        <v>#REF!</v>
      </c>
      <c r="G2178" s="17">
        <v>5</v>
      </c>
      <c r="H2178" s="17" t="s">
        <v>9</v>
      </c>
      <c r="I2178" s="30" t="s">
        <v>34</v>
      </c>
      <c r="J2178" s="22"/>
      <c r="K2178" s="63"/>
      <c r="L2178" s="8">
        <f t="shared" si="3206"/>
        <v>0</v>
      </c>
      <c r="M2178" s="24">
        <f t="shared" si="3141"/>
        <v>0</v>
      </c>
      <c r="N2178" s="14"/>
    </row>
    <row r="2179" spans="1:14" x14ac:dyDescent="0.25">
      <c r="A2179" s="20">
        <v>44607</v>
      </c>
      <c r="B2179" s="1">
        <f t="shared" ref="B2179" si="3212">B2174</f>
        <v>182</v>
      </c>
      <c r="C2179" s="1" t="s">
        <v>501</v>
      </c>
      <c r="D2179" s="1" t="s">
        <v>184</v>
      </c>
      <c r="E2179" s="26" t="e">
        <f t="shared" ref="E2179:F2179" si="3213">+E2178</f>
        <v>#REF!</v>
      </c>
      <c r="F2179" s="26" t="e">
        <f t="shared" si="3213"/>
        <v>#REF!</v>
      </c>
      <c r="G2179" s="17">
        <v>6</v>
      </c>
      <c r="H2179" s="17" t="s">
        <v>9</v>
      </c>
      <c r="I2179" s="30" t="s">
        <v>35</v>
      </c>
      <c r="J2179" s="22"/>
      <c r="K2179" s="22"/>
      <c r="L2179" s="8">
        <f t="shared" si="3206"/>
        <v>0</v>
      </c>
      <c r="M2179" s="24">
        <f t="shared" si="3141"/>
        <v>0</v>
      </c>
      <c r="N2179" s="14"/>
    </row>
    <row r="2180" spans="1:14" x14ac:dyDescent="0.25">
      <c r="A2180" s="20">
        <v>44607</v>
      </c>
      <c r="B2180" s="1">
        <f t="shared" ref="B2180" si="3214">B2174</f>
        <v>182</v>
      </c>
      <c r="C2180" s="1" t="s">
        <v>501</v>
      </c>
      <c r="D2180" s="1" t="s">
        <v>184</v>
      </c>
      <c r="E2180" s="26" t="e">
        <f t="shared" ref="E2180:F2180" si="3215">+E2179</f>
        <v>#REF!</v>
      </c>
      <c r="F2180" s="26" t="e">
        <f t="shared" si="3215"/>
        <v>#REF!</v>
      </c>
      <c r="G2180" s="17">
        <v>7</v>
      </c>
      <c r="H2180" s="17" t="s">
        <v>9</v>
      </c>
      <c r="I2180" s="30" t="s">
        <v>36</v>
      </c>
      <c r="J2180" s="22"/>
      <c r="K2180" s="22"/>
      <c r="L2180" s="8">
        <f t="shared" si="3206"/>
        <v>0</v>
      </c>
      <c r="M2180" s="24">
        <f t="shared" si="3141"/>
        <v>0</v>
      </c>
      <c r="N2180" s="14"/>
    </row>
    <row r="2181" spans="1:14" x14ac:dyDescent="0.25">
      <c r="A2181" s="20">
        <v>44607</v>
      </c>
      <c r="B2181" s="1">
        <f t="shared" ref="B2181" si="3216">B2174</f>
        <v>182</v>
      </c>
      <c r="C2181" s="1" t="s">
        <v>501</v>
      </c>
      <c r="D2181" s="1" t="s">
        <v>184</v>
      </c>
      <c r="E2181" s="26" t="e">
        <f>+E2180</f>
        <v>#REF!</v>
      </c>
      <c r="F2181" s="26" t="e">
        <f>+F2180</f>
        <v>#REF!</v>
      </c>
      <c r="G2181" s="17">
        <v>8</v>
      </c>
      <c r="H2181" s="17" t="s">
        <v>9</v>
      </c>
      <c r="I2181" s="30" t="s">
        <v>59</v>
      </c>
      <c r="J2181" s="22"/>
      <c r="K2181" s="22"/>
      <c r="L2181" s="8">
        <f t="shared" si="3206"/>
        <v>0</v>
      </c>
      <c r="M2181" s="24">
        <f t="shared" si="3141"/>
        <v>0</v>
      </c>
      <c r="N2181" s="14"/>
    </row>
    <row r="2182" spans="1:14" x14ac:dyDescent="0.25">
      <c r="A2182" s="20">
        <v>44607</v>
      </c>
      <c r="B2182" s="1">
        <f t="shared" ref="B2182" si="3217">B2174</f>
        <v>182</v>
      </c>
      <c r="C2182" s="1" t="s">
        <v>501</v>
      </c>
      <c r="D2182" s="1" t="s">
        <v>184</v>
      </c>
      <c r="E2182" s="26" t="e">
        <f t="shared" ref="E2182:F2182" si="3218">+E2181</f>
        <v>#REF!</v>
      </c>
      <c r="F2182" s="26" t="e">
        <f t="shared" si="3218"/>
        <v>#REF!</v>
      </c>
      <c r="G2182" s="17">
        <v>9</v>
      </c>
      <c r="H2182" s="17" t="s">
        <v>9</v>
      </c>
      <c r="I2182" s="30" t="s">
        <v>38</v>
      </c>
      <c r="J2182" s="22"/>
      <c r="K2182" s="22"/>
      <c r="L2182" s="8">
        <f t="shared" si="3206"/>
        <v>0</v>
      </c>
      <c r="M2182" s="24">
        <f t="shared" si="3141"/>
        <v>0</v>
      </c>
      <c r="N2182" s="14"/>
    </row>
    <row r="2183" spans="1:14" x14ac:dyDescent="0.25">
      <c r="A2183" s="20">
        <v>44607</v>
      </c>
      <c r="B2183" s="1">
        <f t="shared" ref="B2183" si="3219">B2174</f>
        <v>182</v>
      </c>
      <c r="C2183" s="1" t="s">
        <v>501</v>
      </c>
      <c r="D2183" s="1" t="s">
        <v>184</v>
      </c>
      <c r="E2183" s="26" t="e">
        <f t="shared" ref="E2183:F2183" si="3220">+E2182</f>
        <v>#REF!</v>
      </c>
      <c r="F2183" s="26" t="e">
        <f t="shared" si="3220"/>
        <v>#REF!</v>
      </c>
      <c r="G2183" s="17">
        <v>10</v>
      </c>
      <c r="H2183" s="17" t="s">
        <v>9</v>
      </c>
      <c r="I2183" s="30" t="s">
        <v>23</v>
      </c>
      <c r="J2183" s="22"/>
      <c r="K2183" s="22"/>
      <c r="L2183" s="8">
        <f t="shared" si="3206"/>
        <v>0</v>
      </c>
      <c r="M2183" s="24">
        <f t="shared" si="3141"/>
        <v>0</v>
      </c>
      <c r="N2183" s="14"/>
    </row>
    <row r="2184" spans="1:14" x14ac:dyDescent="0.25">
      <c r="A2184" s="20">
        <v>44607</v>
      </c>
      <c r="B2184" s="1">
        <f t="shared" ref="B2184" si="3221">B2174</f>
        <v>182</v>
      </c>
      <c r="C2184" s="1" t="s">
        <v>501</v>
      </c>
      <c r="D2184" s="1" t="s">
        <v>184</v>
      </c>
      <c r="E2184" s="26" t="e">
        <f t="shared" ref="E2184:F2184" si="3222">+E2183</f>
        <v>#REF!</v>
      </c>
      <c r="F2184" s="26" t="e">
        <f t="shared" si="3222"/>
        <v>#REF!</v>
      </c>
      <c r="G2184" s="17">
        <v>11</v>
      </c>
      <c r="H2184" s="17" t="s">
        <v>9</v>
      </c>
      <c r="I2184" s="30" t="s">
        <v>60</v>
      </c>
      <c r="J2184" s="22"/>
      <c r="K2184" s="22"/>
      <c r="L2184" s="8">
        <f t="shared" si="3206"/>
        <v>0</v>
      </c>
      <c r="M2184" s="24">
        <f t="shared" si="3141"/>
        <v>0</v>
      </c>
      <c r="N2184" s="14"/>
    </row>
    <row r="2185" spans="1:14" ht="15.75" thickBot="1" x14ac:dyDescent="0.3">
      <c r="A2185" s="20">
        <v>44607</v>
      </c>
      <c r="B2185" s="57">
        <f t="shared" ref="B2185" si="3223">B2174</f>
        <v>182</v>
      </c>
      <c r="C2185" s="1" t="s">
        <v>501</v>
      </c>
      <c r="D2185" s="1" t="s">
        <v>184</v>
      </c>
      <c r="E2185" s="26" t="e">
        <f t="shared" ref="E2185:F2185" si="3224">+E2184</f>
        <v>#REF!</v>
      </c>
      <c r="F2185" s="26" t="e">
        <f t="shared" si="3224"/>
        <v>#REF!</v>
      </c>
      <c r="G2185" s="18">
        <f>+G2184+1</f>
        <v>12</v>
      </c>
      <c r="H2185" s="18" t="s">
        <v>10</v>
      </c>
      <c r="I2185" s="46" t="s">
        <v>10</v>
      </c>
      <c r="J2185" s="22">
        <v>0.75</v>
      </c>
      <c r="K2185" s="63">
        <v>0.55000000000000004</v>
      </c>
      <c r="L2185" s="8">
        <f t="shared" si="3206"/>
        <v>0.19999999999999996</v>
      </c>
      <c r="M2185" s="24">
        <f t="shared" si="3141"/>
        <v>7.1301247771835986E-3</v>
      </c>
      <c r="N2185" s="14"/>
    </row>
    <row r="2186" spans="1:14" x14ac:dyDescent="0.25">
      <c r="A2186" s="19">
        <v>44607</v>
      </c>
      <c r="B2186" s="15">
        <f t="shared" ref="B2186" si="3225">B2174+1</f>
        <v>183</v>
      </c>
      <c r="C2186" s="15" t="s">
        <v>502</v>
      </c>
      <c r="D2186" s="15" t="s">
        <v>58</v>
      </c>
      <c r="E2186" s="25">
        <f>32-1.2</f>
        <v>30.8</v>
      </c>
      <c r="F2186" s="25">
        <f>+SUM(L2186:L2197)</f>
        <v>30.449999999999992</v>
      </c>
      <c r="G2186" s="16">
        <v>1</v>
      </c>
      <c r="H2186" s="16" t="s">
        <v>9</v>
      </c>
      <c r="I2186" s="59" t="s">
        <v>56</v>
      </c>
      <c r="J2186" s="21"/>
      <c r="K2186" s="21"/>
      <c r="L2186" s="12">
        <f>+J2186-K2186</f>
        <v>0</v>
      </c>
      <c r="M2186" s="23">
        <f t="shared" si="3141"/>
        <v>0</v>
      </c>
      <c r="N2186" s="13"/>
    </row>
    <row r="2187" spans="1:14" x14ac:dyDescent="0.25">
      <c r="A2187" s="20">
        <v>44607</v>
      </c>
      <c r="B2187" s="1">
        <f t="shared" ref="B2187" si="3226">B2186</f>
        <v>183</v>
      </c>
      <c r="C2187" s="1" t="s">
        <v>502</v>
      </c>
      <c r="D2187" s="1" t="s">
        <v>58</v>
      </c>
      <c r="E2187" s="26">
        <f>+E2186</f>
        <v>30.8</v>
      </c>
      <c r="F2187" s="28">
        <f>+(F2186-E2186)/E2186</f>
        <v>-1.136363636363664E-2</v>
      </c>
      <c r="G2187" s="17">
        <v>2</v>
      </c>
      <c r="H2187" s="17" t="s">
        <v>9</v>
      </c>
      <c r="I2187" s="30" t="s">
        <v>57</v>
      </c>
      <c r="J2187" s="22">
        <v>1.3</v>
      </c>
      <c r="K2187" s="22">
        <v>0.55000000000000004</v>
      </c>
      <c r="L2187" s="8">
        <f t="shared" ref="L2187:L2197" si="3227">+J2187-K2187</f>
        <v>0.75</v>
      </c>
      <c r="M2187" s="24">
        <f t="shared" si="3141"/>
        <v>2.4630541871921187E-2</v>
      </c>
      <c r="N2187" s="14"/>
    </row>
    <row r="2188" spans="1:14" x14ac:dyDescent="0.25">
      <c r="A2188" s="20">
        <v>44607</v>
      </c>
      <c r="B2188" s="1">
        <f t="shared" ref="B2188" si="3228">B2186</f>
        <v>183</v>
      </c>
      <c r="C2188" s="1" t="s">
        <v>502</v>
      </c>
      <c r="D2188" s="1" t="s">
        <v>58</v>
      </c>
      <c r="E2188" s="26" t="e">
        <f>+#REF!</f>
        <v>#REF!</v>
      </c>
      <c r="F2188" s="26" t="e">
        <f>+#REF!</f>
        <v>#REF!</v>
      </c>
      <c r="G2188" s="17">
        <v>3</v>
      </c>
      <c r="H2188" s="17" t="s">
        <v>9</v>
      </c>
      <c r="I2188" s="30" t="s">
        <v>58</v>
      </c>
      <c r="J2188" s="22">
        <f>12+12.9+1.8+11.8+13.5+11.65+11.1+12.35</f>
        <v>87.1</v>
      </c>
      <c r="K2188" s="22">
        <f>8.3+8.5+8.55+8.5+8.55+8.3+8.55</f>
        <v>59.25</v>
      </c>
      <c r="L2188" s="8">
        <f t="shared" si="3227"/>
        <v>27.849999999999994</v>
      </c>
      <c r="M2188" s="24">
        <f t="shared" si="3141"/>
        <v>0.91461412151067323</v>
      </c>
      <c r="N2188" s="14"/>
    </row>
    <row r="2189" spans="1:14" x14ac:dyDescent="0.25">
      <c r="A2189" s="20">
        <v>44607</v>
      </c>
      <c r="B2189" s="1">
        <f t="shared" ref="B2189" si="3229">B2186</f>
        <v>183</v>
      </c>
      <c r="C2189" s="1" t="s">
        <v>502</v>
      </c>
      <c r="D2189" s="1" t="s">
        <v>58</v>
      </c>
      <c r="E2189" s="26" t="e">
        <f t="shared" ref="E2189:F2189" si="3230">+E2188</f>
        <v>#REF!</v>
      </c>
      <c r="F2189" s="26" t="e">
        <f t="shared" si="3230"/>
        <v>#REF!</v>
      </c>
      <c r="G2189" s="17">
        <v>4</v>
      </c>
      <c r="H2189" s="17" t="s">
        <v>9</v>
      </c>
      <c r="I2189" s="30" t="s">
        <v>22</v>
      </c>
      <c r="J2189" s="22"/>
      <c r="K2189" s="22"/>
      <c r="L2189" s="8">
        <f t="shared" si="3227"/>
        <v>0</v>
      </c>
      <c r="M2189" s="24">
        <f t="shared" si="3141"/>
        <v>0</v>
      </c>
      <c r="N2189" s="14"/>
    </row>
    <row r="2190" spans="1:14" x14ac:dyDescent="0.25">
      <c r="A2190" s="20">
        <v>44607</v>
      </c>
      <c r="B2190" s="1">
        <f t="shared" ref="B2190" si="3231">B2186</f>
        <v>183</v>
      </c>
      <c r="C2190" s="1" t="s">
        <v>502</v>
      </c>
      <c r="D2190" s="1" t="s">
        <v>58</v>
      </c>
      <c r="E2190" s="26" t="e">
        <f t="shared" ref="E2190:F2190" si="3232">+E2189</f>
        <v>#REF!</v>
      </c>
      <c r="F2190" s="26" t="e">
        <f t="shared" si="3232"/>
        <v>#REF!</v>
      </c>
      <c r="G2190" s="17">
        <v>5</v>
      </c>
      <c r="H2190" s="17" t="s">
        <v>9</v>
      </c>
      <c r="I2190" s="30" t="s">
        <v>34</v>
      </c>
      <c r="J2190" s="22">
        <v>0.6</v>
      </c>
      <c r="K2190" s="63">
        <v>0.55000000000000004</v>
      </c>
      <c r="L2190" s="8">
        <f t="shared" si="3227"/>
        <v>4.9999999999999933E-2</v>
      </c>
      <c r="M2190" s="24">
        <f t="shared" si="3141"/>
        <v>1.6420361247947437E-3</v>
      </c>
      <c r="N2190" s="14"/>
    </row>
    <row r="2191" spans="1:14" x14ac:dyDescent="0.25">
      <c r="A2191" s="20">
        <v>44607</v>
      </c>
      <c r="B2191" s="1">
        <f t="shared" ref="B2191" si="3233">B2186</f>
        <v>183</v>
      </c>
      <c r="C2191" s="1" t="s">
        <v>502</v>
      </c>
      <c r="D2191" s="1" t="s">
        <v>58</v>
      </c>
      <c r="E2191" s="26" t="e">
        <f t="shared" ref="E2191:F2191" si="3234">+E2190</f>
        <v>#REF!</v>
      </c>
      <c r="F2191" s="26" t="e">
        <f t="shared" si="3234"/>
        <v>#REF!</v>
      </c>
      <c r="G2191" s="17">
        <v>6</v>
      </c>
      <c r="H2191" s="17" t="s">
        <v>9</v>
      </c>
      <c r="I2191" s="30" t="s">
        <v>35</v>
      </c>
      <c r="J2191" s="22"/>
      <c r="K2191" s="22"/>
      <c r="L2191" s="8">
        <f t="shared" si="3227"/>
        <v>0</v>
      </c>
      <c r="M2191" s="24">
        <f t="shared" si="3141"/>
        <v>0</v>
      </c>
      <c r="N2191" s="14"/>
    </row>
    <row r="2192" spans="1:14" x14ac:dyDescent="0.25">
      <c r="A2192" s="20">
        <v>44607</v>
      </c>
      <c r="B2192" s="1">
        <f t="shared" ref="B2192" si="3235">B2186</f>
        <v>183</v>
      </c>
      <c r="C2192" s="1" t="s">
        <v>502</v>
      </c>
      <c r="D2192" s="1" t="s">
        <v>58</v>
      </c>
      <c r="E2192" s="26" t="e">
        <f t="shared" ref="E2192:F2192" si="3236">+E2191</f>
        <v>#REF!</v>
      </c>
      <c r="F2192" s="26" t="e">
        <f t="shared" si="3236"/>
        <v>#REF!</v>
      </c>
      <c r="G2192" s="17">
        <v>7</v>
      </c>
      <c r="H2192" s="17" t="s">
        <v>9</v>
      </c>
      <c r="I2192" s="30" t="s">
        <v>36</v>
      </c>
      <c r="J2192" s="22"/>
      <c r="K2192" s="22"/>
      <c r="L2192" s="8">
        <f t="shared" si="3227"/>
        <v>0</v>
      </c>
      <c r="M2192" s="24">
        <f t="shared" si="3141"/>
        <v>0</v>
      </c>
      <c r="N2192" s="14"/>
    </row>
    <row r="2193" spans="1:14" x14ac:dyDescent="0.25">
      <c r="A2193" s="20">
        <v>44607</v>
      </c>
      <c r="B2193" s="1">
        <f t="shared" ref="B2193" si="3237">B2186</f>
        <v>183</v>
      </c>
      <c r="C2193" s="1" t="s">
        <v>502</v>
      </c>
      <c r="D2193" s="1" t="s">
        <v>58</v>
      </c>
      <c r="E2193" s="26" t="e">
        <f>+E2192</f>
        <v>#REF!</v>
      </c>
      <c r="F2193" s="26" t="e">
        <f>+F2192</f>
        <v>#REF!</v>
      </c>
      <c r="G2193" s="17">
        <v>8</v>
      </c>
      <c r="H2193" s="17" t="s">
        <v>9</v>
      </c>
      <c r="I2193" s="30" t="s">
        <v>59</v>
      </c>
      <c r="J2193" s="22">
        <v>0.8</v>
      </c>
      <c r="K2193" s="22">
        <v>0.55000000000000004</v>
      </c>
      <c r="L2193" s="8">
        <f t="shared" si="3227"/>
        <v>0.25</v>
      </c>
      <c r="M2193" s="24">
        <f t="shared" si="3141"/>
        <v>8.2101806239737295E-3</v>
      </c>
      <c r="N2193" s="14"/>
    </row>
    <row r="2194" spans="1:14" x14ac:dyDescent="0.25">
      <c r="A2194" s="20">
        <v>44607</v>
      </c>
      <c r="B2194" s="1">
        <f t="shared" ref="B2194" si="3238">B2186</f>
        <v>183</v>
      </c>
      <c r="C2194" s="1" t="s">
        <v>502</v>
      </c>
      <c r="D2194" s="1" t="s">
        <v>58</v>
      </c>
      <c r="E2194" s="26" t="e">
        <f t="shared" ref="E2194:F2194" si="3239">+E2193</f>
        <v>#REF!</v>
      </c>
      <c r="F2194" s="26" t="e">
        <f t="shared" si="3239"/>
        <v>#REF!</v>
      </c>
      <c r="G2194" s="17">
        <v>9</v>
      </c>
      <c r="H2194" s="17" t="s">
        <v>9</v>
      </c>
      <c r="I2194" s="30" t="s">
        <v>38</v>
      </c>
      <c r="J2194" s="22"/>
      <c r="K2194" s="22"/>
      <c r="L2194" s="8">
        <f t="shared" si="3227"/>
        <v>0</v>
      </c>
      <c r="M2194" s="24">
        <f t="shared" si="3141"/>
        <v>0</v>
      </c>
      <c r="N2194" s="14"/>
    </row>
    <row r="2195" spans="1:14" x14ac:dyDescent="0.25">
      <c r="A2195" s="20">
        <v>44607</v>
      </c>
      <c r="B2195" s="1">
        <f t="shared" ref="B2195" si="3240">B2186</f>
        <v>183</v>
      </c>
      <c r="C2195" s="1" t="s">
        <v>502</v>
      </c>
      <c r="D2195" s="1" t="s">
        <v>58</v>
      </c>
      <c r="E2195" s="26" t="e">
        <f t="shared" ref="E2195:F2195" si="3241">+E2194</f>
        <v>#REF!</v>
      </c>
      <c r="F2195" s="26" t="e">
        <f t="shared" si="3241"/>
        <v>#REF!</v>
      </c>
      <c r="G2195" s="17">
        <v>10</v>
      </c>
      <c r="H2195" s="17" t="s">
        <v>9</v>
      </c>
      <c r="I2195" s="30" t="s">
        <v>23</v>
      </c>
      <c r="J2195" s="22">
        <v>0.7</v>
      </c>
      <c r="K2195" s="22">
        <v>0.55000000000000004</v>
      </c>
      <c r="L2195" s="8">
        <f t="shared" si="3227"/>
        <v>0.14999999999999991</v>
      </c>
      <c r="M2195" s="24">
        <f t="shared" si="3141"/>
        <v>4.9261083743842348E-3</v>
      </c>
      <c r="N2195" s="14"/>
    </row>
    <row r="2196" spans="1:14" x14ac:dyDescent="0.25">
      <c r="A2196" s="20">
        <v>44607</v>
      </c>
      <c r="B2196" s="1">
        <f t="shared" ref="B2196" si="3242">B2186</f>
        <v>183</v>
      </c>
      <c r="C2196" s="1" t="s">
        <v>502</v>
      </c>
      <c r="D2196" s="1" t="s">
        <v>58</v>
      </c>
      <c r="E2196" s="26" t="e">
        <f t="shared" ref="E2196:F2196" si="3243">+E2195</f>
        <v>#REF!</v>
      </c>
      <c r="F2196" s="26" t="e">
        <f t="shared" si="3243"/>
        <v>#REF!</v>
      </c>
      <c r="G2196" s="17">
        <v>11</v>
      </c>
      <c r="H2196" s="17" t="s">
        <v>9</v>
      </c>
      <c r="I2196" s="30" t="s">
        <v>60</v>
      </c>
      <c r="J2196" s="22"/>
      <c r="K2196" s="22"/>
      <c r="L2196" s="8">
        <f t="shared" si="3227"/>
        <v>0</v>
      </c>
      <c r="M2196" s="24">
        <f t="shared" si="3141"/>
        <v>0</v>
      </c>
      <c r="N2196" s="14"/>
    </row>
    <row r="2197" spans="1:14" ht="15.75" thickBot="1" x14ac:dyDescent="0.3">
      <c r="A2197" s="20">
        <v>44607</v>
      </c>
      <c r="B2197" s="57">
        <f t="shared" ref="B2197" si="3244">B2186</f>
        <v>183</v>
      </c>
      <c r="C2197" s="1" t="s">
        <v>502</v>
      </c>
      <c r="D2197" s="1" t="s">
        <v>58</v>
      </c>
      <c r="E2197" s="26" t="e">
        <f t="shared" ref="E2197:F2197" si="3245">+E2196</f>
        <v>#REF!</v>
      </c>
      <c r="F2197" s="26" t="e">
        <f t="shared" si="3245"/>
        <v>#REF!</v>
      </c>
      <c r="G2197" s="18">
        <f>+G2196+1</f>
        <v>12</v>
      </c>
      <c r="H2197" s="18" t="s">
        <v>10</v>
      </c>
      <c r="I2197" s="46" t="s">
        <v>10</v>
      </c>
      <c r="J2197" s="22">
        <v>1.95</v>
      </c>
      <c r="K2197" s="63">
        <v>0.55000000000000004</v>
      </c>
      <c r="L2197" s="8">
        <f t="shared" si="3227"/>
        <v>1.4</v>
      </c>
      <c r="M2197" s="24">
        <f t="shared" si="3141"/>
        <v>4.597701149425288E-2</v>
      </c>
      <c r="N2197" s="14"/>
    </row>
    <row r="2198" spans="1:14" x14ac:dyDescent="0.25">
      <c r="A2198" s="19">
        <v>44607</v>
      </c>
      <c r="B2198" s="15">
        <f t="shared" ref="B2198" si="3246">B2186+1</f>
        <v>184</v>
      </c>
      <c r="C2198" s="15" t="s">
        <v>503</v>
      </c>
      <c r="D2198" s="15" t="s">
        <v>182</v>
      </c>
      <c r="E2198" s="25">
        <f>32.2-1.2</f>
        <v>31.000000000000004</v>
      </c>
      <c r="F2198" s="25">
        <f>+SUM(L2198:L2209)</f>
        <v>29.79999999999999</v>
      </c>
      <c r="G2198" s="16">
        <v>1</v>
      </c>
      <c r="H2198" s="16" t="s">
        <v>9</v>
      </c>
      <c r="I2198" s="59" t="s">
        <v>56</v>
      </c>
      <c r="J2198" s="21">
        <f>12.8</f>
        <v>12.8</v>
      </c>
      <c r="K2198" s="21">
        <f>8.55</f>
        <v>8.5500000000000007</v>
      </c>
      <c r="L2198" s="12">
        <f>+J2198-K2198</f>
        <v>4.25</v>
      </c>
      <c r="M2198" s="23">
        <f t="shared" si="3141"/>
        <v>0.14261744966442957</v>
      </c>
      <c r="N2198" s="13"/>
    </row>
    <row r="2199" spans="1:14" x14ac:dyDescent="0.25">
      <c r="A2199" s="20">
        <v>44607</v>
      </c>
      <c r="B2199" s="1">
        <f t="shared" ref="B2199" si="3247">B2198</f>
        <v>184</v>
      </c>
      <c r="C2199" s="1" t="s">
        <v>503</v>
      </c>
      <c r="D2199" s="1" t="s">
        <v>182</v>
      </c>
      <c r="E2199" s="26">
        <f>+E2198</f>
        <v>31.000000000000004</v>
      </c>
      <c r="F2199" s="28">
        <f>+(F2198-E2198)/E2198</f>
        <v>-3.8709677419355271E-2</v>
      </c>
      <c r="G2199" s="17">
        <v>2</v>
      </c>
      <c r="H2199" s="17" t="s">
        <v>9</v>
      </c>
      <c r="I2199" s="30" t="s">
        <v>57</v>
      </c>
      <c r="J2199" s="22">
        <f>12.65+12.05+12.3+9.65+12.95+11.1+10.95</f>
        <v>81.649999999999991</v>
      </c>
      <c r="K2199" s="22">
        <f>8.55+8.55+8.55+8.5+8.55+8.5+8.3</f>
        <v>59.5</v>
      </c>
      <c r="L2199" s="8">
        <f t="shared" ref="L2199:L2209" si="3248">+J2199-K2199</f>
        <v>22.149999999999991</v>
      </c>
      <c r="M2199" s="24">
        <f t="shared" si="3141"/>
        <v>0.74328859060402686</v>
      </c>
      <c r="N2199" s="14"/>
    </row>
    <row r="2200" spans="1:14" x14ac:dyDescent="0.25">
      <c r="A2200" s="20">
        <v>44607</v>
      </c>
      <c r="B2200" s="1">
        <f t="shared" ref="B2200" si="3249">B2198</f>
        <v>184</v>
      </c>
      <c r="C2200" s="1" t="s">
        <v>503</v>
      </c>
      <c r="D2200" s="1" t="s">
        <v>182</v>
      </c>
      <c r="E2200" s="26" t="e">
        <f>+#REF!</f>
        <v>#REF!</v>
      </c>
      <c r="F2200" s="26" t="e">
        <f>+#REF!</f>
        <v>#REF!</v>
      </c>
      <c r="G2200" s="17">
        <v>3</v>
      </c>
      <c r="H2200" s="17" t="s">
        <v>9</v>
      </c>
      <c r="I2200" s="30" t="s">
        <v>58</v>
      </c>
      <c r="J2200" s="22">
        <f>0.55+1.45</f>
        <v>2</v>
      </c>
      <c r="K2200" s="22">
        <f>0.5+0.5</f>
        <v>1</v>
      </c>
      <c r="L2200" s="8">
        <f t="shared" si="3248"/>
        <v>1</v>
      </c>
      <c r="M2200" s="24">
        <f t="shared" si="3141"/>
        <v>3.3557046979865786E-2</v>
      </c>
      <c r="N2200" s="14"/>
    </row>
    <row r="2201" spans="1:14" x14ac:dyDescent="0.25">
      <c r="A2201" s="20">
        <v>44607</v>
      </c>
      <c r="B2201" s="1">
        <f t="shared" ref="B2201" si="3250">B2198</f>
        <v>184</v>
      </c>
      <c r="C2201" s="1" t="s">
        <v>503</v>
      </c>
      <c r="D2201" s="1" t="s">
        <v>182</v>
      </c>
      <c r="E2201" s="26" t="e">
        <f t="shared" ref="E2201:F2201" si="3251">+E2200</f>
        <v>#REF!</v>
      </c>
      <c r="F2201" s="26" t="e">
        <f t="shared" si="3251"/>
        <v>#REF!</v>
      </c>
      <c r="G2201" s="17">
        <v>4</v>
      </c>
      <c r="H2201" s="17" t="s">
        <v>9</v>
      </c>
      <c r="I2201" s="30" t="s">
        <v>22</v>
      </c>
      <c r="J2201" s="22"/>
      <c r="K2201" s="22"/>
      <c r="L2201" s="8">
        <f t="shared" si="3248"/>
        <v>0</v>
      </c>
      <c r="M2201" s="24">
        <f t="shared" si="3141"/>
        <v>0</v>
      </c>
      <c r="N2201" s="14"/>
    </row>
    <row r="2202" spans="1:14" x14ac:dyDescent="0.25">
      <c r="A2202" s="20">
        <v>44607</v>
      </c>
      <c r="B2202" s="1">
        <f t="shared" ref="B2202" si="3252">B2198</f>
        <v>184</v>
      </c>
      <c r="C2202" s="1" t="s">
        <v>503</v>
      </c>
      <c r="D2202" s="1" t="s">
        <v>182</v>
      </c>
      <c r="E2202" s="26" t="e">
        <f t="shared" ref="E2202:F2202" si="3253">+E2201</f>
        <v>#REF!</v>
      </c>
      <c r="F2202" s="26" t="e">
        <f t="shared" si="3253"/>
        <v>#REF!</v>
      </c>
      <c r="G2202" s="17">
        <v>5</v>
      </c>
      <c r="H2202" s="17" t="s">
        <v>9</v>
      </c>
      <c r="I2202" s="30" t="s">
        <v>34</v>
      </c>
      <c r="J2202" s="22">
        <v>0.75</v>
      </c>
      <c r="K2202" s="63">
        <v>0.55000000000000004</v>
      </c>
      <c r="L2202" s="8">
        <f t="shared" si="3248"/>
        <v>0.19999999999999996</v>
      </c>
      <c r="M2202" s="24">
        <f t="shared" ref="M2202:M2265" si="3254">+L2202/SUMIF(C:C,C2202,L:L)</f>
        <v>6.7114093959731551E-3</v>
      </c>
      <c r="N2202" s="14"/>
    </row>
    <row r="2203" spans="1:14" x14ac:dyDescent="0.25">
      <c r="A2203" s="20">
        <v>44607</v>
      </c>
      <c r="B2203" s="1">
        <f t="shared" ref="B2203" si="3255">B2198</f>
        <v>184</v>
      </c>
      <c r="C2203" s="1" t="s">
        <v>503</v>
      </c>
      <c r="D2203" s="1" t="s">
        <v>182</v>
      </c>
      <c r="E2203" s="26" t="e">
        <f t="shared" ref="E2203:F2203" si="3256">+E2202</f>
        <v>#REF!</v>
      </c>
      <c r="F2203" s="26" t="e">
        <f t="shared" si="3256"/>
        <v>#REF!</v>
      </c>
      <c r="G2203" s="17">
        <v>6</v>
      </c>
      <c r="H2203" s="17" t="s">
        <v>9</v>
      </c>
      <c r="I2203" s="30" t="s">
        <v>35</v>
      </c>
      <c r="J2203" s="22"/>
      <c r="K2203" s="22"/>
      <c r="L2203" s="8">
        <f t="shared" si="3248"/>
        <v>0</v>
      </c>
      <c r="M2203" s="24">
        <f t="shared" si="3254"/>
        <v>0</v>
      </c>
      <c r="N2203" s="14"/>
    </row>
    <row r="2204" spans="1:14" x14ac:dyDescent="0.25">
      <c r="A2204" s="20">
        <v>44607</v>
      </c>
      <c r="B2204" s="1">
        <f t="shared" ref="B2204" si="3257">B2198</f>
        <v>184</v>
      </c>
      <c r="C2204" s="1" t="s">
        <v>503</v>
      </c>
      <c r="D2204" s="1" t="s">
        <v>182</v>
      </c>
      <c r="E2204" s="26" t="e">
        <f t="shared" ref="E2204:F2204" si="3258">+E2203</f>
        <v>#REF!</v>
      </c>
      <c r="F2204" s="26" t="e">
        <f t="shared" si="3258"/>
        <v>#REF!</v>
      </c>
      <c r="G2204" s="17">
        <v>7</v>
      </c>
      <c r="H2204" s="17" t="s">
        <v>9</v>
      </c>
      <c r="I2204" s="30" t="s">
        <v>36</v>
      </c>
      <c r="J2204" s="22"/>
      <c r="K2204" s="22"/>
      <c r="L2204" s="8">
        <f t="shared" si="3248"/>
        <v>0</v>
      </c>
      <c r="M2204" s="24">
        <f t="shared" si="3254"/>
        <v>0</v>
      </c>
      <c r="N2204" s="14"/>
    </row>
    <row r="2205" spans="1:14" x14ac:dyDescent="0.25">
      <c r="A2205" s="20">
        <v>44607</v>
      </c>
      <c r="B2205" s="1">
        <f t="shared" ref="B2205" si="3259">B2198</f>
        <v>184</v>
      </c>
      <c r="C2205" s="1" t="s">
        <v>503</v>
      </c>
      <c r="D2205" s="1" t="s">
        <v>182</v>
      </c>
      <c r="E2205" s="26" t="e">
        <f>+E2204</f>
        <v>#REF!</v>
      </c>
      <c r="F2205" s="26" t="e">
        <f>+F2204</f>
        <v>#REF!</v>
      </c>
      <c r="G2205" s="17">
        <v>8</v>
      </c>
      <c r="H2205" s="17" t="s">
        <v>9</v>
      </c>
      <c r="I2205" s="30" t="s">
        <v>59</v>
      </c>
      <c r="J2205" s="22">
        <v>0.75</v>
      </c>
      <c r="K2205" s="22">
        <v>0.55000000000000004</v>
      </c>
      <c r="L2205" s="8">
        <f t="shared" si="3248"/>
        <v>0.19999999999999996</v>
      </c>
      <c r="M2205" s="24">
        <f t="shared" si="3254"/>
        <v>6.7114093959731551E-3</v>
      </c>
      <c r="N2205" s="14"/>
    </row>
    <row r="2206" spans="1:14" x14ac:dyDescent="0.25">
      <c r="A2206" s="20">
        <v>44607</v>
      </c>
      <c r="B2206" s="1">
        <f t="shared" ref="B2206" si="3260">B2198</f>
        <v>184</v>
      </c>
      <c r="C2206" s="1" t="s">
        <v>503</v>
      </c>
      <c r="D2206" s="1" t="s">
        <v>182</v>
      </c>
      <c r="E2206" s="26" t="e">
        <f t="shared" ref="E2206:F2206" si="3261">+E2205</f>
        <v>#REF!</v>
      </c>
      <c r="F2206" s="26" t="e">
        <f t="shared" si="3261"/>
        <v>#REF!</v>
      </c>
      <c r="G2206" s="17">
        <v>9</v>
      </c>
      <c r="H2206" s="17" t="s">
        <v>9</v>
      </c>
      <c r="I2206" s="30" t="s">
        <v>38</v>
      </c>
      <c r="J2206" s="22"/>
      <c r="K2206" s="22"/>
      <c r="L2206" s="8">
        <f t="shared" si="3248"/>
        <v>0</v>
      </c>
      <c r="M2206" s="24">
        <f t="shared" si="3254"/>
        <v>0</v>
      </c>
      <c r="N2206" s="14"/>
    </row>
    <row r="2207" spans="1:14" x14ac:dyDescent="0.25">
      <c r="A2207" s="20">
        <v>44607</v>
      </c>
      <c r="B2207" s="1">
        <f t="shared" ref="B2207" si="3262">B2198</f>
        <v>184</v>
      </c>
      <c r="C2207" s="1" t="s">
        <v>503</v>
      </c>
      <c r="D2207" s="1" t="s">
        <v>182</v>
      </c>
      <c r="E2207" s="26" t="e">
        <f t="shared" ref="E2207:F2207" si="3263">+E2206</f>
        <v>#REF!</v>
      </c>
      <c r="F2207" s="26" t="e">
        <f t="shared" si="3263"/>
        <v>#REF!</v>
      </c>
      <c r="G2207" s="17">
        <v>10</v>
      </c>
      <c r="H2207" s="17" t="s">
        <v>9</v>
      </c>
      <c r="I2207" s="30" t="s">
        <v>23</v>
      </c>
      <c r="J2207" s="22">
        <v>0.8</v>
      </c>
      <c r="K2207" s="22">
        <v>0.55000000000000004</v>
      </c>
      <c r="L2207" s="8">
        <f t="shared" si="3248"/>
        <v>0.25</v>
      </c>
      <c r="M2207" s="24">
        <f t="shared" si="3254"/>
        <v>8.3892617449664465E-3</v>
      </c>
      <c r="N2207" s="14"/>
    </row>
    <row r="2208" spans="1:14" x14ac:dyDescent="0.25">
      <c r="A2208" s="20">
        <v>44607</v>
      </c>
      <c r="B2208" s="1">
        <f t="shared" ref="B2208" si="3264">B2198</f>
        <v>184</v>
      </c>
      <c r="C2208" s="1" t="s">
        <v>503</v>
      </c>
      <c r="D2208" s="1" t="s">
        <v>182</v>
      </c>
      <c r="E2208" s="26" t="e">
        <f t="shared" ref="E2208:F2208" si="3265">+E2207</f>
        <v>#REF!</v>
      </c>
      <c r="F2208" s="26" t="e">
        <f t="shared" si="3265"/>
        <v>#REF!</v>
      </c>
      <c r="G2208" s="17">
        <v>11</v>
      </c>
      <c r="H2208" s="17" t="s">
        <v>9</v>
      </c>
      <c r="I2208" s="30" t="s">
        <v>60</v>
      </c>
      <c r="J2208" s="22">
        <v>0.6</v>
      </c>
      <c r="K2208" s="22">
        <v>0.55000000000000004</v>
      </c>
      <c r="L2208" s="8">
        <f t="shared" si="3248"/>
        <v>4.9999999999999933E-2</v>
      </c>
      <c r="M2208" s="24">
        <f t="shared" si="3254"/>
        <v>1.6778523489932868E-3</v>
      </c>
      <c r="N2208" s="14"/>
    </row>
    <row r="2209" spans="1:14" ht="15.75" thickBot="1" x14ac:dyDescent="0.3">
      <c r="A2209" s="20">
        <v>44607</v>
      </c>
      <c r="B2209" s="57">
        <f t="shared" ref="B2209" si="3266">B2198</f>
        <v>184</v>
      </c>
      <c r="C2209" s="1" t="s">
        <v>503</v>
      </c>
      <c r="D2209" s="1" t="s">
        <v>182</v>
      </c>
      <c r="E2209" s="26" t="e">
        <f t="shared" ref="E2209:F2209" si="3267">+E2208</f>
        <v>#REF!</v>
      </c>
      <c r="F2209" s="26" t="e">
        <f t="shared" si="3267"/>
        <v>#REF!</v>
      </c>
      <c r="G2209" s="18">
        <f>+G2208+1</f>
        <v>12</v>
      </c>
      <c r="H2209" s="18" t="s">
        <v>10</v>
      </c>
      <c r="I2209" s="46" t="s">
        <v>10</v>
      </c>
      <c r="J2209" s="22">
        <f>9.15+9.65</f>
        <v>18.8</v>
      </c>
      <c r="K2209" s="63">
        <f>8.55+8.55</f>
        <v>17.100000000000001</v>
      </c>
      <c r="L2209" s="8">
        <f t="shared" si="3248"/>
        <v>1.6999999999999993</v>
      </c>
      <c r="M2209" s="24">
        <f t="shared" si="3254"/>
        <v>5.7046979865771806E-2</v>
      </c>
      <c r="N2209" s="14"/>
    </row>
    <row r="2210" spans="1:14" x14ac:dyDescent="0.25">
      <c r="A2210" s="19">
        <v>44607</v>
      </c>
      <c r="B2210" s="15">
        <f t="shared" ref="B2210" si="3268">B2198+1</f>
        <v>185</v>
      </c>
      <c r="C2210" s="15" t="s">
        <v>504</v>
      </c>
      <c r="D2210" s="15" t="s">
        <v>180</v>
      </c>
      <c r="E2210" s="25">
        <f>42.2-1.2</f>
        <v>41</v>
      </c>
      <c r="F2210" s="25">
        <f>+SUM(L2210:L2221)</f>
        <v>41.149999999999984</v>
      </c>
      <c r="G2210" s="16">
        <v>1</v>
      </c>
      <c r="H2210" s="16" t="s">
        <v>9</v>
      </c>
      <c r="I2210" s="59" t="s">
        <v>56</v>
      </c>
      <c r="J2210" s="21"/>
      <c r="K2210" s="21"/>
      <c r="L2210" s="12">
        <f>+J2210-K2210</f>
        <v>0</v>
      </c>
      <c r="M2210" s="23">
        <f t="shared" si="3254"/>
        <v>0</v>
      </c>
      <c r="N2210" s="13"/>
    </row>
    <row r="2211" spans="1:14" x14ac:dyDescent="0.25">
      <c r="A2211" s="20">
        <v>44607</v>
      </c>
      <c r="B2211" s="1">
        <f t="shared" ref="B2211" si="3269">B2210</f>
        <v>185</v>
      </c>
      <c r="C2211" s="1" t="s">
        <v>504</v>
      </c>
      <c r="D2211" s="1" t="s">
        <v>180</v>
      </c>
      <c r="E2211" s="26">
        <f>+E2210</f>
        <v>41</v>
      </c>
      <c r="F2211" s="28">
        <f>+(F2210-E2210)/E2210</f>
        <v>3.6585365853654722E-3</v>
      </c>
      <c r="G2211" s="17">
        <v>2</v>
      </c>
      <c r="H2211" s="17" t="s">
        <v>9</v>
      </c>
      <c r="I2211" s="30" t="s">
        <v>57</v>
      </c>
      <c r="J2211" s="22"/>
      <c r="K2211" s="22"/>
      <c r="L2211" s="8">
        <f t="shared" ref="L2211:L2221" si="3270">+J2211-K2211</f>
        <v>0</v>
      </c>
      <c r="M2211" s="24">
        <f t="shared" si="3254"/>
        <v>0</v>
      </c>
      <c r="N2211" s="14"/>
    </row>
    <row r="2212" spans="1:14" x14ac:dyDescent="0.25">
      <c r="A2212" s="20">
        <v>44607</v>
      </c>
      <c r="B2212" s="1">
        <f t="shared" ref="B2212" si="3271">B2210</f>
        <v>185</v>
      </c>
      <c r="C2212" s="1" t="s">
        <v>504</v>
      </c>
      <c r="D2212" s="1" t="s">
        <v>180</v>
      </c>
      <c r="E2212" s="26" t="e">
        <f>+#REF!</f>
        <v>#REF!</v>
      </c>
      <c r="F2212" s="26" t="e">
        <f>+#REF!</f>
        <v>#REF!</v>
      </c>
      <c r="G2212" s="17">
        <v>3</v>
      </c>
      <c r="H2212" s="17" t="s">
        <v>9</v>
      </c>
      <c r="I2212" s="30" t="s">
        <v>58</v>
      </c>
      <c r="J2212" s="22">
        <v>0.65</v>
      </c>
      <c r="K2212" s="22">
        <v>0.55000000000000004</v>
      </c>
      <c r="L2212" s="8">
        <f t="shared" si="3270"/>
        <v>9.9999999999999978E-2</v>
      </c>
      <c r="M2212" s="24">
        <f t="shared" si="3254"/>
        <v>2.4301336573511545E-3</v>
      </c>
      <c r="N2212" s="14"/>
    </row>
    <row r="2213" spans="1:14" x14ac:dyDescent="0.25">
      <c r="A2213" s="20">
        <v>44607</v>
      </c>
      <c r="B2213" s="1">
        <f t="shared" ref="B2213" si="3272">B2210</f>
        <v>185</v>
      </c>
      <c r="C2213" s="1" t="s">
        <v>504</v>
      </c>
      <c r="D2213" s="1" t="s">
        <v>180</v>
      </c>
      <c r="E2213" s="26" t="e">
        <f t="shared" ref="E2213:F2213" si="3273">+E2212</f>
        <v>#REF!</v>
      </c>
      <c r="F2213" s="26" t="e">
        <f t="shared" si="3273"/>
        <v>#REF!</v>
      </c>
      <c r="G2213" s="17">
        <v>4</v>
      </c>
      <c r="H2213" s="17" t="s">
        <v>9</v>
      </c>
      <c r="I2213" s="30" t="s">
        <v>22</v>
      </c>
      <c r="J2213" s="22"/>
      <c r="K2213" s="22"/>
      <c r="L2213" s="8">
        <f t="shared" si="3270"/>
        <v>0</v>
      </c>
      <c r="M2213" s="24">
        <f t="shared" si="3254"/>
        <v>0</v>
      </c>
      <c r="N2213" s="14"/>
    </row>
    <row r="2214" spans="1:14" x14ac:dyDescent="0.25">
      <c r="A2214" s="20">
        <v>44607</v>
      </c>
      <c r="B2214" s="1">
        <f t="shared" ref="B2214" si="3274">B2210</f>
        <v>185</v>
      </c>
      <c r="C2214" s="1" t="s">
        <v>504</v>
      </c>
      <c r="D2214" s="1" t="s">
        <v>180</v>
      </c>
      <c r="E2214" s="26" t="e">
        <f t="shared" ref="E2214:F2214" si="3275">+E2213</f>
        <v>#REF!</v>
      </c>
      <c r="F2214" s="26" t="e">
        <f t="shared" si="3275"/>
        <v>#REF!</v>
      </c>
      <c r="G2214" s="17">
        <v>5</v>
      </c>
      <c r="H2214" s="17" t="s">
        <v>9</v>
      </c>
      <c r="I2214" s="30" t="s">
        <v>34</v>
      </c>
      <c r="J2214" s="22"/>
      <c r="K2214" s="63"/>
      <c r="L2214" s="8">
        <f t="shared" si="3270"/>
        <v>0</v>
      </c>
      <c r="M2214" s="24">
        <f t="shared" si="3254"/>
        <v>0</v>
      </c>
      <c r="N2214" s="14"/>
    </row>
    <row r="2215" spans="1:14" x14ac:dyDescent="0.25">
      <c r="A2215" s="20">
        <v>44607</v>
      </c>
      <c r="B2215" s="1">
        <f t="shared" ref="B2215" si="3276">B2210</f>
        <v>185</v>
      </c>
      <c r="C2215" s="1" t="s">
        <v>504</v>
      </c>
      <c r="D2215" s="1" t="s">
        <v>180</v>
      </c>
      <c r="E2215" s="26" t="e">
        <f t="shared" ref="E2215:F2215" si="3277">+E2214</f>
        <v>#REF!</v>
      </c>
      <c r="F2215" s="26" t="e">
        <f t="shared" si="3277"/>
        <v>#REF!</v>
      </c>
      <c r="G2215" s="17">
        <v>6</v>
      </c>
      <c r="H2215" s="17" t="s">
        <v>9</v>
      </c>
      <c r="I2215" s="30" t="s">
        <v>35</v>
      </c>
      <c r="J2215" s="22"/>
      <c r="K2215" s="22"/>
      <c r="L2215" s="8">
        <f t="shared" si="3270"/>
        <v>0</v>
      </c>
      <c r="M2215" s="24">
        <f t="shared" si="3254"/>
        <v>0</v>
      </c>
      <c r="N2215" s="14"/>
    </row>
    <row r="2216" spans="1:14" x14ac:dyDescent="0.25">
      <c r="A2216" s="20">
        <v>44607</v>
      </c>
      <c r="B2216" s="1">
        <f t="shared" ref="B2216" si="3278">B2210</f>
        <v>185</v>
      </c>
      <c r="C2216" s="1" t="s">
        <v>504</v>
      </c>
      <c r="D2216" s="1" t="s">
        <v>180</v>
      </c>
      <c r="E2216" s="26" t="e">
        <f t="shared" ref="E2216:F2216" si="3279">+E2215</f>
        <v>#REF!</v>
      </c>
      <c r="F2216" s="26" t="e">
        <f t="shared" si="3279"/>
        <v>#REF!</v>
      </c>
      <c r="G2216" s="17">
        <v>7</v>
      </c>
      <c r="H2216" s="17" t="s">
        <v>9</v>
      </c>
      <c r="I2216" s="30" t="s">
        <v>36</v>
      </c>
      <c r="J2216" s="22"/>
      <c r="K2216" s="22"/>
      <c r="L2216" s="8">
        <f t="shared" si="3270"/>
        <v>0</v>
      </c>
      <c r="M2216" s="24">
        <f t="shared" si="3254"/>
        <v>0</v>
      </c>
      <c r="N2216" s="14"/>
    </row>
    <row r="2217" spans="1:14" x14ac:dyDescent="0.25">
      <c r="A2217" s="20">
        <v>44607</v>
      </c>
      <c r="B2217" s="1">
        <f t="shared" ref="B2217" si="3280">B2210</f>
        <v>185</v>
      </c>
      <c r="C2217" s="1" t="s">
        <v>504</v>
      </c>
      <c r="D2217" s="1" t="s">
        <v>180</v>
      </c>
      <c r="E2217" s="26" t="e">
        <f>+E2216</f>
        <v>#REF!</v>
      </c>
      <c r="F2217" s="26" t="e">
        <f>+F2216</f>
        <v>#REF!</v>
      </c>
      <c r="G2217" s="17">
        <v>8</v>
      </c>
      <c r="H2217" s="17" t="s">
        <v>9</v>
      </c>
      <c r="I2217" s="30" t="s">
        <v>59</v>
      </c>
      <c r="J2217" s="22">
        <f>12.6+19.8+16.6+18.35</f>
        <v>67.349999999999994</v>
      </c>
      <c r="K2217" s="22">
        <f>8.3+8.55+8.55+8.55</f>
        <v>33.950000000000003</v>
      </c>
      <c r="L2217" s="8">
        <f t="shared" si="3270"/>
        <v>33.399999999999991</v>
      </c>
      <c r="M2217" s="24">
        <f t="shared" si="3254"/>
        <v>0.81166464155528562</v>
      </c>
      <c r="N2217" s="14"/>
    </row>
    <row r="2218" spans="1:14" x14ac:dyDescent="0.25">
      <c r="A2218" s="20">
        <v>44607</v>
      </c>
      <c r="B2218" s="1">
        <f t="shared" ref="B2218" si="3281">B2210</f>
        <v>185</v>
      </c>
      <c r="C2218" s="1" t="s">
        <v>504</v>
      </c>
      <c r="D2218" s="1" t="s">
        <v>180</v>
      </c>
      <c r="E2218" s="26" t="e">
        <f t="shared" ref="E2218:F2218" si="3282">+E2217</f>
        <v>#REF!</v>
      </c>
      <c r="F2218" s="26" t="e">
        <f t="shared" si="3282"/>
        <v>#REF!</v>
      </c>
      <c r="G2218" s="17">
        <v>9</v>
      </c>
      <c r="H2218" s="17" t="s">
        <v>9</v>
      </c>
      <c r="I2218" s="30" t="s">
        <v>38</v>
      </c>
      <c r="J2218" s="22"/>
      <c r="K2218" s="22"/>
      <c r="L2218" s="8">
        <f t="shared" si="3270"/>
        <v>0</v>
      </c>
      <c r="M2218" s="24">
        <f t="shared" si="3254"/>
        <v>0</v>
      </c>
      <c r="N2218" s="14"/>
    </row>
    <row r="2219" spans="1:14" x14ac:dyDescent="0.25">
      <c r="A2219" s="20">
        <v>44607</v>
      </c>
      <c r="B2219" s="1">
        <f t="shared" ref="B2219" si="3283">B2210</f>
        <v>185</v>
      </c>
      <c r="C2219" s="1" t="s">
        <v>504</v>
      </c>
      <c r="D2219" s="1" t="s">
        <v>180</v>
      </c>
      <c r="E2219" s="26" t="e">
        <f t="shared" ref="E2219:F2219" si="3284">+E2218</f>
        <v>#REF!</v>
      </c>
      <c r="F2219" s="26" t="e">
        <f t="shared" si="3284"/>
        <v>#REF!</v>
      </c>
      <c r="G2219" s="17">
        <v>10</v>
      </c>
      <c r="H2219" s="17" t="s">
        <v>9</v>
      </c>
      <c r="I2219" s="30" t="s">
        <v>23</v>
      </c>
      <c r="J2219" s="22">
        <f>11+12.4</f>
        <v>23.4</v>
      </c>
      <c r="K2219" s="22">
        <f>8.55+8.55</f>
        <v>17.100000000000001</v>
      </c>
      <c r="L2219" s="8">
        <f t="shared" si="3270"/>
        <v>6.2999999999999972</v>
      </c>
      <c r="M2219" s="24">
        <f t="shared" si="3254"/>
        <v>0.15309842041312272</v>
      </c>
      <c r="N2219" s="14"/>
    </row>
    <row r="2220" spans="1:14" x14ac:dyDescent="0.25">
      <c r="A2220" s="20">
        <v>44607</v>
      </c>
      <c r="B2220" s="1">
        <f t="shared" ref="B2220" si="3285">B2210</f>
        <v>185</v>
      </c>
      <c r="C2220" s="1" t="s">
        <v>504</v>
      </c>
      <c r="D2220" s="1" t="s">
        <v>180</v>
      </c>
      <c r="E2220" s="26" t="e">
        <f t="shared" ref="E2220:F2220" si="3286">+E2219</f>
        <v>#REF!</v>
      </c>
      <c r="F2220" s="26" t="e">
        <f t="shared" si="3286"/>
        <v>#REF!</v>
      </c>
      <c r="G2220" s="17">
        <v>11</v>
      </c>
      <c r="H2220" s="17" t="s">
        <v>9</v>
      </c>
      <c r="I2220" s="30" t="s">
        <v>60</v>
      </c>
      <c r="J2220" s="22">
        <v>0.6</v>
      </c>
      <c r="K2220" s="22">
        <v>0.55000000000000004</v>
      </c>
      <c r="L2220" s="8">
        <f t="shared" si="3270"/>
        <v>4.9999999999999933E-2</v>
      </c>
      <c r="M2220" s="24">
        <f t="shared" si="3254"/>
        <v>1.215066828675576E-3</v>
      </c>
      <c r="N2220" s="14"/>
    </row>
    <row r="2221" spans="1:14" ht="15.75" thickBot="1" x14ac:dyDescent="0.3">
      <c r="A2221" s="20">
        <v>44607</v>
      </c>
      <c r="B2221" s="57">
        <f t="shared" ref="B2221" si="3287">B2210</f>
        <v>185</v>
      </c>
      <c r="C2221" s="1" t="s">
        <v>504</v>
      </c>
      <c r="D2221" s="1" t="s">
        <v>180</v>
      </c>
      <c r="E2221" s="26" t="e">
        <f t="shared" ref="E2221:F2221" si="3288">+E2220</f>
        <v>#REF!</v>
      </c>
      <c r="F2221" s="26" t="e">
        <f t="shared" si="3288"/>
        <v>#REF!</v>
      </c>
      <c r="G2221" s="18">
        <f>+G2220+1</f>
        <v>12</v>
      </c>
      <c r="H2221" s="18" t="s">
        <v>10</v>
      </c>
      <c r="I2221" s="46" t="s">
        <v>10</v>
      </c>
      <c r="J2221" s="22">
        <v>1.85</v>
      </c>
      <c r="K2221" s="63">
        <v>0.55000000000000004</v>
      </c>
      <c r="L2221" s="8">
        <f t="shared" si="3270"/>
        <v>1.3</v>
      </c>
      <c r="M2221" s="24">
        <f t="shared" si="3254"/>
        <v>3.1591737545565018E-2</v>
      </c>
      <c r="N2221" s="14"/>
    </row>
    <row r="2222" spans="1:14" x14ac:dyDescent="0.25">
      <c r="A2222" s="19">
        <v>44607</v>
      </c>
      <c r="B2222" s="15">
        <f t="shared" ref="B2222" si="3289">B2210+1</f>
        <v>186</v>
      </c>
      <c r="C2222" s="15" t="s">
        <v>505</v>
      </c>
      <c r="D2222" s="15" t="s">
        <v>181</v>
      </c>
      <c r="E2222" s="25">
        <f>37.4-1.2</f>
        <v>36.199999999999996</v>
      </c>
      <c r="F2222" s="25">
        <f>+SUM(L2222:L2233)</f>
        <v>36</v>
      </c>
      <c r="G2222" s="16">
        <v>1</v>
      </c>
      <c r="H2222" s="16" t="s">
        <v>9</v>
      </c>
      <c r="I2222" s="59" t="s">
        <v>56</v>
      </c>
      <c r="J2222" s="21"/>
      <c r="K2222" s="21"/>
      <c r="L2222" s="12">
        <f>+J2222-K2222</f>
        <v>0</v>
      </c>
      <c r="M2222" s="23">
        <f t="shared" si="3254"/>
        <v>0</v>
      </c>
      <c r="N2222" s="13"/>
    </row>
    <row r="2223" spans="1:14" x14ac:dyDescent="0.25">
      <c r="A2223" s="20">
        <v>44607</v>
      </c>
      <c r="B2223" s="1">
        <f t="shared" ref="B2223" si="3290">B2222</f>
        <v>186</v>
      </c>
      <c r="C2223" s="1" t="s">
        <v>505</v>
      </c>
      <c r="D2223" s="1" t="s">
        <v>181</v>
      </c>
      <c r="E2223" s="26">
        <f>+E2222</f>
        <v>36.199999999999996</v>
      </c>
      <c r="F2223" s="28">
        <f>+(F2222-E2222)/E2222</f>
        <v>-5.5248618784529214E-3</v>
      </c>
      <c r="G2223" s="17">
        <v>2</v>
      </c>
      <c r="H2223" s="17" t="s">
        <v>9</v>
      </c>
      <c r="I2223" s="30" t="s">
        <v>57</v>
      </c>
      <c r="J2223" s="22">
        <v>0.6</v>
      </c>
      <c r="K2223" s="22">
        <v>0.55000000000000004</v>
      </c>
      <c r="L2223" s="8">
        <f t="shared" ref="L2223:L2233" si="3291">+J2223-K2223</f>
        <v>4.9999999999999933E-2</v>
      </c>
      <c r="M2223" s="24">
        <f t="shared" si="3254"/>
        <v>1.388888888888887E-3</v>
      </c>
      <c r="N2223" s="14"/>
    </row>
    <row r="2224" spans="1:14" x14ac:dyDescent="0.25">
      <c r="A2224" s="20">
        <v>44607</v>
      </c>
      <c r="B2224" s="1">
        <f t="shared" ref="B2224" si="3292">B2222</f>
        <v>186</v>
      </c>
      <c r="C2224" s="1" t="s">
        <v>505</v>
      </c>
      <c r="D2224" s="1" t="s">
        <v>181</v>
      </c>
      <c r="E2224" s="26" t="e">
        <f>+#REF!</f>
        <v>#REF!</v>
      </c>
      <c r="F2224" s="26" t="e">
        <f>+#REF!</f>
        <v>#REF!</v>
      </c>
      <c r="G2224" s="17">
        <v>3</v>
      </c>
      <c r="H2224" s="17" t="s">
        <v>9</v>
      </c>
      <c r="I2224" s="30" t="s">
        <v>58</v>
      </c>
      <c r="J2224" s="22">
        <v>0.6</v>
      </c>
      <c r="K2224" s="22">
        <v>0.55000000000000004</v>
      </c>
      <c r="L2224" s="8">
        <f t="shared" si="3291"/>
        <v>4.9999999999999933E-2</v>
      </c>
      <c r="M2224" s="24">
        <f t="shared" si="3254"/>
        <v>1.388888888888887E-3</v>
      </c>
      <c r="N2224" s="14"/>
    </row>
    <row r="2225" spans="1:14" x14ac:dyDescent="0.25">
      <c r="A2225" s="20">
        <v>44607</v>
      </c>
      <c r="B2225" s="1">
        <f t="shared" ref="B2225" si="3293">B2222</f>
        <v>186</v>
      </c>
      <c r="C2225" s="1" t="s">
        <v>505</v>
      </c>
      <c r="D2225" s="1" t="s">
        <v>181</v>
      </c>
      <c r="E2225" s="26" t="e">
        <f t="shared" ref="E2225:F2225" si="3294">+E2224</f>
        <v>#REF!</v>
      </c>
      <c r="F2225" s="26" t="e">
        <f t="shared" si="3294"/>
        <v>#REF!</v>
      </c>
      <c r="G2225" s="17">
        <v>4</v>
      </c>
      <c r="H2225" s="17" t="s">
        <v>9</v>
      </c>
      <c r="I2225" s="30" t="s">
        <v>22</v>
      </c>
      <c r="J2225" s="22"/>
      <c r="K2225" s="22"/>
      <c r="L2225" s="8">
        <f t="shared" si="3291"/>
        <v>0</v>
      </c>
      <c r="M2225" s="24">
        <f t="shared" si="3254"/>
        <v>0</v>
      </c>
      <c r="N2225" s="14"/>
    </row>
    <row r="2226" spans="1:14" x14ac:dyDescent="0.25">
      <c r="A2226" s="20">
        <v>44607</v>
      </c>
      <c r="B2226" s="1">
        <f t="shared" ref="B2226" si="3295">B2222</f>
        <v>186</v>
      </c>
      <c r="C2226" s="1" t="s">
        <v>505</v>
      </c>
      <c r="D2226" s="1" t="s">
        <v>181</v>
      </c>
      <c r="E2226" s="26" t="e">
        <f t="shared" ref="E2226:F2226" si="3296">+E2225</f>
        <v>#REF!</v>
      </c>
      <c r="F2226" s="26" t="e">
        <f t="shared" si="3296"/>
        <v>#REF!</v>
      </c>
      <c r="G2226" s="17">
        <v>5</v>
      </c>
      <c r="H2226" s="17" t="s">
        <v>9</v>
      </c>
      <c r="I2226" s="30" t="s">
        <v>34</v>
      </c>
      <c r="J2226" s="22"/>
      <c r="K2226" s="63"/>
      <c r="L2226" s="8">
        <f t="shared" si="3291"/>
        <v>0</v>
      </c>
      <c r="M2226" s="24">
        <f t="shared" si="3254"/>
        <v>0</v>
      </c>
      <c r="N2226" s="14"/>
    </row>
    <row r="2227" spans="1:14" x14ac:dyDescent="0.25">
      <c r="A2227" s="20">
        <v>44607</v>
      </c>
      <c r="B2227" s="1">
        <f t="shared" ref="B2227" si="3297">B2222</f>
        <v>186</v>
      </c>
      <c r="C2227" s="1" t="s">
        <v>505</v>
      </c>
      <c r="D2227" s="1" t="s">
        <v>181</v>
      </c>
      <c r="E2227" s="26" t="e">
        <f t="shared" ref="E2227:F2227" si="3298">+E2226</f>
        <v>#REF!</v>
      </c>
      <c r="F2227" s="26" t="e">
        <f t="shared" si="3298"/>
        <v>#REF!</v>
      </c>
      <c r="G2227" s="17">
        <v>6</v>
      </c>
      <c r="H2227" s="17" t="s">
        <v>9</v>
      </c>
      <c r="I2227" s="30" t="s">
        <v>35</v>
      </c>
      <c r="J2227" s="22"/>
      <c r="K2227" s="22"/>
      <c r="L2227" s="8">
        <f t="shared" si="3291"/>
        <v>0</v>
      </c>
      <c r="M2227" s="24">
        <f t="shared" si="3254"/>
        <v>0</v>
      </c>
      <c r="N2227" s="14"/>
    </row>
    <row r="2228" spans="1:14" x14ac:dyDescent="0.25">
      <c r="A2228" s="20">
        <v>44607</v>
      </c>
      <c r="B2228" s="1">
        <f t="shared" ref="B2228" si="3299">B2222</f>
        <v>186</v>
      </c>
      <c r="C2228" s="1" t="s">
        <v>505</v>
      </c>
      <c r="D2228" s="1" t="s">
        <v>181</v>
      </c>
      <c r="E2228" s="26" t="e">
        <f t="shared" ref="E2228:F2228" si="3300">+E2227</f>
        <v>#REF!</v>
      </c>
      <c r="F2228" s="26" t="e">
        <f t="shared" si="3300"/>
        <v>#REF!</v>
      </c>
      <c r="G2228" s="17">
        <v>7</v>
      </c>
      <c r="H2228" s="17" t="s">
        <v>9</v>
      </c>
      <c r="I2228" s="30" t="s">
        <v>36</v>
      </c>
      <c r="J2228" s="22"/>
      <c r="K2228" s="22"/>
      <c r="L2228" s="8">
        <f t="shared" si="3291"/>
        <v>0</v>
      </c>
      <c r="M2228" s="24">
        <f t="shared" si="3254"/>
        <v>0</v>
      </c>
      <c r="N2228" s="14"/>
    </row>
    <row r="2229" spans="1:14" x14ac:dyDescent="0.25">
      <c r="A2229" s="20">
        <v>44607</v>
      </c>
      <c r="B2229" s="1">
        <f t="shared" ref="B2229" si="3301">B2222</f>
        <v>186</v>
      </c>
      <c r="C2229" s="1" t="s">
        <v>505</v>
      </c>
      <c r="D2229" s="1" t="s">
        <v>181</v>
      </c>
      <c r="E2229" s="26" t="e">
        <f>+E2228</f>
        <v>#REF!</v>
      </c>
      <c r="F2229" s="26" t="e">
        <f>+F2228</f>
        <v>#REF!</v>
      </c>
      <c r="G2229" s="17">
        <v>8</v>
      </c>
      <c r="H2229" s="17" t="s">
        <v>9</v>
      </c>
      <c r="I2229" s="30" t="s">
        <v>59</v>
      </c>
      <c r="J2229" s="22">
        <f>0.95</f>
        <v>0.95</v>
      </c>
      <c r="K2229" s="22">
        <f>0.55</f>
        <v>0.55000000000000004</v>
      </c>
      <c r="L2229" s="8">
        <f t="shared" si="3291"/>
        <v>0.39999999999999991</v>
      </c>
      <c r="M2229" s="24">
        <f t="shared" si="3254"/>
        <v>1.1111111111111108E-2</v>
      </c>
      <c r="N2229" s="14"/>
    </row>
    <row r="2230" spans="1:14" x14ac:dyDescent="0.25">
      <c r="A2230" s="20">
        <v>44607</v>
      </c>
      <c r="B2230" s="1">
        <f t="shared" ref="B2230" si="3302">B2222</f>
        <v>186</v>
      </c>
      <c r="C2230" s="1" t="s">
        <v>505</v>
      </c>
      <c r="D2230" s="1" t="s">
        <v>181</v>
      </c>
      <c r="E2230" s="26" t="e">
        <f t="shared" ref="E2230:F2230" si="3303">+E2229</f>
        <v>#REF!</v>
      </c>
      <c r="F2230" s="26" t="e">
        <f t="shared" si="3303"/>
        <v>#REF!</v>
      </c>
      <c r="G2230" s="17">
        <v>9</v>
      </c>
      <c r="H2230" s="17" t="s">
        <v>9</v>
      </c>
      <c r="I2230" s="30" t="s">
        <v>38</v>
      </c>
      <c r="J2230" s="22"/>
      <c r="K2230" s="22"/>
      <c r="L2230" s="8">
        <f t="shared" si="3291"/>
        <v>0</v>
      </c>
      <c r="M2230" s="24">
        <f t="shared" si="3254"/>
        <v>0</v>
      </c>
      <c r="N2230" s="14"/>
    </row>
    <row r="2231" spans="1:14" x14ac:dyDescent="0.25">
      <c r="A2231" s="20">
        <v>44607</v>
      </c>
      <c r="B2231" s="1">
        <f t="shared" ref="B2231" si="3304">B2222</f>
        <v>186</v>
      </c>
      <c r="C2231" s="1" t="s">
        <v>505</v>
      </c>
      <c r="D2231" s="1" t="s">
        <v>181</v>
      </c>
      <c r="E2231" s="26" t="e">
        <f t="shared" ref="E2231:F2231" si="3305">+E2230</f>
        <v>#REF!</v>
      </c>
      <c r="F2231" s="26" t="e">
        <f t="shared" si="3305"/>
        <v>#REF!</v>
      </c>
      <c r="G2231" s="17">
        <v>10</v>
      </c>
      <c r="H2231" s="17" t="s">
        <v>9</v>
      </c>
      <c r="I2231" s="30" t="s">
        <v>23</v>
      </c>
      <c r="J2231" s="22">
        <f>16.65+11.05+12.4+11.6+12.85+12.9</f>
        <v>77.45</v>
      </c>
      <c r="K2231" s="22">
        <f>8.5+8.55+8.55+8.55+8.3</f>
        <v>42.45</v>
      </c>
      <c r="L2231" s="8">
        <f t="shared" si="3291"/>
        <v>35</v>
      </c>
      <c r="M2231" s="24">
        <f t="shared" si="3254"/>
        <v>0.97222222222222221</v>
      </c>
      <c r="N2231" s="14"/>
    </row>
    <row r="2232" spans="1:14" x14ac:dyDescent="0.25">
      <c r="A2232" s="20">
        <v>44607</v>
      </c>
      <c r="B2232" s="1">
        <f t="shared" ref="B2232" si="3306">B2222</f>
        <v>186</v>
      </c>
      <c r="C2232" s="1" t="s">
        <v>505</v>
      </c>
      <c r="D2232" s="1" t="s">
        <v>181</v>
      </c>
      <c r="E2232" s="26" t="e">
        <f t="shared" ref="E2232:F2232" si="3307">+E2231</f>
        <v>#REF!</v>
      </c>
      <c r="F2232" s="26" t="e">
        <f t="shared" si="3307"/>
        <v>#REF!</v>
      </c>
      <c r="G2232" s="17">
        <v>11</v>
      </c>
      <c r="H2232" s="17" t="s">
        <v>9</v>
      </c>
      <c r="I2232" s="30" t="s">
        <v>60</v>
      </c>
      <c r="J2232" s="22"/>
      <c r="K2232" s="22"/>
      <c r="L2232" s="8">
        <f t="shared" si="3291"/>
        <v>0</v>
      </c>
      <c r="M2232" s="24">
        <f t="shared" si="3254"/>
        <v>0</v>
      </c>
      <c r="N2232" s="14"/>
    </row>
    <row r="2233" spans="1:14" ht="15.75" thickBot="1" x14ac:dyDescent="0.3">
      <c r="A2233" s="20">
        <v>44607</v>
      </c>
      <c r="B2233" s="57">
        <f t="shared" ref="B2233" si="3308">B2222</f>
        <v>186</v>
      </c>
      <c r="C2233" s="1" t="s">
        <v>505</v>
      </c>
      <c r="D2233" s="57" t="s">
        <v>181</v>
      </c>
      <c r="E2233" s="26" t="e">
        <f t="shared" ref="E2233:F2233" si="3309">+E2232</f>
        <v>#REF!</v>
      </c>
      <c r="F2233" s="26" t="e">
        <f t="shared" si="3309"/>
        <v>#REF!</v>
      </c>
      <c r="G2233" s="18">
        <f>+G2232+1</f>
        <v>12</v>
      </c>
      <c r="H2233" s="18" t="s">
        <v>10</v>
      </c>
      <c r="I2233" s="46" t="s">
        <v>10</v>
      </c>
      <c r="J2233" s="22">
        <f>1.05</f>
        <v>1.05</v>
      </c>
      <c r="K2233" s="63">
        <f>0.55</f>
        <v>0.55000000000000004</v>
      </c>
      <c r="L2233" s="8">
        <f t="shared" si="3291"/>
        <v>0.5</v>
      </c>
      <c r="M2233" s="24">
        <f t="shared" si="3254"/>
        <v>1.3888888888888888E-2</v>
      </c>
      <c r="N2233" s="14"/>
    </row>
    <row r="2234" spans="1:14" x14ac:dyDescent="0.25">
      <c r="A2234" s="19">
        <v>44607</v>
      </c>
      <c r="B2234" s="15">
        <f t="shared" ref="B2234" si="3310">B2222+1</f>
        <v>187</v>
      </c>
      <c r="C2234" s="15" t="s">
        <v>506</v>
      </c>
      <c r="D2234" s="15" t="s">
        <v>181</v>
      </c>
      <c r="E2234" s="25">
        <f>29.4-1.2</f>
        <v>28.2</v>
      </c>
      <c r="F2234" s="25">
        <f>+SUM(L2234:L2245)</f>
        <v>27.75</v>
      </c>
      <c r="G2234" s="16">
        <v>1</v>
      </c>
      <c r="H2234" s="16" t="s">
        <v>9</v>
      </c>
      <c r="I2234" s="59" t="s">
        <v>56</v>
      </c>
      <c r="J2234" s="21"/>
      <c r="K2234" s="21"/>
      <c r="L2234" s="12">
        <f>+J2234-K2234</f>
        <v>0</v>
      </c>
      <c r="M2234" s="23">
        <f t="shared" si="3254"/>
        <v>0</v>
      </c>
      <c r="N2234" s="13"/>
    </row>
    <row r="2235" spans="1:14" x14ac:dyDescent="0.25">
      <c r="A2235" s="20">
        <v>44607</v>
      </c>
      <c r="B2235" s="1">
        <f t="shared" ref="B2235" si="3311">B2234</f>
        <v>187</v>
      </c>
      <c r="C2235" s="1" t="s">
        <v>506</v>
      </c>
      <c r="D2235" s="1" t="s">
        <v>181</v>
      </c>
      <c r="E2235" s="26">
        <f>+E2234</f>
        <v>28.2</v>
      </c>
      <c r="F2235" s="28">
        <f>+(F2234-E2234)/E2234</f>
        <v>-1.5957446808510613E-2</v>
      </c>
      <c r="G2235" s="17">
        <v>2</v>
      </c>
      <c r="H2235" s="17" t="s">
        <v>9</v>
      </c>
      <c r="I2235" s="30" t="s">
        <v>57</v>
      </c>
      <c r="J2235" s="22"/>
      <c r="K2235" s="22"/>
      <c r="L2235" s="8">
        <f t="shared" ref="L2235:L2245" si="3312">+J2235-K2235</f>
        <v>0</v>
      </c>
      <c r="M2235" s="24">
        <f t="shared" si="3254"/>
        <v>0</v>
      </c>
      <c r="N2235" s="14"/>
    </row>
    <row r="2236" spans="1:14" x14ac:dyDescent="0.25">
      <c r="A2236" s="20">
        <v>44607</v>
      </c>
      <c r="B2236" s="1">
        <f t="shared" ref="B2236" si="3313">B2234</f>
        <v>187</v>
      </c>
      <c r="C2236" s="1" t="s">
        <v>506</v>
      </c>
      <c r="D2236" s="1" t="s">
        <v>181</v>
      </c>
      <c r="E2236" s="26" t="e">
        <f>+#REF!</f>
        <v>#REF!</v>
      </c>
      <c r="F2236" s="26" t="e">
        <f>+#REF!</f>
        <v>#REF!</v>
      </c>
      <c r="G2236" s="17">
        <v>3</v>
      </c>
      <c r="H2236" s="17" t="s">
        <v>9</v>
      </c>
      <c r="I2236" s="30" t="s">
        <v>58</v>
      </c>
      <c r="J2236" s="22"/>
      <c r="K2236" s="22"/>
      <c r="L2236" s="8">
        <f t="shared" si="3312"/>
        <v>0</v>
      </c>
      <c r="M2236" s="24">
        <f t="shared" si="3254"/>
        <v>0</v>
      </c>
      <c r="N2236" s="14"/>
    </row>
    <row r="2237" spans="1:14" x14ac:dyDescent="0.25">
      <c r="A2237" s="20">
        <v>44607</v>
      </c>
      <c r="B2237" s="1">
        <f t="shared" ref="B2237" si="3314">B2234</f>
        <v>187</v>
      </c>
      <c r="C2237" s="1" t="s">
        <v>506</v>
      </c>
      <c r="D2237" s="1" t="s">
        <v>181</v>
      </c>
      <c r="E2237" s="26" t="e">
        <f t="shared" ref="E2237:F2237" si="3315">+E2236</f>
        <v>#REF!</v>
      </c>
      <c r="F2237" s="26" t="e">
        <f t="shared" si="3315"/>
        <v>#REF!</v>
      </c>
      <c r="G2237" s="17">
        <v>4</v>
      </c>
      <c r="H2237" s="17" t="s">
        <v>9</v>
      </c>
      <c r="I2237" s="30" t="s">
        <v>22</v>
      </c>
      <c r="J2237" s="22"/>
      <c r="K2237" s="22"/>
      <c r="L2237" s="8">
        <f t="shared" si="3312"/>
        <v>0</v>
      </c>
      <c r="M2237" s="24">
        <f t="shared" si="3254"/>
        <v>0</v>
      </c>
      <c r="N2237" s="14"/>
    </row>
    <row r="2238" spans="1:14" x14ac:dyDescent="0.25">
      <c r="A2238" s="20">
        <v>44607</v>
      </c>
      <c r="B2238" s="1">
        <f t="shared" ref="B2238" si="3316">B2234</f>
        <v>187</v>
      </c>
      <c r="C2238" s="1" t="s">
        <v>506</v>
      </c>
      <c r="D2238" s="1" t="s">
        <v>181</v>
      </c>
      <c r="E2238" s="26" t="e">
        <f t="shared" ref="E2238:F2238" si="3317">+E2237</f>
        <v>#REF!</v>
      </c>
      <c r="F2238" s="26" t="e">
        <f t="shared" si="3317"/>
        <v>#REF!</v>
      </c>
      <c r="G2238" s="17">
        <v>5</v>
      </c>
      <c r="H2238" s="17" t="s">
        <v>9</v>
      </c>
      <c r="I2238" s="30" t="s">
        <v>34</v>
      </c>
      <c r="J2238" s="22"/>
      <c r="K2238" s="63"/>
      <c r="L2238" s="8">
        <f t="shared" si="3312"/>
        <v>0</v>
      </c>
      <c r="M2238" s="24">
        <f t="shared" si="3254"/>
        <v>0</v>
      </c>
      <c r="N2238" s="14"/>
    </row>
    <row r="2239" spans="1:14" x14ac:dyDescent="0.25">
      <c r="A2239" s="20">
        <v>44607</v>
      </c>
      <c r="B2239" s="1">
        <f t="shared" ref="B2239" si="3318">B2234</f>
        <v>187</v>
      </c>
      <c r="C2239" s="1" t="s">
        <v>506</v>
      </c>
      <c r="D2239" s="1" t="s">
        <v>181</v>
      </c>
      <c r="E2239" s="26" t="e">
        <f t="shared" ref="E2239:F2239" si="3319">+E2238</f>
        <v>#REF!</v>
      </c>
      <c r="F2239" s="26" t="e">
        <f t="shared" si="3319"/>
        <v>#REF!</v>
      </c>
      <c r="G2239" s="17">
        <v>6</v>
      </c>
      <c r="H2239" s="17" t="s">
        <v>9</v>
      </c>
      <c r="I2239" s="30" t="s">
        <v>35</v>
      </c>
      <c r="J2239" s="22"/>
      <c r="K2239" s="22"/>
      <c r="L2239" s="8">
        <f t="shared" si="3312"/>
        <v>0</v>
      </c>
      <c r="M2239" s="24">
        <f t="shared" si="3254"/>
        <v>0</v>
      </c>
      <c r="N2239" s="14"/>
    </row>
    <row r="2240" spans="1:14" x14ac:dyDescent="0.25">
      <c r="A2240" s="20">
        <v>44607</v>
      </c>
      <c r="B2240" s="1">
        <f t="shared" ref="B2240" si="3320">B2234</f>
        <v>187</v>
      </c>
      <c r="C2240" s="1" t="s">
        <v>506</v>
      </c>
      <c r="D2240" s="1" t="s">
        <v>181</v>
      </c>
      <c r="E2240" s="26" t="e">
        <f t="shared" ref="E2240:F2240" si="3321">+E2239</f>
        <v>#REF!</v>
      </c>
      <c r="F2240" s="26" t="e">
        <f t="shared" si="3321"/>
        <v>#REF!</v>
      </c>
      <c r="G2240" s="17">
        <v>7</v>
      </c>
      <c r="H2240" s="17" t="s">
        <v>9</v>
      </c>
      <c r="I2240" s="30" t="s">
        <v>36</v>
      </c>
      <c r="J2240" s="22"/>
      <c r="K2240" s="22"/>
      <c r="L2240" s="8">
        <f t="shared" si="3312"/>
        <v>0</v>
      </c>
      <c r="M2240" s="24">
        <f t="shared" si="3254"/>
        <v>0</v>
      </c>
      <c r="N2240" s="14"/>
    </row>
    <row r="2241" spans="1:14" x14ac:dyDescent="0.25">
      <c r="A2241" s="20">
        <v>44607</v>
      </c>
      <c r="B2241" s="1">
        <f t="shared" ref="B2241" si="3322">B2234</f>
        <v>187</v>
      </c>
      <c r="C2241" s="1" t="s">
        <v>506</v>
      </c>
      <c r="D2241" s="1" t="s">
        <v>181</v>
      </c>
      <c r="E2241" s="26" t="e">
        <f>+E2240</f>
        <v>#REF!</v>
      </c>
      <c r="F2241" s="26" t="e">
        <f>+F2240</f>
        <v>#REF!</v>
      </c>
      <c r="G2241" s="17">
        <v>8</v>
      </c>
      <c r="H2241" s="17" t="s">
        <v>9</v>
      </c>
      <c r="I2241" s="30" t="s">
        <v>59</v>
      </c>
      <c r="J2241" s="22"/>
      <c r="K2241" s="22"/>
      <c r="L2241" s="8">
        <f t="shared" si="3312"/>
        <v>0</v>
      </c>
      <c r="M2241" s="24">
        <f t="shared" si="3254"/>
        <v>0</v>
      </c>
      <c r="N2241" s="14"/>
    </row>
    <row r="2242" spans="1:14" x14ac:dyDescent="0.25">
      <c r="A2242" s="20">
        <v>44607</v>
      </c>
      <c r="B2242" s="1">
        <f t="shared" ref="B2242" si="3323">B2234</f>
        <v>187</v>
      </c>
      <c r="C2242" s="1" t="s">
        <v>506</v>
      </c>
      <c r="D2242" s="1" t="s">
        <v>181</v>
      </c>
      <c r="E2242" s="26" t="e">
        <f t="shared" ref="E2242:F2242" si="3324">+E2241</f>
        <v>#REF!</v>
      </c>
      <c r="F2242" s="26" t="e">
        <f t="shared" si="3324"/>
        <v>#REF!</v>
      </c>
      <c r="G2242" s="17">
        <v>9</v>
      </c>
      <c r="H2242" s="17" t="s">
        <v>9</v>
      </c>
      <c r="I2242" s="30" t="s">
        <v>38</v>
      </c>
      <c r="J2242" s="22"/>
      <c r="K2242" s="22"/>
      <c r="L2242" s="8">
        <f t="shared" si="3312"/>
        <v>0</v>
      </c>
      <c r="M2242" s="24">
        <f t="shared" si="3254"/>
        <v>0</v>
      </c>
      <c r="N2242" s="14"/>
    </row>
    <row r="2243" spans="1:14" x14ac:dyDescent="0.25">
      <c r="A2243" s="20">
        <v>44607</v>
      </c>
      <c r="B2243" s="1">
        <f t="shared" ref="B2243" si="3325">B2234</f>
        <v>187</v>
      </c>
      <c r="C2243" s="1" t="s">
        <v>506</v>
      </c>
      <c r="D2243" s="1" t="s">
        <v>181</v>
      </c>
      <c r="E2243" s="26" t="e">
        <f t="shared" ref="E2243:F2243" si="3326">+E2242</f>
        <v>#REF!</v>
      </c>
      <c r="F2243" s="26" t="e">
        <f t="shared" si="3326"/>
        <v>#REF!</v>
      </c>
      <c r="G2243" s="17">
        <v>10</v>
      </c>
      <c r="H2243" s="17" t="s">
        <v>9</v>
      </c>
      <c r="I2243" s="30" t="s">
        <v>23</v>
      </c>
      <c r="J2243" s="22">
        <f>14.35+12.4+12.6+13.2+12.75+13.4</f>
        <v>78.7</v>
      </c>
      <c r="K2243" s="22">
        <f>8.5+8.3+8.55+8.55+8.55+8.5</f>
        <v>50.95</v>
      </c>
      <c r="L2243" s="8">
        <f t="shared" si="3312"/>
        <v>27.75</v>
      </c>
      <c r="M2243" s="24">
        <f t="shared" si="3254"/>
        <v>1</v>
      </c>
      <c r="N2243" s="14"/>
    </row>
    <row r="2244" spans="1:14" x14ac:dyDescent="0.25">
      <c r="A2244" s="20">
        <v>44607</v>
      </c>
      <c r="B2244" s="1">
        <f t="shared" ref="B2244" si="3327">B2234</f>
        <v>187</v>
      </c>
      <c r="C2244" s="1" t="s">
        <v>506</v>
      </c>
      <c r="D2244" s="1" t="s">
        <v>181</v>
      </c>
      <c r="E2244" s="26" t="e">
        <f t="shared" ref="E2244:F2244" si="3328">+E2243</f>
        <v>#REF!</v>
      </c>
      <c r="F2244" s="26" t="e">
        <f t="shared" si="3328"/>
        <v>#REF!</v>
      </c>
      <c r="G2244" s="17">
        <v>11</v>
      </c>
      <c r="H2244" s="17" t="s">
        <v>9</v>
      </c>
      <c r="I2244" s="30" t="s">
        <v>60</v>
      </c>
      <c r="J2244" s="22"/>
      <c r="K2244" s="22"/>
      <c r="L2244" s="8">
        <f t="shared" si="3312"/>
        <v>0</v>
      </c>
      <c r="M2244" s="24">
        <f t="shared" si="3254"/>
        <v>0</v>
      </c>
      <c r="N2244" s="14"/>
    </row>
    <row r="2245" spans="1:14" ht="15.75" thickBot="1" x14ac:dyDescent="0.3">
      <c r="A2245" s="20">
        <v>44607</v>
      </c>
      <c r="B2245" s="57">
        <f t="shared" ref="B2245" si="3329">B2234</f>
        <v>187</v>
      </c>
      <c r="C2245" s="1" t="s">
        <v>506</v>
      </c>
      <c r="D2245" s="57" t="s">
        <v>181</v>
      </c>
      <c r="E2245" s="26" t="e">
        <f t="shared" ref="E2245:F2245" si="3330">+E2244</f>
        <v>#REF!</v>
      </c>
      <c r="F2245" s="26" t="e">
        <f t="shared" si="3330"/>
        <v>#REF!</v>
      </c>
      <c r="G2245" s="18">
        <f>+G2244+1</f>
        <v>12</v>
      </c>
      <c r="H2245" s="18" t="s">
        <v>10</v>
      </c>
      <c r="I2245" s="46" t="s">
        <v>10</v>
      </c>
      <c r="J2245" s="22"/>
      <c r="K2245" s="63"/>
      <c r="L2245" s="8">
        <f t="shared" si="3312"/>
        <v>0</v>
      </c>
      <c r="M2245" s="24">
        <f t="shared" si="3254"/>
        <v>0</v>
      </c>
      <c r="N2245" s="14"/>
    </row>
    <row r="2246" spans="1:14" x14ac:dyDescent="0.25">
      <c r="A2246" s="19">
        <v>44607</v>
      </c>
      <c r="B2246" s="15">
        <f t="shared" ref="B2246" si="3331">B2234+1</f>
        <v>188</v>
      </c>
      <c r="C2246" s="15" t="s">
        <v>507</v>
      </c>
      <c r="D2246" s="15" t="s">
        <v>179</v>
      </c>
      <c r="E2246" s="25">
        <f>38.4-1.2</f>
        <v>37.199999999999996</v>
      </c>
      <c r="F2246" s="25">
        <f>+SUM(L2246:L2257)</f>
        <v>37.4</v>
      </c>
      <c r="G2246" s="16">
        <v>1</v>
      </c>
      <c r="H2246" s="16" t="s">
        <v>9</v>
      </c>
      <c r="I2246" s="59" t="s">
        <v>56</v>
      </c>
      <c r="J2246" s="21"/>
      <c r="K2246" s="21"/>
      <c r="L2246" s="12">
        <f>+J2246-K2246</f>
        <v>0</v>
      </c>
      <c r="M2246" s="23">
        <f t="shared" si="3254"/>
        <v>0</v>
      </c>
      <c r="N2246" s="13"/>
    </row>
    <row r="2247" spans="1:14" x14ac:dyDescent="0.25">
      <c r="A2247" s="20">
        <v>44607</v>
      </c>
      <c r="B2247" s="1">
        <f t="shared" ref="B2247" si="3332">B2246</f>
        <v>188</v>
      </c>
      <c r="C2247" s="1" t="s">
        <v>507</v>
      </c>
      <c r="D2247" s="1" t="s">
        <v>179</v>
      </c>
      <c r="E2247" s="26">
        <f>+E2246</f>
        <v>37.199999999999996</v>
      </c>
      <c r="F2247" s="28">
        <f>+(F2246-E2246)/E2246</f>
        <v>5.3763440860215821E-3</v>
      </c>
      <c r="G2247" s="17">
        <v>2</v>
      </c>
      <c r="H2247" s="17" t="s">
        <v>9</v>
      </c>
      <c r="I2247" s="30" t="s">
        <v>57</v>
      </c>
      <c r="J2247" s="22">
        <v>1.05</v>
      </c>
      <c r="K2247" s="22">
        <v>0.55000000000000004</v>
      </c>
      <c r="L2247" s="8">
        <f t="shared" ref="L2247:L2257" si="3333">+J2247-K2247</f>
        <v>0.5</v>
      </c>
      <c r="M2247" s="24">
        <f t="shared" si="3254"/>
        <v>1.3368983957219251E-2</v>
      </c>
      <c r="N2247" s="14"/>
    </row>
    <row r="2248" spans="1:14" x14ac:dyDescent="0.25">
      <c r="A2248" s="20">
        <v>44607</v>
      </c>
      <c r="B2248" s="1">
        <f t="shared" ref="B2248" si="3334">B2246</f>
        <v>188</v>
      </c>
      <c r="C2248" s="1" t="s">
        <v>507</v>
      </c>
      <c r="D2248" s="1" t="s">
        <v>179</v>
      </c>
      <c r="E2248" s="26" t="e">
        <f>+#REF!</f>
        <v>#REF!</v>
      </c>
      <c r="F2248" s="26" t="e">
        <f>+#REF!</f>
        <v>#REF!</v>
      </c>
      <c r="G2248" s="17">
        <v>3</v>
      </c>
      <c r="H2248" s="17" t="s">
        <v>9</v>
      </c>
      <c r="I2248" s="30" t="s">
        <v>58</v>
      </c>
      <c r="J2248" s="22">
        <v>0.8</v>
      </c>
      <c r="K2248" s="22">
        <v>0.5</v>
      </c>
      <c r="L2248" s="8">
        <f t="shared" si="3333"/>
        <v>0.30000000000000004</v>
      </c>
      <c r="M2248" s="24">
        <f t="shared" si="3254"/>
        <v>8.0213903743315516E-3</v>
      </c>
      <c r="N2248" s="14"/>
    </row>
    <row r="2249" spans="1:14" x14ac:dyDescent="0.25">
      <c r="A2249" s="20">
        <v>44607</v>
      </c>
      <c r="B2249" s="1">
        <f t="shared" ref="B2249" si="3335">B2246</f>
        <v>188</v>
      </c>
      <c r="C2249" s="1" t="s">
        <v>507</v>
      </c>
      <c r="D2249" s="1" t="s">
        <v>179</v>
      </c>
      <c r="E2249" s="26" t="e">
        <f t="shared" ref="E2249:F2249" si="3336">+E2248</f>
        <v>#REF!</v>
      </c>
      <c r="F2249" s="26" t="e">
        <f t="shared" si="3336"/>
        <v>#REF!</v>
      </c>
      <c r="G2249" s="17">
        <v>4</v>
      </c>
      <c r="H2249" s="17" t="s">
        <v>9</v>
      </c>
      <c r="I2249" s="30" t="s">
        <v>22</v>
      </c>
      <c r="J2249" s="22">
        <v>0.7</v>
      </c>
      <c r="K2249" s="22">
        <v>0.55000000000000004</v>
      </c>
      <c r="L2249" s="8">
        <f t="shared" si="3333"/>
        <v>0.14999999999999991</v>
      </c>
      <c r="M2249" s="24">
        <f t="shared" si="3254"/>
        <v>4.0106951871657732E-3</v>
      </c>
      <c r="N2249" s="14"/>
    </row>
    <row r="2250" spans="1:14" x14ac:dyDescent="0.25">
      <c r="A2250" s="20">
        <v>44607</v>
      </c>
      <c r="B2250" s="1">
        <f t="shared" ref="B2250" si="3337">B2246</f>
        <v>188</v>
      </c>
      <c r="C2250" s="1" t="s">
        <v>507</v>
      </c>
      <c r="D2250" s="1" t="s">
        <v>179</v>
      </c>
      <c r="E2250" s="26" t="e">
        <f t="shared" ref="E2250:F2250" si="3338">+E2249</f>
        <v>#REF!</v>
      </c>
      <c r="F2250" s="26" t="e">
        <f t="shared" si="3338"/>
        <v>#REF!</v>
      </c>
      <c r="G2250" s="17">
        <v>5</v>
      </c>
      <c r="H2250" s="17" t="s">
        <v>9</v>
      </c>
      <c r="I2250" s="30" t="s">
        <v>34</v>
      </c>
      <c r="J2250" s="22">
        <v>1.05</v>
      </c>
      <c r="K2250" s="63">
        <v>0.55000000000000004</v>
      </c>
      <c r="L2250" s="8">
        <f t="shared" si="3333"/>
        <v>0.5</v>
      </c>
      <c r="M2250" s="24">
        <f t="shared" si="3254"/>
        <v>1.3368983957219251E-2</v>
      </c>
      <c r="N2250" s="14"/>
    </row>
    <row r="2251" spans="1:14" x14ac:dyDescent="0.25">
      <c r="A2251" s="20">
        <v>44607</v>
      </c>
      <c r="B2251" s="1">
        <f t="shared" ref="B2251" si="3339">B2246</f>
        <v>188</v>
      </c>
      <c r="C2251" s="1" t="s">
        <v>507</v>
      </c>
      <c r="D2251" s="1" t="s">
        <v>179</v>
      </c>
      <c r="E2251" s="26" t="e">
        <f t="shared" ref="E2251:F2251" si="3340">+E2250</f>
        <v>#REF!</v>
      </c>
      <c r="F2251" s="26" t="e">
        <f t="shared" si="3340"/>
        <v>#REF!</v>
      </c>
      <c r="G2251" s="17">
        <v>6</v>
      </c>
      <c r="H2251" s="17" t="s">
        <v>9</v>
      </c>
      <c r="I2251" s="30" t="s">
        <v>35</v>
      </c>
      <c r="J2251" s="22"/>
      <c r="K2251" s="22"/>
      <c r="L2251" s="8">
        <f t="shared" si="3333"/>
        <v>0</v>
      </c>
      <c r="M2251" s="24">
        <f t="shared" si="3254"/>
        <v>0</v>
      </c>
      <c r="N2251" s="14"/>
    </row>
    <row r="2252" spans="1:14" x14ac:dyDescent="0.25">
      <c r="A2252" s="20">
        <v>44607</v>
      </c>
      <c r="B2252" s="1">
        <f t="shared" ref="B2252" si="3341">B2246</f>
        <v>188</v>
      </c>
      <c r="C2252" s="1" t="s">
        <v>507</v>
      </c>
      <c r="D2252" s="1" t="s">
        <v>179</v>
      </c>
      <c r="E2252" s="26" t="e">
        <f t="shared" ref="E2252:F2252" si="3342">+E2251</f>
        <v>#REF!</v>
      </c>
      <c r="F2252" s="26" t="e">
        <f t="shared" si="3342"/>
        <v>#REF!</v>
      </c>
      <c r="G2252" s="17">
        <v>7</v>
      </c>
      <c r="H2252" s="17" t="s">
        <v>9</v>
      </c>
      <c r="I2252" s="30" t="s">
        <v>36</v>
      </c>
      <c r="J2252" s="22">
        <f>28.15</f>
        <v>28.15</v>
      </c>
      <c r="K2252" s="22">
        <f>6.1</f>
        <v>6.1</v>
      </c>
      <c r="L2252" s="8">
        <f t="shared" si="3333"/>
        <v>22.049999999999997</v>
      </c>
      <c r="M2252" s="24">
        <f t="shared" si="3254"/>
        <v>0.5895721925133689</v>
      </c>
      <c r="N2252" s="14"/>
    </row>
    <row r="2253" spans="1:14" x14ac:dyDescent="0.25">
      <c r="A2253" s="20">
        <v>44607</v>
      </c>
      <c r="B2253" s="1">
        <f t="shared" ref="B2253" si="3343">B2246</f>
        <v>188</v>
      </c>
      <c r="C2253" s="1" t="s">
        <v>507</v>
      </c>
      <c r="D2253" s="1" t="s">
        <v>179</v>
      </c>
      <c r="E2253" s="26" t="e">
        <f>+E2252</f>
        <v>#REF!</v>
      </c>
      <c r="F2253" s="26" t="e">
        <f>+F2252</f>
        <v>#REF!</v>
      </c>
      <c r="G2253" s="17">
        <v>8</v>
      </c>
      <c r="H2253" s="17" t="s">
        <v>9</v>
      </c>
      <c r="I2253" s="30" t="s">
        <v>59</v>
      </c>
      <c r="J2253" s="22">
        <v>2.0499999999999998</v>
      </c>
      <c r="K2253" s="22">
        <v>0.55000000000000004</v>
      </c>
      <c r="L2253" s="8">
        <f t="shared" si="3333"/>
        <v>1.4999999999999998</v>
      </c>
      <c r="M2253" s="24">
        <f t="shared" si="3254"/>
        <v>4.0106951871657748E-2</v>
      </c>
      <c r="N2253" s="14"/>
    </row>
    <row r="2254" spans="1:14" x14ac:dyDescent="0.25">
      <c r="A2254" s="20">
        <v>44607</v>
      </c>
      <c r="B2254" s="1">
        <f t="shared" ref="B2254" si="3344">B2246</f>
        <v>188</v>
      </c>
      <c r="C2254" s="1" t="s">
        <v>507</v>
      </c>
      <c r="D2254" s="1" t="s">
        <v>179</v>
      </c>
      <c r="E2254" s="26" t="e">
        <f t="shared" ref="E2254:F2254" si="3345">+E2253</f>
        <v>#REF!</v>
      </c>
      <c r="F2254" s="26" t="e">
        <f t="shared" si="3345"/>
        <v>#REF!</v>
      </c>
      <c r="G2254" s="17">
        <v>9</v>
      </c>
      <c r="H2254" s="17" t="s">
        <v>9</v>
      </c>
      <c r="I2254" s="30" t="s">
        <v>38</v>
      </c>
      <c r="J2254" s="22">
        <v>0.65</v>
      </c>
      <c r="K2254" s="22">
        <v>0.55000000000000004</v>
      </c>
      <c r="L2254" s="8">
        <f t="shared" si="3333"/>
        <v>9.9999999999999978E-2</v>
      </c>
      <c r="M2254" s="24">
        <f t="shared" si="3254"/>
        <v>2.6737967914438497E-3</v>
      </c>
      <c r="N2254" s="14"/>
    </row>
    <row r="2255" spans="1:14" x14ac:dyDescent="0.25">
      <c r="A2255" s="20">
        <v>44607</v>
      </c>
      <c r="B2255" s="1">
        <f t="shared" ref="B2255" si="3346">B2246</f>
        <v>188</v>
      </c>
      <c r="C2255" s="1" t="s">
        <v>507</v>
      </c>
      <c r="D2255" s="1" t="s">
        <v>179</v>
      </c>
      <c r="E2255" s="26" t="e">
        <f t="shared" ref="E2255:F2255" si="3347">+E2254</f>
        <v>#REF!</v>
      </c>
      <c r="F2255" s="26" t="e">
        <f t="shared" si="3347"/>
        <v>#REF!</v>
      </c>
      <c r="G2255" s="17">
        <v>10</v>
      </c>
      <c r="H2255" s="17" t="s">
        <v>9</v>
      </c>
      <c r="I2255" s="30" t="s">
        <v>23</v>
      </c>
      <c r="J2255" s="22">
        <f>2.05+2.5</f>
        <v>4.55</v>
      </c>
      <c r="K2255" s="22">
        <f>0.55+0.5</f>
        <v>1.05</v>
      </c>
      <c r="L2255" s="8">
        <f t="shared" si="3333"/>
        <v>3.5</v>
      </c>
      <c r="M2255" s="24">
        <f t="shared" si="3254"/>
        <v>9.3582887700534759E-2</v>
      </c>
      <c r="N2255" s="14"/>
    </row>
    <row r="2256" spans="1:14" x14ac:dyDescent="0.25">
      <c r="A2256" s="20">
        <v>44607</v>
      </c>
      <c r="B2256" s="1">
        <f t="shared" ref="B2256" si="3348">B2246</f>
        <v>188</v>
      </c>
      <c r="C2256" s="1" t="s">
        <v>507</v>
      </c>
      <c r="D2256" s="1" t="s">
        <v>179</v>
      </c>
      <c r="E2256" s="26" t="e">
        <f t="shared" ref="E2256:F2256" si="3349">+E2255</f>
        <v>#REF!</v>
      </c>
      <c r="F2256" s="26" t="e">
        <f t="shared" si="3349"/>
        <v>#REF!</v>
      </c>
      <c r="G2256" s="17">
        <v>11</v>
      </c>
      <c r="H2256" s="17" t="s">
        <v>9</v>
      </c>
      <c r="I2256" s="30" t="s">
        <v>60</v>
      </c>
      <c r="J2256" s="22">
        <v>0.6</v>
      </c>
      <c r="K2256" s="22">
        <v>0.55000000000000004</v>
      </c>
      <c r="L2256" s="8">
        <f t="shared" si="3333"/>
        <v>4.9999999999999933E-2</v>
      </c>
      <c r="M2256" s="24">
        <f t="shared" si="3254"/>
        <v>1.3368983957219233E-3</v>
      </c>
      <c r="N2256" s="14"/>
    </row>
    <row r="2257" spans="1:14" ht="15.75" thickBot="1" x14ac:dyDescent="0.3">
      <c r="A2257" s="20">
        <v>44607</v>
      </c>
      <c r="B2257" s="57">
        <f t="shared" ref="B2257" si="3350">B2246</f>
        <v>188</v>
      </c>
      <c r="C2257" s="1" t="s">
        <v>507</v>
      </c>
      <c r="D2257" s="1" t="s">
        <v>179</v>
      </c>
      <c r="E2257" s="26" t="e">
        <f t="shared" ref="E2257:F2257" si="3351">+E2256</f>
        <v>#REF!</v>
      </c>
      <c r="F2257" s="26" t="e">
        <f t="shared" si="3351"/>
        <v>#REF!</v>
      </c>
      <c r="G2257" s="18">
        <f>+G2256+1</f>
        <v>12</v>
      </c>
      <c r="H2257" s="18" t="s">
        <v>10</v>
      </c>
      <c r="I2257" s="46" t="s">
        <v>10</v>
      </c>
      <c r="J2257" s="22">
        <f>12.4+13.45</f>
        <v>25.85</v>
      </c>
      <c r="K2257" s="63">
        <f>8.55+8.55</f>
        <v>17.100000000000001</v>
      </c>
      <c r="L2257" s="8">
        <f t="shared" si="3333"/>
        <v>8.75</v>
      </c>
      <c r="M2257" s="24">
        <f t="shared" si="3254"/>
        <v>0.23395721925133692</v>
      </c>
      <c r="N2257" s="14"/>
    </row>
    <row r="2258" spans="1:14" x14ac:dyDescent="0.25">
      <c r="A2258" s="19">
        <v>44607</v>
      </c>
      <c r="B2258" s="15">
        <f t="shared" ref="B2258" si="3352">B2246+1</f>
        <v>189</v>
      </c>
      <c r="C2258" s="15" t="s">
        <v>508</v>
      </c>
      <c r="D2258" s="15" t="s">
        <v>178</v>
      </c>
      <c r="E2258" s="25">
        <f>32.2-1.2</f>
        <v>31.000000000000004</v>
      </c>
      <c r="F2258" s="25">
        <f>+SUM(L2258:L2269)</f>
        <v>30.75</v>
      </c>
      <c r="G2258" s="16">
        <v>1</v>
      </c>
      <c r="H2258" s="16" t="s">
        <v>9</v>
      </c>
      <c r="I2258" s="59" t="s">
        <v>56</v>
      </c>
      <c r="J2258" s="21">
        <f>10.85</f>
        <v>10.85</v>
      </c>
      <c r="K2258" s="21">
        <f>8.55</f>
        <v>8.5500000000000007</v>
      </c>
      <c r="L2258" s="12">
        <f>+J2258-K2258</f>
        <v>2.2999999999999989</v>
      </c>
      <c r="M2258" s="23">
        <f t="shared" si="3254"/>
        <v>7.4796747967479635E-2</v>
      </c>
      <c r="N2258" s="13"/>
    </row>
    <row r="2259" spans="1:14" x14ac:dyDescent="0.25">
      <c r="A2259" s="20">
        <v>44607</v>
      </c>
      <c r="B2259" s="1">
        <f t="shared" ref="B2259" si="3353">B2258</f>
        <v>189</v>
      </c>
      <c r="C2259" s="1" t="s">
        <v>508</v>
      </c>
      <c r="D2259" s="1" t="s">
        <v>178</v>
      </c>
      <c r="E2259" s="26">
        <f>+E2258</f>
        <v>31.000000000000004</v>
      </c>
      <c r="F2259" s="28">
        <f>+(F2258-E2258)/E2258</f>
        <v>-8.0645161290323723E-3</v>
      </c>
      <c r="G2259" s="17">
        <v>2</v>
      </c>
      <c r="H2259" s="17" t="s">
        <v>9</v>
      </c>
      <c r="I2259" s="30" t="s">
        <v>57</v>
      </c>
      <c r="J2259" s="22">
        <f>11.55</f>
        <v>11.55</v>
      </c>
      <c r="K2259" s="22">
        <f>8.55</f>
        <v>8.5500000000000007</v>
      </c>
      <c r="L2259" s="8">
        <f t="shared" ref="L2259:L2269" si="3354">+J2259-K2259</f>
        <v>3</v>
      </c>
      <c r="M2259" s="24">
        <f t="shared" si="3254"/>
        <v>9.7560975609756101E-2</v>
      </c>
      <c r="N2259" s="14"/>
    </row>
    <row r="2260" spans="1:14" x14ac:dyDescent="0.25">
      <c r="A2260" s="20">
        <v>44607</v>
      </c>
      <c r="B2260" s="1">
        <f t="shared" ref="B2260" si="3355">B2258</f>
        <v>189</v>
      </c>
      <c r="C2260" s="1" t="s">
        <v>508</v>
      </c>
      <c r="D2260" s="1" t="s">
        <v>178</v>
      </c>
      <c r="E2260" s="26" t="e">
        <f>+#REF!</f>
        <v>#REF!</v>
      </c>
      <c r="F2260" s="26" t="e">
        <f>+#REF!</f>
        <v>#REF!</v>
      </c>
      <c r="G2260" s="17">
        <v>3</v>
      </c>
      <c r="H2260" s="17" t="s">
        <v>9</v>
      </c>
      <c r="I2260" s="30" t="s">
        <v>58</v>
      </c>
      <c r="J2260" s="22">
        <f>13.25</f>
        <v>13.25</v>
      </c>
      <c r="K2260" s="22">
        <f>8.55</f>
        <v>8.5500000000000007</v>
      </c>
      <c r="L2260" s="8">
        <f t="shared" si="3354"/>
        <v>4.6999999999999993</v>
      </c>
      <c r="M2260" s="24">
        <f t="shared" si="3254"/>
        <v>0.15284552845528454</v>
      </c>
      <c r="N2260" s="14"/>
    </row>
    <row r="2261" spans="1:14" x14ac:dyDescent="0.25">
      <c r="A2261" s="20">
        <v>44607</v>
      </c>
      <c r="B2261" s="1">
        <f t="shared" ref="B2261" si="3356">B2258</f>
        <v>189</v>
      </c>
      <c r="C2261" s="1" t="s">
        <v>508</v>
      </c>
      <c r="D2261" s="1" t="s">
        <v>178</v>
      </c>
      <c r="E2261" s="26" t="e">
        <f t="shared" ref="E2261:F2261" si="3357">+E2260</f>
        <v>#REF!</v>
      </c>
      <c r="F2261" s="26" t="e">
        <f t="shared" si="3357"/>
        <v>#REF!</v>
      </c>
      <c r="G2261" s="17">
        <v>4</v>
      </c>
      <c r="H2261" s="17" t="s">
        <v>9</v>
      </c>
      <c r="I2261" s="30" t="s">
        <v>22</v>
      </c>
      <c r="J2261" s="22">
        <f>1.1</f>
        <v>1.1000000000000001</v>
      </c>
      <c r="K2261" s="22">
        <f>0.55</f>
        <v>0.55000000000000004</v>
      </c>
      <c r="L2261" s="8">
        <f t="shared" si="3354"/>
        <v>0.55000000000000004</v>
      </c>
      <c r="M2261" s="24">
        <f t="shared" si="3254"/>
        <v>1.7886178861788619E-2</v>
      </c>
      <c r="N2261" s="14"/>
    </row>
    <row r="2262" spans="1:14" x14ac:dyDescent="0.25">
      <c r="A2262" s="20">
        <v>44607</v>
      </c>
      <c r="B2262" s="1">
        <f t="shared" ref="B2262" si="3358">B2258</f>
        <v>189</v>
      </c>
      <c r="C2262" s="1" t="s">
        <v>508</v>
      </c>
      <c r="D2262" s="1" t="s">
        <v>178</v>
      </c>
      <c r="E2262" s="26" t="e">
        <f t="shared" ref="E2262:F2262" si="3359">+E2261</f>
        <v>#REF!</v>
      </c>
      <c r="F2262" s="26" t="e">
        <f t="shared" si="3359"/>
        <v>#REF!</v>
      </c>
      <c r="G2262" s="17">
        <v>5</v>
      </c>
      <c r="H2262" s="17" t="s">
        <v>9</v>
      </c>
      <c r="I2262" s="30" t="s">
        <v>34</v>
      </c>
      <c r="J2262" s="22">
        <f>1.85</f>
        <v>1.85</v>
      </c>
      <c r="K2262" s="63">
        <f>0.55</f>
        <v>0.55000000000000004</v>
      </c>
      <c r="L2262" s="8">
        <f t="shared" si="3354"/>
        <v>1.3</v>
      </c>
      <c r="M2262" s="24">
        <f t="shared" si="3254"/>
        <v>4.2276422764227641E-2</v>
      </c>
      <c r="N2262" s="14"/>
    </row>
    <row r="2263" spans="1:14" x14ac:dyDescent="0.25">
      <c r="A2263" s="20">
        <v>44607</v>
      </c>
      <c r="B2263" s="1">
        <f t="shared" ref="B2263" si="3360">B2258</f>
        <v>189</v>
      </c>
      <c r="C2263" s="1" t="s">
        <v>508</v>
      </c>
      <c r="D2263" s="1" t="s">
        <v>178</v>
      </c>
      <c r="E2263" s="26" t="e">
        <f t="shared" ref="E2263:F2263" si="3361">+E2262</f>
        <v>#REF!</v>
      </c>
      <c r="F2263" s="26" t="e">
        <f t="shared" si="3361"/>
        <v>#REF!</v>
      </c>
      <c r="G2263" s="17">
        <v>6</v>
      </c>
      <c r="H2263" s="17" t="s">
        <v>9</v>
      </c>
      <c r="I2263" s="30" t="s">
        <v>35</v>
      </c>
      <c r="J2263" s="22"/>
      <c r="K2263" s="22"/>
      <c r="L2263" s="8">
        <f t="shared" si="3354"/>
        <v>0</v>
      </c>
      <c r="M2263" s="24">
        <f t="shared" si="3254"/>
        <v>0</v>
      </c>
      <c r="N2263" s="14"/>
    </row>
    <row r="2264" spans="1:14" x14ac:dyDescent="0.25">
      <c r="A2264" s="20">
        <v>44607</v>
      </c>
      <c r="B2264" s="1">
        <f t="shared" ref="B2264" si="3362">B2258</f>
        <v>189</v>
      </c>
      <c r="C2264" s="1" t="s">
        <v>508</v>
      </c>
      <c r="D2264" s="1" t="s">
        <v>178</v>
      </c>
      <c r="E2264" s="26" t="e">
        <f t="shared" ref="E2264:F2264" si="3363">+E2263</f>
        <v>#REF!</v>
      </c>
      <c r="F2264" s="26" t="e">
        <f t="shared" si="3363"/>
        <v>#REF!</v>
      </c>
      <c r="G2264" s="17">
        <v>7</v>
      </c>
      <c r="H2264" s="17" t="s">
        <v>9</v>
      </c>
      <c r="I2264" s="30" t="s">
        <v>36</v>
      </c>
      <c r="J2264" s="22"/>
      <c r="K2264" s="22"/>
      <c r="L2264" s="8">
        <f t="shared" si="3354"/>
        <v>0</v>
      </c>
      <c r="M2264" s="24">
        <f t="shared" si="3254"/>
        <v>0</v>
      </c>
      <c r="N2264" s="14"/>
    </row>
    <row r="2265" spans="1:14" x14ac:dyDescent="0.25">
      <c r="A2265" s="20">
        <v>44607</v>
      </c>
      <c r="B2265" s="1">
        <f t="shared" ref="B2265" si="3364">B2258</f>
        <v>189</v>
      </c>
      <c r="C2265" s="1" t="s">
        <v>508</v>
      </c>
      <c r="D2265" s="1" t="s">
        <v>178</v>
      </c>
      <c r="E2265" s="26" t="e">
        <f>+E2264</f>
        <v>#REF!</v>
      </c>
      <c r="F2265" s="26" t="e">
        <f>+F2264</f>
        <v>#REF!</v>
      </c>
      <c r="G2265" s="17">
        <v>8</v>
      </c>
      <c r="H2265" s="17" t="s">
        <v>9</v>
      </c>
      <c r="I2265" s="30" t="s">
        <v>59</v>
      </c>
      <c r="J2265" s="22">
        <f>3.05</f>
        <v>3.05</v>
      </c>
      <c r="K2265" s="22">
        <f>0.55</f>
        <v>0.55000000000000004</v>
      </c>
      <c r="L2265" s="8">
        <f t="shared" si="3354"/>
        <v>2.5</v>
      </c>
      <c r="M2265" s="24">
        <f t="shared" si="3254"/>
        <v>8.1300813008130079E-2</v>
      </c>
      <c r="N2265" s="14"/>
    </row>
    <row r="2266" spans="1:14" x14ac:dyDescent="0.25">
      <c r="A2266" s="20">
        <v>44607</v>
      </c>
      <c r="B2266" s="1">
        <f t="shared" ref="B2266" si="3365">B2258</f>
        <v>189</v>
      </c>
      <c r="C2266" s="1" t="s">
        <v>508</v>
      </c>
      <c r="D2266" s="1" t="s">
        <v>178</v>
      </c>
      <c r="E2266" s="26" t="e">
        <f t="shared" ref="E2266:F2266" si="3366">+E2265</f>
        <v>#REF!</v>
      </c>
      <c r="F2266" s="26" t="e">
        <f t="shared" si="3366"/>
        <v>#REF!</v>
      </c>
      <c r="G2266" s="17">
        <v>9</v>
      </c>
      <c r="H2266" s="17" t="s">
        <v>9</v>
      </c>
      <c r="I2266" s="30" t="s">
        <v>38</v>
      </c>
      <c r="J2266" s="22"/>
      <c r="K2266" s="22"/>
      <c r="L2266" s="8">
        <f t="shared" si="3354"/>
        <v>0</v>
      </c>
      <c r="M2266" s="24">
        <f t="shared" ref="M2266:M2293" si="3367">+L2266/SUMIF(C:C,C2266,L:L)</f>
        <v>0</v>
      </c>
      <c r="N2266" s="14"/>
    </row>
    <row r="2267" spans="1:14" x14ac:dyDescent="0.25">
      <c r="A2267" s="20">
        <v>44607</v>
      </c>
      <c r="B2267" s="1">
        <f t="shared" ref="B2267" si="3368">B2258</f>
        <v>189</v>
      </c>
      <c r="C2267" s="1" t="s">
        <v>508</v>
      </c>
      <c r="D2267" s="1" t="s">
        <v>178</v>
      </c>
      <c r="E2267" s="26" t="e">
        <f t="shared" ref="E2267:F2267" si="3369">+E2266</f>
        <v>#REF!</v>
      </c>
      <c r="F2267" s="26" t="e">
        <f t="shared" si="3369"/>
        <v>#REF!</v>
      </c>
      <c r="G2267" s="17">
        <v>10</v>
      </c>
      <c r="H2267" s="17" t="s">
        <v>9</v>
      </c>
      <c r="I2267" s="30" t="s">
        <v>23</v>
      </c>
      <c r="J2267" s="22">
        <f>12.2</f>
        <v>12.2</v>
      </c>
      <c r="K2267" s="22">
        <f>8.55</f>
        <v>8.5500000000000007</v>
      </c>
      <c r="L2267" s="8">
        <f t="shared" si="3354"/>
        <v>3.6499999999999986</v>
      </c>
      <c r="M2267" s="24">
        <f t="shared" si="3367"/>
        <v>0.11869918699186988</v>
      </c>
      <c r="N2267" s="14"/>
    </row>
    <row r="2268" spans="1:14" x14ac:dyDescent="0.25">
      <c r="A2268" s="20">
        <v>44607</v>
      </c>
      <c r="B2268" s="1">
        <f t="shared" ref="B2268" si="3370">B2258</f>
        <v>189</v>
      </c>
      <c r="C2268" s="1" t="s">
        <v>508</v>
      </c>
      <c r="D2268" s="1" t="s">
        <v>178</v>
      </c>
      <c r="E2268" s="26" t="e">
        <f t="shared" ref="E2268:F2268" si="3371">+E2267</f>
        <v>#REF!</v>
      </c>
      <c r="F2268" s="26" t="e">
        <f t="shared" si="3371"/>
        <v>#REF!</v>
      </c>
      <c r="G2268" s="17">
        <v>11</v>
      </c>
      <c r="H2268" s="17" t="s">
        <v>9</v>
      </c>
      <c r="I2268" s="30" t="s">
        <v>60</v>
      </c>
      <c r="J2268" s="22">
        <f>0.85</f>
        <v>0.85</v>
      </c>
      <c r="K2268" s="22">
        <v>0.55000000000000004</v>
      </c>
      <c r="L2268" s="8">
        <f t="shared" si="3354"/>
        <v>0.29999999999999993</v>
      </c>
      <c r="M2268" s="24">
        <f t="shared" si="3367"/>
        <v>9.756097560975608E-3</v>
      </c>
      <c r="N2268" s="14"/>
    </row>
    <row r="2269" spans="1:14" ht="15.75" thickBot="1" x14ac:dyDescent="0.3">
      <c r="A2269" s="20">
        <v>44607</v>
      </c>
      <c r="B2269" s="57">
        <f t="shared" ref="B2269" si="3372">B2258</f>
        <v>189</v>
      </c>
      <c r="C2269" s="1" t="s">
        <v>508</v>
      </c>
      <c r="D2269" s="1" t="s">
        <v>178</v>
      </c>
      <c r="E2269" s="26" t="e">
        <f t="shared" ref="E2269:F2269" si="3373">+E2268</f>
        <v>#REF!</v>
      </c>
      <c r="F2269" s="26" t="e">
        <f t="shared" si="3373"/>
        <v>#REF!</v>
      </c>
      <c r="G2269" s="18">
        <f>+G2268+1</f>
        <v>12</v>
      </c>
      <c r="H2269" s="18" t="s">
        <v>10</v>
      </c>
      <c r="I2269" s="46" t="s">
        <v>10</v>
      </c>
      <c r="J2269" s="22">
        <f>14.4+14.9</f>
        <v>29.3</v>
      </c>
      <c r="K2269" s="63">
        <f>8.55+8.3</f>
        <v>16.850000000000001</v>
      </c>
      <c r="L2269" s="8">
        <f t="shared" si="3354"/>
        <v>12.45</v>
      </c>
      <c r="M2269" s="24">
        <f t="shared" si="3367"/>
        <v>0.40487804878048778</v>
      </c>
      <c r="N2269" s="14"/>
    </row>
    <row r="2270" spans="1:14" x14ac:dyDescent="0.25">
      <c r="A2270" s="19">
        <v>44608</v>
      </c>
      <c r="B2270" s="15">
        <f t="shared" ref="B2270" si="3374">B2258+1</f>
        <v>190</v>
      </c>
      <c r="C2270" s="15" t="s">
        <v>509</v>
      </c>
      <c r="D2270" s="15" t="s">
        <v>178</v>
      </c>
      <c r="E2270" s="25">
        <f>32.8-1.2</f>
        <v>31.599999999999998</v>
      </c>
      <c r="F2270" s="25">
        <f>+SUM(L2270:L2281)</f>
        <v>31.849999999999994</v>
      </c>
      <c r="G2270" s="16">
        <v>1</v>
      </c>
      <c r="H2270" s="16" t="s">
        <v>9</v>
      </c>
      <c r="I2270" s="59" t="s">
        <v>56</v>
      </c>
      <c r="J2270" s="21">
        <f>9.15</f>
        <v>9.15</v>
      </c>
      <c r="K2270" s="21">
        <f>8.55</f>
        <v>8.5500000000000007</v>
      </c>
      <c r="L2270" s="12">
        <f>+J2270-K2270</f>
        <v>0.59999999999999964</v>
      </c>
      <c r="M2270" s="23">
        <f t="shared" si="3367"/>
        <v>1.8838304552590258E-2</v>
      </c>
      <c r="N2270" s="13"/>
    </row>
    <row r="2271" spans="1:14" x14ac:dyDescent="0.25">
      <c r="A2271" s="20">
        <v>44608</v>
      </c>
      <c r="B2271" s="1">
        <f t="shared" ref="B2271" si="3375">B2270</f>
        <v>190</v>
      </c>
      <c r="C2271" s="1" t="s">
        <v>509</v>
      </c>
      <c r="D2271" s="1" t="s">
        <v>178</v>
      </c>
      <c r="E2271" s="26">
        <f>+E2270</f>
        <v>31.599999999999998</v>
      </c>
      <c r="F2271" s="28">
        <f>+(F2270-E2270)/E2270</f>
        <v>7.9113924050631789E-3</v>
      </c>
      <c r="G2271" s="17">
        <v>2</v>
      </c>
      <c r="H2271" s="17" t="s">
        <v>9</v>
      </c>
      <c r="I2271" s="30" t="s">
        <v>57</v>
      </c>
      <c r="J2271" s="22">
        <f>10.2+9.35</f>
        <v>19.549999999999997</v>
      </c>
      <c r="K2271" s="22">
        <f>8.55+8.55</f>
        <v>17.100000000000001</v>
      </c>
      <c r="L2271" s="8">
        <f t="shared" ref="L2271:L2281" si="3376">+J2271-K2271</f>
        <v>2.4499999999999957</v>
      </c>
      <c r="M2271" s="24">
        <f t="shared" si="3367"/>
        <v>7.6923076923076802E-2</v>
      </c>
      <c r="N2271" s="14"/>
    </row>
    <row r="2272" spans="1:14" x14ac:dyDescent="0.25">
      <c r="A2272" s="20">
        <v>44608</v>
      </c>
      <c r="B2272" s="1">
        <f t="shared" ref="B2272" si="3377">B2270</f>
        <v>190</v>
      </c>
      <c r="C2272" s="1" t="s">
        <v>509</v>
      </c>
      <c r="D2272" s="1" t="s">
        <v>178</v>
      </c>
      <c r="E2272" s="26" t="e">
        <f>+#REF!</f>
        <v>#REF!</v>
      </c>
      <c r="F2272" s="26" t="e">
        <f>+#REF!</f>
        <v>#REF!</v>
      </c>
      <c r="G2272" s="17">
        <v>3</v>
      </c>
      <c r="H2272" s="17" t="s">
        <v>9</v>
      </c>
      <c r="I2272" s="30" t="s">
        <v>58</v>
      </c>
      <c r="J2272" s="22">
        <f>10.25+10.5</f>
        <v>20.75</v>
      </c>
      <c r="K2272" s="22">
        <f>8.55+8.5</f>
        <v>17.05</v>
      </c>
      <c r="L2272" s="8">
        <f t="shared" si="3376"/>
        <v>3.6999999999999993</v>
      </c>
      <c r="M2272" s="24">
        <f t="shared" si="3367"/>
        <v>0.11616954474097331</v>
      </c>
      <c r="N2272" s="14"/>
    </row>
    <row r="2273" spans="1:14" x14ac:dyDescent="0.25">
      <c r="A2273" s="20">
        <v>44608</v>
      </c>
      <c r="B2273" s="1">
        <f t="shared" ref="B2273" si="3378">B2270</f>
        <v>190</v>
      </c>
      <c r="C2273" s="1" t="s">
        <v>509</v>
      </c>
      <c r="D2273" s="1" t="s">
        <v>178</v>
      </c>
      <c r="E2273" s="26" t="e">
        <f t="shared" ref="E2273:F2273" si="3379">+E2272</f>
        <v>#REF!</v>
      </c>
      <c r="F2273" s="26" t="e">
        <f t="shared" si="3379"/>
        <v>#REF!</v>
      </c>
      <c r="G2273" s="17">
        <v>4</v>
      </c>
      <c r="H2273" s="17" t="s">
        <v>9</v>
      </c>
      <c r="I2273" s="30" t="s">
        <v>22</v>
      </c>
      <c r="J2273" s="22">
        <v>1.05</v>
      </c>
      <c r="K2273" s="22">
        <v>0.55000000000000004</v>
      </c>
      <c r="L2273" s="8">
        <f t="shared" si="3376"/>
        <v>0.5</v>
      </c>
      <c r="M2273" s="24">
        <f t="shared" si="3367"/>
        <v>1.5698587127158558E-2</v>
      </c>
      <c r="N2273" s="14"/>
    </row>
    <row r="2274" spans="1:14" x14ac:dyDescent="0.25">
      <c r="A2274" s="20">
        <v>44608</v>
      </c>
      <c r="B2274" s="1">
        <f t="shared" ref="B2274" si="3380">B2270</f>
        <v>190</v>
      </c>
      <c r="C2274" s="1" t="s">
        <v>509</v>
      </c>
      <c r="D2274" s="1" t="s">
        <v>178</v>
      </c>
      <c r="E2274" s="26" t="e">
        <f t="shared" ref="E2274:F2274" si="3381">+E2273</f>
        <v>#REF!</v>
      </c>
      <c r="F2274" s="26" t="e">
        <f t="shared" si="3381"/>
        <v>#REF!</v>
      </c>
      <c r="G2274" s="17">
        <v>5</v>
      </c>
      <c r="H2274" s="17" t="s">
        <v>9</v>
      </c>
      <c r="I2274" s="30" t="s">
        <v>34</v>
      </c>
      <c r="J2274" s="22">
        <f>1.8</f>
        <v>1.8</v>
      </c>
      <c r="K2274" s="63">
        <f>0.55</f>
        <v>0.55000000000000004</v>
      </c>
      <c r="L2274" s="8">
        <f t="shared" si="3376"/>
        <v>1.25</v>
      </c>
      <c r="M2274" s="24">
        <f t="shared" si="3367"/>
        <v>3.9246467817896397E-2</v>
      </c>
      <c r="N2274" s="14"/>
    </row>
    <row r="2275" spans="1:14" x14ac:dyDescent="0.25">
      <c r="A2275" s="20">
        <v>44608</v>
      </c>
      <c r="B2275" s="1">
        <f t="shared" ref="B2275" si="3382">B2270</f>
        <v>190</v>
      </c>
      <c r="C2275" s="1" t="s">
        <v>509</v>
      </c>
      <c r="D2275" s="1" t="s">
        <v>178</v>
      </c>
      <c r="E2275" s="26" t="e">
        <f t="shared" ref="E2275:F2275" si="3383">+E2274</f>
        <v>#REF!</v>
      </c>
      <c r="F2275" s="26" t="e">
        <f t="shared" si="3383"/>
        <v>#REF!</v>
      </c>
      <c r="G2275" s="17">
        <v>6</v>
      </c>
      <c r="H2275" s="17" t="s">
        <v>9</v>
      </c>
      <c r="I2275" s="30" t="s">
        <v>35</v>
      </c>
      <c r="J2275" s="22"/>
      <c r="K2275" s="22"/>
      <c r="L2275" s="8">
        <f t="shared" si="3376"/>
        <v>0</v>
      </c>
      <c r="M2275" s="24">
        <f t="shared" si="3367"/>
        <v>0</v>
      </c>
      <c r="N2275" s="14"/>
    </row>
    <row r="2276" spans="1:14" x14ac:dyDescent="0.25">
      <c r="A2276" s="20">
        <v>44608</v>
      </c>
      <c r="B2276" s="1">
        <f t="shared" ref="B2276" si="3384">B2270</f>
        <v>190</v>
      </c>
      <c r="C2276" s="1" t="s">
        <v>509</v>
      </c>
      <c r="D2276" s="1" t="s">
        <v>178</v>
      </c>
      <c r="E2276" s="26" t="e">
        <f t="shared" ref="E2276:F2276" si="3385">+E2275</f>
        <v>#REF!</v>
      </c>
      <c r="F2276" s="26" t="e">
        <f t="shared" si="3385"/>
        <v>#REF!</v>
      </c>
      <c r="G2276" s="17">
        <v>7</v>
      </c>
      <c r="H2276" s="17" t="s">
        <v>9</v>
      </c>
      <c r="I2276" s="30" t="s">
        <v>36</v>
      </c>
      <c r="J2276" s="22"/>
      <c r="K2276" s="22"/>
      <c r="L2276" s="8">
        <f t="shared" si="3376"/>
        <v>0</v>
      </c>
      <c r="M2276" s="24">
        <f t="shared" si="3367"/>
        <v>0</v>
      </c>
      <c r="N2276" s="14"/>
    </row>
    <row r="2277" spans="1:14" x14ac:dyDescent="0.25">
      <c r="A2277" s="20">
        <v>44608</v>
      </c>
      <c r="B2277" s="1">
        <f t="shared" ref="B2277" si="3386">B2270</f>
        <v>190</v>
      </c>
      <c r="C2277" s="1" t="s">
        <v>509</v>
      </c>
      <c r="D2277" s="1" t="s">
        <v>178</v>
      </c>
      <c r="E2277" s="26" t="e">
        <f>+E2276</f>
        <v>#REF!</v>
      </c>
      <c r="F2277" s="26" t="e">
        <f>+F2276</f>
        <v>#REF!</v>
      </c>
      <c r="G2277" s="17">
        <v>8</v>
      </c>
      <c r="H2277" s="17" t="s">
        <v>9</v>
      </c>
      <c r="I2277" s="30" t="s">
        <v>59</v>
      </c>
      <c r="J2277" s="22">
        <f>5.45+1.3</f>
        <v>6.75</v>
      </c>
      <c r="K2277" s="22">
        <f>0.55+0.55</f>
        <v>1.1000000000000001</v>
      </c>
      <c r="L2277" s="8">
        <f t="shared" si="3376"/>
        <v>5.65</v>
      </c>
      <c r="M2277" s="24">
        <f t="shared" si="3367"/>
        <v>0.17739403453689173</v>
      </c>
      <c r="N2277" s="14"/>
    </row>
    <row r="2278" spans="1:14" x14ac:dyDescent="0.25">
      <c r="A2278" s="20">
        <v>44608</v>
      </c>
      <c r="B2278" s="1">
        <f t="shared" ref="B2278" si="3387">B2270</f>
        <v>190</v>
      </c>
      <c r="C2278" s="1" t="s">
        <v>509</v>
      </c>
      <c r="D2278" s="1" t="s">
        <v>178</v>
      </c>
      <c r="E2278" s="26" t="e">
        <f t="shared" ref="E2278:F2278" si="3388">+E2277</f>
        <v>#REF!</v>
      </c>
      <c r="F2278" s="26" t="e">
        <f t="shared" si="3388"/>
        <v>#REF!</v>
      </c>
      <c r="G2278" s="17">
        <v>9</v>
      </c>
      <c r="H2278" s="17" t="s">
        <v>9</v>
      </c>
      <c r="I2278" s="30" t="s">
        <v>38</v>
      </c>
      <c r="J2278" s="22"/>
      <c r="K2278" s="22"/>
      <c r="L2278" s="8">
        <f t="shared" si="3376"/>
        <v>0</v>
      </c>
      <c r="M2278" s="24">
        <f t="shared" si="3367"/>
        <v>0</v>
      </c>
      <c r="N2278" s="14"/>
    </row>
    <row r="2279" spans="1:14" x14ac:dyDescent="0.25">
      <c r="A2279" s="20">
        <v>44608</v>
      </c>
      <c r="B2279" s="1">
        <f t="shared" ref="B2279" si="3389">B2270</f>
        <v>190</v>
      </c>
      <c r="C2279" s="1" t="s">
        <v>509</v>
      </c>
      <c r="D2279" s="1" t="s">
        <v>178</v>
      </c>
      <c r="E2279" s="26" t="e">
        <f t="shared" ref="E2279:F2279" si="3390">+E2278</f>
        <v>#REF!</v>
      </c>
      <c r="F2279" s="26" t="e">
        <f t="shared" si="3390"/>
        <v>#REF!</v>
      </c>
      <c r="G2279" s="17">
        <v>10</v>
      </c>
      <c r="H2279" s="17" t="s">
        <v>9</v>
      </c>
      <c r="I2279" s="30" t="s">
        <v>23</v>
      </c>
      <c r="J2279" s="22">
        <f>14.75</f>
        <v>14.75</v>
      </c>
      <c r="K2279" s="22">
        <f>8.3</f>
        <v>8.3000000000000007</v>
      </c>
      <c r="L2279" s="8">
        <f t="shared" si="3376"/>
        <v>6.4499999999999993</v>
      </c>
      <c r="M2279" s="24">
        <f t="shared" si="3367"/>
        <v>0.20251177394034539</v>
      </c>
      <c r="N2279" s="14"/>
    </row>
    <row r="2280" spans="1:14" x14ac:dyDescent="0.25">
      <c r="A2280" s="20">
        <v>44608</v>
      </c>
      <c r="B2280" s="1">
        <f t="shared" ref="B2280" si="3391">B2270</f>
        <v>190</v>
      </c>
      <c r="C2280" s="1" t="s">
        <v>509</v>
      </c>
      <c r="D2280" s="1" t="s">
        <v>178</v>
      </c>
      <c r="E2280" s="26" t="e">
        <f t="shared" ref="E2280:F2280" si="3392">+E2279</f>
        <v>#REF!</v>
      </c>
      <c r="F2280" s="26" t="e">
        <f t="shared" si="3392"/>
        <v>#REF!</v>
      </c>
      <c r="G2280" s="17">
        <v>11</v>
      </c>
      <c r="H2280" s="17" t="s">
        <v>9</v>
      </c>
      <c r="I2280" s="30" t="s">
        <v>60</v>
      </c>
      <c r="J2280" s="22">
        <f>0.85</f>
        <v>0.85</v>
      </c>
      <c r="K2280" s="22">
        <f>0.55</f>
        <v>0.55000000000000004</v>
      </c>
      <c r="L2280" s="8">
        <f t="shared" si="3376"/>
        <v>0.29999999999999993</v>
      </c>
      <c r="M2280" s="24">
        <f t="shared" si="3367"/>
        <v>9.4191522762951327E-3</v>
      </c>
      <c r="N2280" s="14"/>
    </row>
    <row r="2281" spans="1:14" ht="15.75" thickBot="1" x14ac:dyDescent="0.3">
      <c r="A2281" s="20">
        <v>44608</v>
      </c>
      <c r="B2281" s="57">
        <f t="shared" ref="B2281" si="3393">B2270</f>
        <v>190</v>
      </c>
      <c r="C2281" s="1" t="s">
        <v>509</v>
      </c>
      <c r="D2281" s="1" t="s">
        <v>178</v>
      </c>
      <c r="E2281" s="26" t="e">
        <f t="shared" ref="E2281:F2281" si="3394">+E2280</f>
        <v>#REF!</v>
      </c>
      <c r="F2281" s="26" t="e">
        <f t="shared" si="3394"/>
        <v>#REF!</v>
      </c>
      <c r="G2281" s="18">
        <f>+G2280+1</f>
        <v>12</v>
      </c>
      <c r="H2281" s="18" t="s">
        <v>10</v>
      </c>
      <c r="I2281" s="46" t="s">
        <v>10</v>
      </c>
      <c r="J2281" s="22">
        <f>13.95+14.05</f>
        <v>28</v>
      </c>
      <c r="K2281" s="63">
        <f>8.55+8.5</f>
        <v>17.05</v>
      </c>
      <c r="L2281" s="8">
        <f t="shared" si="3376"/>
        <v>10.95</v>
      </c>
      <c r="M2281" s="24">
        <f t="shared" si="3367"/>
        <v>0.3437990580847724</v>
      </c>
      <c r="N2281" s="14"/>
    </row>
    <row r="2282" spans="1:14" x14ac:dyDescent="0.25">
      <c r="A2282" s="19">
        <v>44608</v>
      </c>
      <c r="B2282" s="15">
        <f t="shared" ref="B2282" si="3395">B2270+1</f>
        <v>191</v>
      </c>
      <c r="C2282" s="15" t="s">
        <v>510</v>
      </c>
      <c r="D2282" s="15" t="s">
        <v>23</v>
      </c>
      <c r="E2282" s="25">
        <f>32.6-1.2</f>
        <v>31.400000000000002</v>
      </c>
      <c r="F2282" s="25">
        <f>+SUM(L2282:L2293)</f>
        <v>31.449999999999996</v>
      </c>
      <c r="G2282" s="16">
        <v>1</v>
      </c>
      <c r="H2282" s="16" t="s">
        <v>9</v>
      </c>
      <c r="I2282" s="59" t="s">
        <v>56</v>
      </c>
      <c r="J2282" s="21">
        <v>0.9</v>
      </c>
      <c r="K2282" s="21">
        <f>0.55</f>
        <v>0.55000000000000004</v>
      </c>
      <c r="L2282" s="12">
        <f>+J2282-K2282</f>
        <v>0.35</v>
      </c>
      <c r="M2282" s="23">
        <f t="shared" si="3367"/>
        <v>1.1128775834658189E-2</v>
      </c>
      <c r="N2282" s="13"/>
    </row>
    <row r="2283" spans="1:14" x14ac:dyDescent="0.25">
      <c r="A2283" s="20">
        <v>44608</v>
      </c>
      <c r="B2283" s="1">
        <f t="shared" ref="B2283" si="3396">B2282</f>
        <v>191</v>
      </c>
      <c r="C2283" s="1" t="s">
        <v>510</v>
      </c>
      <c r="D2283" s="1" t="s">
        <v>23</v>
      </c>
      <c r="E2283" s="26">
        <f>+E2282</f>
        <v>31.400000000000002</v>
      </c>
      <c r="F2283" s="28">
        <f>+(F2282-E2282)/E2282</f>
        <v>1.5923566878978854E-3</v>
      </c>
      <c r="G2283" s="17">
        <v>2</v>
      </c>
      <c r="H2283" s="17" t="s">
        <v>9</v>
      </c>
      <c r="I2283" s="30" t="s">
        <v>57</v>
      </c>
      <c r="J2283" s="22">
        <f>0.65</f>
        <v>0.65</v>
      </c>
      <c r="K2283" s="22">
        <f>0.55</f>
        <v>0.55000000000000004</v>
      </c>
      <c r="L2283" s="8">
        <f t="shared" ref="L2283:L2293" si="3397">+J2283-K2283</f>
        <v>9.9999999999999978E-2</v>
      </c>
      <c r="M2283" s="24">
        <f t="shared" si="3367"/>
        <v>3.1796502384737677E-3</v>
      </c>
      <c r="N2283" s="14"/>
    </row>
    <row r="2284" spans="1:14" x14ac:dyDescent="0.25">
      <c r="A2284" s="20">
        <v>44608</v>
      </c>
      <c r="B2284" s="1">
        <f t="shared" ref="B2284" si="3398">B2282</f>
        <v>191</v>
      </c>
      <c r="C2284" s="1" t="s">
        <v>510</v>
      </c>
      <c r="D2284" s="1" t="s">
        <v>23</v>
      </c>
      <c r="E2284" s="26" t="e">
        <f>+#REF!</f>
        <v>#REF!</v>
      </c>
      <c r="F2284" s="26" t="e">
        <f>+#REF!</f>
        <v>#REF!</v>
      </c>
      <c r="G2284" s="17">
        <v>3</v>
      </c>
      <c r="H2284" s="17" t="s">
        <v>9</v>
      </c>
      <c r="I2284" s="30" t="s">
        <v>58</v>
      </c>
      <c r="J2284" s="22">
        <v>0.6</v>
      </c>
      <c r="K2284" s="22">
        <v>0.55000000000000004</v>
      </c>
      <c r="L2284" s="8">
        <f t="shared" si="3397"/>
        <v>4.9999999999999933E-2</v>
      </c>
      <c r="M2284" s="24">
        <f t="shared" si="3367"/>
        <v>1.5898251192368821E-3</v>
      </c>
      <c r="N2284" s="14"/>
    </row>
    <row r="2285" spans="1:14" x14ac:dyDescent="0.25">
      <c r="A2285" s="20">
        <v>44608</v>
      </c>
      <c r="B2285" s="1">
        <f t="shared" ref="B2285" si="3399">B2282</f>
        <v>191</v>
      </c>
      <c r="C2285" s="1" t="s">
        <v>510</v>
      </c>
      <c r="D2285" s="1" t="s">
        <v>23</v>
      </c>
      <c r="E2285" s="26" t="e">
        <f t="shared" ref="E2285:F2285" si="3400">+E2284</f>
        <v>#REF!</v>
      </c>
      <c r="F2285" s="26" t="e">
        <f t="shared" si="3400"/>
        <v>#REF!</v>
      </c>
      <c r="G2285" s="17">
        <v>4</v>
      </c>
      <c r="H2285" s="17" t="s">
        <v>9</v>
      </c>
      <c r="I2285" s="30" t="s">
        <v>22</v>
      </c>
      <c r="J2285" s="22">
        <f>0.6</f>
        <v>0.6</v>
      </c>
      <c r="K2285" s="22">
        <f>0.55</f>
        <v>0.55000000000000004</v>
      </c>
      <c r="L2285" s="8">
        <f t="shared" si="3397"/>
        <v>4.9999999999999933E-2</v>
      </c>
      <c r="M2285" s="24">
        <f t="shared" si="3367"/>
        <v>1.5898251192368821E-3</v>
      </c>
      <c r="N2285" s="14"/>
    </row>
    <row r="2286" spans="1:14" x14ac:dyDescent="0.25">
      <c r="A2286" s="20">
        <v>44608</v>
      </c>
      <c r="B2286" s="1">
        <f t="shared" ref="B2286" si="3401">B2282</f>
        <v>191</v>
      </c>
      <c r="C2286" s="1" t="s">
        <v>510</v>
      </c>
      <c r="D2286" s="1" t="s">
        <v>23</v>
      </c>
      <c r="E2286" s="26" t="e">
        <f t="shared" ref="E2286:F2286" si="3402">+E2285</f>
        <v>#REF!</v>
      </c>
      <c r="F2286" s="26" t="e">
        <f t="shared" si="3402"/>
        <v>#REF!</v>
      </c>
      <c r="G2286" s="17">
        <v>5</v>
      </c>
      <c r="H2286" s="17" t="s">
        <v>9</v>
      </c>
      <c r="I2286" s="30" t="s">
        <v>34</v>
      </c>
      <c r="J2286" s="22"/>
      <c r="K2286" s="63"/>
      <c r="L2286" s="8">
        <f t="shared" si="3397"/>
        <v>0</v>
      </c>
      <c r="M2286" s="24">
        <f t="shared" si="3367"/>
        <v>0</v>
      </c>
      <c r="N2286" s="14"/>
    </row>
    <row r="2287" spans="1:14" x14ac:dyDescent="0.25">
      <c r="A2287" s="20">
        <v>44608</v>
      </c>
      <c r="B2287" s="1">
        <f t="shared" ref="B2287" si="3403">B2282</f>
        <v>191</v>
      </c>
      <c r="C2287" s="1" t="s">
        <v>510</v>
      </c>
      <c r="D2287" s="1" t="s">
        <v>23</v>
      </c>
      <c r="E2287" s="26" t="e">
        <f t="shared" ref="E2287:F2287" si="3404">+E2286</f>
        <v>#REF!</v>
      </c>
      <c r="F2287" s="26" t="e">
        <f t="shared" si="3404"/>
        <v>#REF!</v>
      </c>
      <c r="G2287" s="17">
        <v>6</v>
      </c>
      <c r="H2287" s="17" t="s">
        <v>9</v>
      </c>
      <c r="I2287" s="30" t="s">
        <v>35</v>
      </c>
      <c r="J2287" s="22"/>
      <c r="K2287" s="22"/>
      <c r="L2287" s="8">
        <f t="shared" si="3397"/>
        <v>0</v>
      </c>
      <c r="M2287" s="24">
        <f t="shared" si="3367"/>
        <v>0</v>
      </c>
      <c r="N2287" s="14"/>
    </row>
    <row r="2288" spans="1:14" x14ac:dyDescent="0.25">
      <c r="A2288" s="20">
        <v>44608</v>
      </c>
      <c r="B2288" s="1">
        <f t="shared" ref="B2288" si="3405">B2282</f>
        <v>191</v>
      </c>
      <c r="C2288" s="1" t="s">
        <v>510</v>
      </c>
      <c r="D2288" s="1" t="s">
        <v>23</v>
      </c>
      <c r="E2288" s="26" t="e">
        <f t="shared" ref="E2288:F2288" si="3406">+E2287</f>
        <v>#REF!</v>
      </c>
      <c r="F2288" s="26" t="e">
        <f t="shared" si="3406"/>
        <v>#REF!</v>
      </c>
      <c r="G2288" s="17">
        <v>7</v>
      </c>
      <c r="H2288" s="17" t="s">
        <v>9</v>
      </c>
      <c r="I2288" s="30" t="s">
        <v>36</v>
      </c>
      <c r="J2288" s="22"/>
      <c r="K2288" s="22"/>
      <c r="L2288" s="8">
        <f t="shared" si="3397"/>
        <v>0</v>
      </c>
      <c r="M2288" s="24">
        <f t="shared" si="3367"/>
        <v>0</v>
      </c>
      <c r="N2288" s="14"/>
    </row>
    <row r="2289" spans="1:14" x14ac:dyDescent="0.25">
      <c r="A2289" s="20">
        <v>44608</v>
      </c>
      <c r="B2289" s="1">
        <f t="shared" ref="B2289" si="3407">B2282</f>
        <v>191</v>
      </c>
      <c r="C2289" s="1" t="s">
        <v>510</v>
      </c>
      <c r="D2289" s="1" t="s">
        <v>23</v>
      </c>
      <c r="E2289" s="26" t="e">
        <f>+E2288</f>
        <v>#REF!</v>
      </c>
      <c r="F2289" s="26" t="e">
        <f>+F2288</f>
        <v>#REF!</v>
      </c>
      <c r="G2289" s="17">
        <v>8</v>
      </c>
      <c r="H2289" s="17" t="s">
        <v>9</v>
      </c>
      <c r="I2289" s="30" t="s">
        <v>59</v>
      </c>
      <c r="J2289" s="22">
        <f>3.55</f>
        <v>3.55</v>
      </c>
      <c r="K2289" s="22">
        <f>0.55</f>
        <v>0.55000000000000004</v>
      </c>
      <c r="L2289" s="8">
        <f t="shared" si="3397"/>
        <v>3</v>
      </c>
      <c r="M2289" s="24">
        <f t="shared" si="3367"/>
        <v>9.5389507154213043E-2</v>
      </c>
      <c r="N2289" s="14"/>
    </row>
    <row r="2290" spans="1:14" x14ac:dyDescent="0.25">
      <c r="A2290" s="20">
        <v>44608</v>
      </c>
      <c r="B2290" s="1">
        <f t="shared" ref="B2290" si="3408">B2282</f>
        <v>191</v>
      </c>
      <c r="C2290" s="1" t="s">
        <v>510</v>
      </c>
      <c r="D2290" s="1" t="s">
        <v>23</v>
      </c>
      <c r="E2290" s="26" t="e">
        <f t="shared" ref="E2290:F2290" si="3409">+E2289</f>
        <v>#REF!</v>
      </c>
      <c r="F2290" s="26" t="e">
        <f t="shared" si="3409"/>
        <v>#REF!</v>
      </c>
      <c r="G2290" s="17">
        <v>9</v>
      </c>
      <c r="H2290" s="17" t="s">
        <v>9</v>
      </c>
      <c r="I2290" s="30" t="s">
        <v>38</v>
      </c>
      <c r="J2290" s="22"/>
      <c r="K2290" s="22"/>
      <c r="L2290" s="8">
        <f t="shared" si="3397"/>
        <v>0</v>
      </c>
      <c r="M2290" s="24">
        <f t="shared" si="3367"/>
        <v>0</v>
      </c>
      <c r="N2290" s="14"/>
    </row>
    <row r="2291" spans="1:14" x14ac:dyDescent="0.25">
      <c r="A2291" s="20">
        <v>44608</v>
      </c>
      <c r="B2291" s="1">
        <f t="shared" ref="B2291" si="3410">B2282</f>
        <v>191</v>
      </c>
      <c r="C2291" s="1" t="s">
        <v>510</v>
      </c>
      <c r="D2291" s="1" t="s">
        <v>23</v>
      </c>
      <c r="E2291" s="26" t="e">
        <f t="shared" ref="E2291:F2291" si="3411">+E2290</f>
        <v>#REF!</v>
      </c>
      <c r="F2291" s="26" t="e">
        <f t="shared" si="3411"/>
        <v>#REF!</v>
      </c>
      <c r="G2291" s="17">
        <v>10</v>
      </c>
      <c r="H2291" s="17" t="s">
        <v>9</v>
      </c>
      <c r="I2291" s="30" t="s">
        <v>23</v>
      </c>
      <c r="J2291" s="22">
        <f>13.2+12.15+14.7+11.6+16.9</f>
        <v>68.55</v>
      </c>
      <c r="K2291" s="22">
        <f>8.55+8.5+8.55+8.55+8.3</f>
        <v>42.45</v>
      </c>
      <c r="L2291" s="8">
        <f t="shared" si="3397"/>
        <v>26.099999999999994</v>
      </c>
      <c r="M2291" s="24">
        <f t="shared" si="3367"/>
        <v>0.82988871224165339</v>
      </c>
      <c r="N2291" s="14"/>
    </row>
    <row r="2292" spans="1:14" x14ac:dyDescent="0.25">
      <c r="A2292" s="20">
        <v>44608</v>
      </c>
      <c r="B2292" s="1">
        <f t="shared" ref="B2292" si="3412">B2282</f>
        <v>191</v>
      </c>
      <c r="C2292" s="1" t="s">
        <v>510</v>
      </c>
      <c r="D2292" s="1" t="s">
        <v>23</v>
      </c>
      <c r="E2292" s="26" t="e">
        <f t="shared" ref="E2292:F2292" si="3413">+E2291</f>
        <v>#REF!</v>
      </c>
      <c r="F2292" s="26" t="e">
        <f t="shared" si="3413"/>
        <v>#REF!</v>
      </c>
      <c r="G2292" s="17">
        <v>11</v>
      </c>
      <c r="H2292" s="17" t="s">
        <v>9</v>
      </c>
      <c r="I2292" s="30" t="s">
        <v>60</v>
      </c>
      <c r="J2292" s="22">
        <v>0.65</v>
      </c>
      <c r="K2292" s="22">
        <v>0.55000000000000004</v>
      </c>
      <c r="L2292" s="8">
        <f t="shared" si="3397"/>
        <v>9.9999999999999978E-2</v>
      </c>
      <c r="M2292" s="24">
        <f t="shared" si="3367"/>
        <v>3.1796502384737677E-3</v>
      </c>
      <c r="N2292" s="14"/>
    </row>
    <row r="2293" spans="1:14" ht="15.75" thickBot="1" x14ac:dyDescent="0.3">
      <c r="A2293" s="20">
        <v>44608</v>
      </c>
      <c r="B2293" s="57">
        <f t="shared" ref="B2293" si="3414">B2282</f>
        <v>191</v>
      </c>
      <c r="C2293" s="1" t="s">
        <v>510</v>
      </c>
      <c r="D2293" s="1" t="s">
        <v>23</v>
      </c>
      <c r="E2293" s="26" t="e">
        <f t="shared" ref="E2293:F2293" si="3415">+E2292</f>
        <v>#REF!</v>
      </c>
      <c r="F2293" s="26" t="e">
        <f t="shared" si="3415"/>
        <v>#REF!</v>
      </c>
      <c r="G2293" s="18">
        <f>+G2292+1</f>
        <v>12</v>
      </c>
      <c r="H2293" s="18" t="s">
        <v>10</v>
      </c>
      <c r="I2293" s="46" t="s">
        <v>10</v>
      </c>
      <c r="J2293" s="22">
        <f>2.25</f>
        <v>2.25</v>
      </c>
      <c r="K2293" s="63">
        <f>0.55</f>
        <v>0.55000000000000004</v>
      </c>
      <c r="L2293" s="8">
        <f t="shared" si="3397"/>
        <v>1.7</v>
      </c>
      <c r="M2293" s="24">
        <f t="shared" si="3367"/>
        <v>5.4054054054054057E-2</v>
      </c>
      <c r="N2293" s="14"/>
    </row>
    <row r="2294" spans="1:14" x14ac:dyDescent="0.25">
      <c r="A2294" s="19">
        <v>44608</v>
      </c>
      <c r="B2294" s="15">
        <f t="shared" ref="B2294" si="3416">B2282+1</f>
        <v>192</v>
      </c>
      <c r="C2294" s="15" t="s">
        <v>511</v>
      </c>
      <c r="D2294" s="15" t="s">
        <v>183</v>
      </c>
      <c r="E2294" s="25">
        <f>21.4-1.2</f>
        <v>20.2</v>
      </c>
      <c r="F2294" s="25">
        <f>+SUM(L2294:L2305)</f>
        <v>19.449999999999992</v>
      </c>
      <c r="G2294" s="16">
        <v>1</v>
      </c>
      <c r="H2294" s="16" t="s">
        <v>9</v>
      </c>
      <c r="I2294" s="59" t="s">
        <v>56</v>
      </c>
      <c r="J2294" s="21"/>
      <c r="K2294" s="21"/>
      <c r="L2294" s="12">
        <f>+J2294-K2294</f>
        <v>0</v>
      </c>
      <c r="M2294" s="23">
        <f t="shared" ref="M2294:M2305" si="3417">+L2294/SUMIF(C:C,C2294,L:L)</f>
        <v>0</v>
      </c>
      <c r="N2294" s="13"/>
    </row>
    <row r="2295" spans="1:14" x14ac:dyDescent="0.25">
      <c r="A2295" s="20">
        <v>44608</v>
      </c>
      <c r="B2295" s="1">
        <f t="shared" ref="B2295" si="3418">B2294</f>
        <v>192</v>
      </c>
      <c r="C2295" s="1" t="s">
        <v>511</v>
      </c>
      <c r="D2295" s="1" t="s">
        <v>183</v>
      </c>
      <c r="E2295" s="26">
        <f>+E2294</f>
        <v>20.2</v>
      </c>
      <c r="F2295" s="28">
        <f>+(F2294-E2294)/E2294</f>
        <v>-3.7128712871287481E-2</v>
      </c>
      <c r="G2295" s="17">
        <v>2</v>
      </c>
      <c r="H2295" s="17" t="s">
        <v>9</v>
      </c>
      <c r="I2295" s="30" t="s">
        <v>57</v>
      </c>
      <c r="J2295" s="22">
        <f>0.65</f>
        <v>0.65</v>
      </c>
      <c r="K2295" s="22">
        <f>0.55</f>
        <v>0.55000000000000004</v>
      </c>
      <c r="L2295" s="8">
        <f t="shared" ref="L2295:L2305" si="3419">+J2295-K2295</f>
        <v>9.9999999999999978E-2</v>
      </c>
      <c r="M2295" s="24">
        <f t="shared" si="3417"/>
        <v>5.1413881748071984E-3</v>
      </c>
      <c r="N2295" s="14"/>
    </row>
    <row r="2296" spans="1:14" x14ac:dyDescent="0.25">
      <c r="A2296" s="20">
        <v>44608</v>
      </c>
      <c r="B2296" s="1">
        <f t="shared" ref="B2296" si="3420">B2294</f>
        <v>192</v>
      </c>
      <c r="C2296" s="1" t="s">
        <v>511</v>
      </c>
      <c r="D2296" s="1" t="s">
        <v>183</v>
      </c>
      <c r="E2296" s="26" t="e">
        <f>+#REF!</f>
        <v>#REF!</v>
      </c>
      <c r="F2296" s="26" t="e">
        <f>+#REF!</f>
        <v>#REF!</v>
      </c>
      <c r="G2296" s="17">
        <v>3</v>
      </c>
      <c r="H2296" s="17" t="s">
        <v>9</v>
      </c>
      <c r="I2296" s="30" t="s">
        <v>58</v>
      </c>
      <c r="J2296" s="22"/>
      <c r="K2296" s="22"/>
      <c r="L2296" s="8">
        <f t="shared" si="3419"/>
        <v>0</v>
      </c>
      <c r="M2296" s="24">
        <f t="shared" si="3417"/>
        <v>0</v>
      </c>
      <c r="N2296" s="14"/>
    </row>
    <row r="2297" spans="1:14" x14ac:dyDescent="0.25">
      <c r="A2297" s="20">
        <v>44608</v>
      </c>
      <c r="B2297" s="1">
        <f t="shared" ref="B2297" si="3421">B2294</f>
        <v>192</v>
      </c>
      <c r="C2297" s="1" t="s">
        <v>511</v>
      </c>
      <c r="D2297" s="1" t="s">
        <v>183</v>
      </c>
      <c r="E2297" s="26" t="e">
        <f t="shared" ref="E2297:F2297" si="3422">+E2296</f>
        <v>#REF!</v>
      </c>
      <c r="F2297" s="26" t="e">
        <f t="shared" si="3422"/>
        <v>#REF!</v>
      </c>
      <c r="G2297" s="17">
        <v>4</v>
      </c>
      <c r="H2297" s="17" t="s">
        <v>9</v>
      </c>
      <c r="I2297" s="30" t="s">
        <v>22</v>
      </c>
      <c r="J2297" s="22"/>
      <c r="K2297" s="22"/>
      <c r="L2297" s="8">
        <f t="shared" si="3419"/>
        <v>0</v>
      </c>
      <c r="M2297" s="24">
        <f t="shared" si="3417"/>
        <v>0</v>
      </c>
      <c r="N2297" s="14"/>
    </row>
    <row r="2298" spans="1:14" x14ac:dyDescent="0.25">
      <c r="A2298" s="20">
        <v>44608</v>
      </c>
      <c r="B2298" s="1">
        <f t="shared" ref="B2298" si="3423">B2294</f>
        <v>192</v>
      </c>
      <c r="C2298" s="1" t="s">
        <v>511</v>
      </c>
      <c r="D2298" s="1" t="s">
        <v>183</v>
      </c>
      <c r="E2298" s="26" t="e">
        <f t="shared" ref="E2298:F2298" si="3424">+E2297</f>
        <v>#REF!</v>
      </c>
      <c r="F2298" s="26" t="e">
        <f t="shared" si="3424"/>
        <v>#REF!</v>
      </c>
      <c r="G2298" s="17">
        <v>5</v>
      </c>
      <c r="H2298" s="17" t="s">
        <v>9</v>
      </c>
      <c r="I2298" s="30" t="s">
        <v>34</v>
      </c>
      <c r="J2298" s="22"/>
      <c r="K2298" s="63"/>
      <c r="L2298" s="8">
        <f t="shared" si="3419"/>
        <v>0</v>
      </c>
      <c r="M2298" s="24">
        <f t="shared" si="3417"/>
        <v>0</v>
      </c>
      <c r="N2298" s="14"/>
    </row>
    <row r="2299" spans="1:14" x14ac:dyDescent="0.25">
      <c r="A2299" s="20">
        <v>44608</v>
      </c>
      <c r="B2299" s="1">
        <f t="shared" ref="B2299" si="3425">B2294</f>
        <v>192</v>
      </c>
      <c r="C2299" s="1" t="s">
        <v>511</v>
      </c>
      <c r="D2299" s="1" t="s">
        <v>183</v>
      </c>
      <c r="E2299" s="26" t="e">
        <f t="shared" ref="E2299:F2299" si="3426">+E2298</f>
        <v>#REF!</v>
      </c>
      <c r="F2299" s="26" t="e">
        <f t="shared" si="3426"/>
        <v>#REF!</v>
      </c>
      <c r="G2299" s="17">
        <v>6</v>
      </c>
      <c r="H2299" s="17" t="s">
        <v>9</v>
      </c>
      <c r="I2299" s="30" t="s">
        <v>35</v>
      </c>
      <c r="J2299" s="22"/>
      <c r="K2299" s="22"/>
      <c r="L2299" s="8">
        <f t="shared" si="3419"/>
        <v>0</v>
      </c>
      <c r="M2299" s="24">
        <f t="shared" si="3417"/>
        <v>0</v>
      </c>
      <c r="N2299" s="14"/>
    </row>
    <row r="2300" spans="1:14" x14ac:dyDescent="0.25">
      <c r="A2300" s="20">
        <v>44608</v>
      </c>
      <c r="B2300" s="1">
        <f t="shared" ref="B2300" si="3427">B2294</f>
        <v>192</v>
      </c>
      <c r="C2300" s="1" t="s">
        <v>511</v>
      </c>
      <c r="D2300" s="1" t="s">
        <v>183</v>
      </c>
      <c r="E2300" s="26" t="e">
        <f t="shared" ref="E2300:F2300" si="3428">+E2299</f>
        <v>#REF!</v>
      </c>
      <c r="F2300" s="26" t="e">
        <f t="shared" si="3428"/>
        <v>#REF!</v>
      </c>
      <c r="G2300" s="17">
        <v>7</v>
      </c>
      <c r="H2300" s="17" t="s">
        <v>9</v>
      </c>
      <c r="I2300" s="30" t="s">
        <v>36</v>
      </c>
      <c r="J2300" s="22"/>
      <c r="K2300" s="22"/>
      <c r="L2300" s="8">
        <f t="shared" si="3419"/>
        <v>0</v>
      </c>
      <c r="M2300" s="24">
        <f t="shared" si="3417"/>
        <v>0</v>
      </c>
      <c r="N2300" s="14"/>
    </row>
    <row r="2301" spans="1:14" x14ac:dyDescent="0.25">
      <c r="A2301" s="20">
        <v>44608</v>
      </c>
      <c r="B2301" s="1">
        <f t="shared" ref="B2301" si="3429">B2294</f>
        <v>192</v>
      </c>
      <c r="C2301" s="1" t="s">
        <v>511</v>
      </c>
      <c r="D2301" s="1" t="s">
        <v>183</v>
      </c>
      <c r="E2301" s="26" t="e">
        <f>+E2300</f>
        <v>#REF!</v>
      </c>
      <c r="F2301" s="26" t="e">
        <f>+F2300</f>
        <v>#REF!</v>
      </c>
      <c r="G2301" s="17">
        <v>8</v>
      </c>
      <c r="H2301" s="17" t="s">
        <v>9</v>
      </c>
      <c r="I2301" s="30" t="s">
        <v>59</v>
      </c>
      <c r="J2301" s="22"/>
      <c r="K2301" s="22"/>
      <c r="L2301" s="8">
        <f t="shared" si="3419"/>
        <v>0</v>
      </c>
      <c r="M2301" s="24">
        <f t="shared" si="3417"/>
        <v>0</v>
      </c>
      <c r="N2301" s="14"/>
    </row>
    <row r="2302" spans="1:14" x14ac:dyDescent="0.25">
      <c r="A2302" s="20">
        <v>44608</v>
      </c>
      <c r="B2302" s="1">
        <f t="shared" ref="B2302" si="3430">B2294</f>
        <v>192</v>
      </c>
      <c r="C2302" s="1" t="s">
        <v>511</v>
      </c>
      <c r="D2302" s="1" t="s">
        <v>183</v>
      </c>
      <c r="E2302" s="26" t="e">
        <f t="shared" ref="E2302:F2302" si="3431">+E2301</f>
        <v>#REF!</v>
      </c>
      <c r="F2302" s="26" t="e">
        <f t="shared" si="3431"/>
        <v>#REF!</v>
      </c>
      <c r="G2302" s="17">
        <v>9</v>
      </c>
      <c r="H2302" s="17" t="s">
        <v>9</v>
      </c>
      <c r="I2302" s="30" t="s">
        <v>38</v>
      </c>
      <c r="J2302" s="22"/>
      <c r="K2302" s="22"/>
      <c r="L2302" s="8">
        <f t="shared" si="3419"/>
        <v>0</v>
      </c>
      <c r="M2302" s="24">
        <f t="shared" si="3417"/>
        <v>0</v>
      </c>
      <c r="N2302" s="14"/>
    </row>
    <row r="2303" spans="1:14" x14ac:dyDescent="0.25">
      <c r="A2303" s="20">
        <v>44608</v>
      </c>
      <c r="B2303" s="1">
        <f t="shared" ref="B2303" si="3432">B2294</f>
        <v>192</v>
      </c>
      <c r="C2303" s="1" t="s">
        <v>511</v>
      </c>
      <c r="D2303" s="1" t="s">
        <v>183</v>
      </c>
      <c r="E2303" s="26" t="e">
        <f t="shared" ref="E2303:F2303" si="3433">+E2302</f>
        <v>#REF!</v>
      </c>
      <c r="F2303" s="26" t="e">
        <f t="shared" si="3433"/>
        <v>#REF!</v>
      </c>
      <c r="G2303" s="17">
        <v>10</v>
      </c>
      <c r="H2303" s="17" t="s">
        <v>9</v>
      </c>
      <c r="I2303" s="30" t="s">
        <v>23</v>
      </c>
      <c r="J2303" s="22">
        <f>0.65*2</f>
        <v>1.3</v>
      </c>
      <c r="K2303" s="22">
        <f>0.55*2</f>
        <v>1.1000000000000001</v>
      </c>
      <c r="L2303" s="8">
        <f t="shared" si="3419"/>
        <v>0.19999999999999996</v>
      </c>
      <c r="M2303" s="24">
        <f t="shared" si="3417"/>
        <v>1.0282776349614397E-2</v>
      </c>
      <c r="N2303" s="14"/>
    </row>
    <row r="2304" spans="1:14" x14ac:dyDescent="0.25">
      <c r="A2304" s="20">
        <v>44608</v>
      </c>
      <c r="B2304" s="1">
        <f t="shared" ref="B2304" si="3434">B2294</f>
        <v>192</v>
      </c>
      <c r="C2304" s="1" t="s">
        <v>511</v>
      </c>
      <c r="D2304" s="1" t="s">
        <v>183</v>
      </c>
      <c r="E2304" s="26" t="e">
        <f t="shared" ref="E2304:F2304" si="3435">+E2303</f>
        <v>#REF!</v>
      </c>
      <c r="F2304" s="26" t="e">
        <f t="shared" si="3435"/>
        <v>#REF!</v>
      </c>
      <c r="G2304" s="17">
        <v>11</v>
      </c>
      <c r="H2304" s="17" t="s">
        <v>9</v>
      </c>
      <c r="I2304" s="30" t="s">
        <v>60</v>
      </c>
      <c r="J2304" s="22">
        <f>12.6+10.85+11.8+12.55+10.5+11.85</f>
        <v>70.149999999999991</v>
      </c>
      <c r="K2304" s="22">
        <f>8.55+8.55+8.55+8.5+8.3+8.55</f>
        <v>51</v>
      </c>
      <c r="L2304" s="8">
        <f t="shared" si="3419"/>
        <v>19.149999999999991</v>
      </c>
      <c r="M2304" s="24">
        <f t="shared" si="3417"/>
        <v>0.98457583547557836</v>
      </c>
      <c r="N2304" s="14"/>
    </row>
    <row r="2305" spans="1:14" ht="15.75" thickBot="1" x14ac:dyDescent="0.3">
      <c r="A2305" s="20">
        <v>44608</v>
      </c>
      <c r="B2305" s="57">
        <f t="shared" ref="B2305" si="3436">B2294</f>
        <v>192</v>
      </c>
      <c r="C2305" s="1" t="s">
        <v>511</v>
      </c>
      <c r="D2305" s="1" t="s">
        <v>183</v>
      </c>
      <c r="E2305" s="26" t="e">
        <f t="shared" ref="E2305:F2305" si="3437">+E2304</f>
        <v>#REF!</v>
      </c>
      <c r="F2305" s="26" t="e">
        <f t="shared" si="3437"/>
        <v>#REF!</v>
      </c>
      <c r="G2305" s="18">
        <f>+G2304+1</f>
        <v>12</v>
      </c>
      <c r="H2305" s="18" t="s">
        <v>10</v>
      </c>
      <c r="I2305" s="46" t="s">
        <v>10</v>
      </c>
      <c r="J2305" s="22"/>
      <c r="K2305" s="63"/>
      <c r="L2305" s="8">
        <f t="shared" si="3419"/>
        <v>0</v>
      </c>
      <c r="M2305" s="24">
        <f t="shared" si="3417"/>
        <v>0</v>
      </c>
      <c r="N2305" s="14"/>
    </row>
    <row r="2306" spans="1:14" x14ac:dyDescent="0.25">
      <c r="A2306" s="19">
        <v>44608</v>
      </c>
      <c r="B2306" s="15">
        <f t="shared" ref="B2306" si="3438">B2294+1</f>
        <v>193</v>
      </c>
      <c r="C2306" s="15" t="s">
        <v>512</v>
      </c>
      <c r="D2306" s="15" t="s">
        <v>58</v>
      </c>
      <c r="E2306" s="25">
        <f>42.1-1.2</f>
        <v>40.9</v>
      </c>
      <c r="F2306" s="25">
        <f>+SUM(L2306:L2317)</f>
        <v>40.700000000000003</v>
      </c>
      <c r="G2306" s="16">
        <v>1</v>
      </c>
      <c r="H2306" s="16" t="s">
        <v>9</v>
      </c>
      <c r="I2306" s="59" t="s">
        <v>56</v>
      </c>
      <c r="J2306" s="21">
        <f>0.7</f>
        <v>0.7</v>
      </c>
      <c r="K2306" s="21">
        <f>0.55</f>
        <v>0.55000000000000004</v>
      </c>
      <c r="L2306" s="12">
        <f>+J2306-K2306</f>
        <v>0.14999999999999991</v>
      </c>
      <c r="M2306" s="23">
        <f t="shared" ref="M2306:M2369" si="3439">+L2306/SUMIF(C:C,C2306,L:L)</f>
        <v>3.685503685503683E-3</v>
      </c>
      <c r="N2306" s="13"/>
    </row>
    <row r="2307" spans="1:14" x14ac:dyDescent="0.25">
      <c r="A2307" s="20">
        <v>44608</v>
      </c>
      <c r="B2307" s="1">
        <f t="shared" ref="B2307" si="3440">B2306</f>
        <v>193</v>
      </c>
      <c r="C2307" s="1" t="s">
        <v>512</v>
      </c>
      <c r="D2307" s="1" t="s">
        <v>58</v>
      </c>
      <c r="E2307" s="26">
        <f>+E2306</f>
        <v>40.9</v>
      </c>
      <c r="F2307" s="28">
        <f>+(F2306-E2306)/E2306</f>
        <v>-4.8899755501221453E-3</v>
      </c>
      <c r="G2307" s="17">
        <v>2</v>
      </c>
      <c r="H2307" s="17" t="s">
        <v>9</v>
      </c>
      <c r="I2307" s="30" t="s">
        <v>57</v>
      </c>
      <c r="J2307" s="22">
        <f>9.15+9.25</f>
        <v>18.399999999999999</v>
      </c>
      <c r="K2307" s="22">
        <f>8.5+8.55</f>
        <v>17.05</v>
      </c>
      <c r="L2307" s="8">
        <f t="shared" ref="L2307:L2317" si="3441">+J2307-K2307</f>
        <v>1.3499999999999979</v>
      </c>
      <c r="M2307" s="24">
        <f t="shared" si="3439"/>
        <v>3.3169533169533118E-2</v>
      </c>
      <c r="N2307" s="14"/>
    </row>
    <row r="2308" spans="1:14" x14ac:dyDescent="0.25">
      <c r="A2308" s="20">
        <v>44608</v>
      </c>
      <c r="B2308" s="1">
        <f t="shared" ref="B2308" si="3442">B2306</f>
        <v>193</v>
      </c>
      <c r="C2308" s="1" t="s">
        <v>512</v>
      </c>
      <c r="D2308" s="1" t="s">
        <v>58</v>
      </c>
      <c r="E2308" s="26" t="e">
        <f>+#REF!</f>
        <v>#REF!</v>
      </c>
      <c r="F2308" s="26" t="e">
        <f>+#REF!</f>
        <v>#REF!</v>
      </c>
      <c r="G2308" s="17">
        <v>3</v>
      </c>
      <c r="H2308" s="17" t="s">
        <v>9</v>
      </c>
      <c r="I2308" s="30" t="s">
        <v>58</v>
      </c>
      <c r="J2308" s="22">
        <f>12.9+12.7+13.35+13.15+13.2+13.4+13.6</f>
        <v>92.3</v>
      </c>
      <c r="K2308" s="22">
        <f>8.55+8.55+8.55+8.55+8.55+8.3+8.5</f>
        <v>59.55</v>
      </c>
      <c r="L2308" s="8">
        <f t="shared" si="3441"/>
        <v>32.75</v>
      </c>
      <c r="M2308" s="24">
        <f t="shared" si="3439"/>
        <v>0.80466830466830463</v>
      </c>
      <c r="N2308" s="14"/>
    </row>
    <row r="2309" spans="1:14" x14ac:dyDescent="0.25">
      <c r="A2309" s="20">
        <v>44608</v>
      </c>
      <c r="B2309" s="1">
        <f t="shared" ref="B2309" si="3443">B2306</f>
        <v>193</v>
      </c>
      <c r="C2309" s="1" t="s">
        <v>512</v>
      </c>
      <c r="D2309" s="1" t="s">
        <v>58</v>
      </c>
      <c r="E2309" s="26" t="e">
        <f t="shared" ref="E2309:F2309" si="3444">+E2308</f>
        <v>#REF!</v>
      </c>
      <c r="F2309" s="26" t="e">
        <f t="shared" si="3444"/>
        <v>#REF!</v>
      </c>
      <c r="G2309" s="17">
        <v>4</v>
      </c>
      <c r="H2309" s="17" t="s">
        <v>9</v>
      </c>
      <c r="I2309" s="30" t="s">
        <v>22</v>
      </c>
      <c r="J2309" s="22">
        <f>0.95+0.9</f>
        <v>1.85</v>
      </c>
      <c r="K2309" s="22">
        <f>0.55+0.55</f>
        <v>1.1000000000000001</v>
      </c>
      <c r="L2309" s="8">
        <f t="shared" si="3441"/>
        <v>0.75</v>
      </c>
      <c r="M2309" s="24">
        <f t="shared" si="3439"/>
        <v>1.8427518427518427E-2</v>
      </c>
      <c r="N2309" s="14"/>
    </row>
    <row r="2310" spans="1:14" x14ac:dyDescent="0.25">
      <c r="A2310" s="20">
        <v>44608</v>
      </c>
      <c r="B2310" s="1">
        <f t="shared" ref="B2310" si="3445">B2306</f>
        <v>193</v>
      </c>
      <c r="C2310" s="1" t="s">
        <v>512</v>
      </c>
      <c r="D2310" s="1" t="s">
        <v>58</v>
      </c>
      <c r="E2310" s="26" t="e">
        <f t="shared" ref="E2310:F2310" si="3446">+E2309</f>
        <v>#REF!</v>
      </c>
      <c r="F2310" s="26" t="e">
        <f t="shared" si="3446"/>
        <v>#REF!</v>
      </c>
      <c r="G2310" s="17">
        <v>5</v>
      </c>
      <c r="H2310" s="17" t="s">
        <v>9</v>
      </c>
      <c r="I2310" s="30" t="s">
        <v>34</v>
      </c>
      <c r="J2310" s="22">
        <f>0.9</f>
        <v>0.9</v>
      </c>
      <c r="K2310" s="63">
        <f>0.55</f>
        <v>0.55000000000000004</v>
      </c>
      <c r="L2310" s="8">
        <f t="shared" si="3441"/>
        <v>0.35</v>
      </c>
      <c r="M2310" s="24">
        <f t="shared" si="3439"/>
        <v>8.5995085995085978E-3</v>
      </c>
      <c r="N2310" s="14"/>
    </row>
    <row r="2311" spans="1:14" x14ac:dyDescent="0.25">
      <c r="A2311" s="20">
        <v>44608</v>
      </c>
      <c r="B2311" s="1">
        <f t="shared" ref="B2311" si="3447">B2306</f>
        <v>193</v>
      </c>
      <c r="C2311" s="1" t="s">
        <v>512</v>
      </c>
      <c r="D2311" s="1" t="s">
        <v>58</v>
      </c>
      <c r="E2311" s="26" t="e">
        <f t="shared" ref="E2311:F2311" si="3448">+E2310</f>
        <v>#REF!</v>
      </c>
      <c r="F2311" s="26" t="e">
        <f t="shared" si="3448"/>
        <v>#REF!</v>
      </c>
      <c r="G2311" s="17">
        <v>6</v>
      </c>
      <c r="H2311" s="17" t="s">
        <v>9</v>
      </c>
      <c r="I2311" s="30" t="s">
        <v>35</v>
      </c>
      <c r="J2311" s="22"/>
      <c r="K2311" s="22"/>
      <c r="L2311" s="8">
        <f t="shared" si="3441"/>
        <v>0</v>
      </c>
      <c r="M2311" s="24">
        <f t="shared" si="3439"/>
        <v>0</v>
      </c>
      <c r="N2311" s="14"/>
    </row>
    <row r="2312" spans="1:14" x14ac:dyDescent="0.25">
      <c r="A2312" s="20">
        <v>44608</v>
      </c>
      <c r="B2312" s="1">
        <f t="shared" ref="B2312" si="3449">B2306</f>
        <v>193</v>
      </c>
      <c r="C2312" s="1" t="s">
        <v>512</v>
      </c>
      <c r="D2312" s="1" t="s">
        <v>58</v>
      </c>
      <c r="E2312" s="26" t="e">
        <f t="shared" ref="E2312:F2312" si="3450">+E2311</f>
        <v>#REF!</v>
      </c>
      <c r="F2312" s="26" t="e">
        <f t="shared" si="3450"/>
        <v>#REF!</v>
      </c>
      <c r="G2312" s="17">
        <v>7</v>
      </c>
      <c r="H2312" s="17" t="s">
        <v>9</v>
      </c>
      <c r="I2312" s="30" t="s">
        <v>36</v>
      </c>
      <c r="J2312" s="22"/>
      <c r="K2312" s="22"/>
      <c r="L2312" s="8">
        <f t="shared" si="3441"/>
        <v>0</v>
      </c>
      <c r="M2312" s="24">
        <f t="shared" si="3439"/>
        <v>0</v>
      </c>
      <c r="N2312" s="14"/>
    </row>
    <row r="2313" spans="1:14" x14ac:dyDescent="0.25">
      <c r="A2313" s="20">
        <v>44608</v>
      </c>
      <c r="B2313" s="1">
        <f t="shared" ref="B2313" si="3451">B2306</f>
        <v>193</v>
      </c>
      <c r="C2313" s="1" t="s">
        <v>512</v>
      </c>
      <c r="D2313" s="1" t="s">
        <v>58</v>
      </c>
      <c r="E2313" s="26" t="e">
        <f>+E2312</f>
        <v>#REF!</v>
      </c>
      <c r="F2313" s="26" t="e">
        <f>+F2312</f>
        <v>#REF!</v>
      </c>
      <c r="G2313" s="17">
        <v>8</v>
      </c>
      <c r="H2313" s="17" t="s">
        <v>9</v>
      </c>
      <c r="I2313" s="30" t="s">
        <v>59</v>
      </c>
      <c r="J2313" s="22">
        <f>0.75</f>
        <v>0.75</v>
      </c>
      <c r="K2313" s="22">
        <f>0.55</f>
        <v>0.55000000000000004</v>
      </c>
      <c r="L2313" s="8">
        <f t="shared" si="3441"/>
        <v>0.19999999999999996</v>
      </c>
      <c r="M2313" s="24">
        <f t="shared" si="3439"/>
        <v>4.9140049140049121E-3</v>
      </c>
      <c r="N2313" s="14"/>
    </row>
    <row r="2314" spans="1:14" x14ac:dyDescent="0.25">
      <c r="A2314" s="20">
        <v>44608</v>
      </c>
      <c r="B2314" s="1">
        <f t="shared" ref="B2314" si="3452">B2306</f>
        <v>193</v>
      </c>
      <c r="C2314" s="1" t="s">
        <v>512</v>
      </c>
      <c r="D2314" s="1" t="s">
        <v>58</v>
      </c>
      <c r="E2314" s="26" t="e">
        <f t="shared" ref="E2314:F2314" si="3453">+E2313</f>
        <v>#REF!</v>
      </c>
      <c r="F2314" s="26" t="e">
        <f t="shared" si="3453"/>
        <v>#REF!</v>
      </c>
      <c r="G2314" s="17">
        <v>9</v>
      </c>
      <c r="H2314" s="17" t="s">
        <v>9</v>
      </c>
      <c r="I2314" s="30" t="s">
        <v>38</v>
      </c>
      <c r="J2314" s="22"/>
      <c r="K2314" s="22"/>
      <c r="L2314" s="8">
        <f t="shared" si="3441"/>
        <v>0</v>
      </c>
      <c r="M2314" s="24">
        <f t="shared" si="3439"/>
        <v>0</v>
      </c>
      <c r="N2314" s="14"/>
    </row>
    <row r="2315" spans="1:14" x14ac:dyDescent="0.25">
      <c r="A2315" s="20">
        <v>44608</v>
      </c>
      <c r="B2315" s="1">
        <f t="shared" ref="B2315" si="3454">B2306</f>
        <v>193</v>
      </c>
      <c r="C2315" s="1" t="s">
        <v>512</v>
      </c>
      <c r="D2315" s="1" t="s">
        <v>58</v>
      </c>
      <c r="E2315" s="26" t="e">
        <f t="shared" ref="E2315:F2315" si="3455">+E2314</f>
        <v>#REF!</v>
      </c>
      <c r="F2315" s="26" t="e">
        <f t="shared" si="3455"/>
        <v>#REF!</v>
      </c>
      <c r="G2315" s="17">
        <v>10</v>
      </c>
      <c r="H2315" s="17" t="s">
        <v>9</v>
      </c>
      <c r="I2315" s="30" t="s">
        <v>23</v>
      </c>
      <c r="J2315" s="22">
        <f>1.4</f>
        <v>1.4</v>
      </c>
      <c r="K2315" s="22">
        <f>0.5</f>
        <v>0.5</v>
      </c>
      <c r="L2315" s="8">
        <f t="shared" si="3441"/>
        <v>0.89999999999999991</v>
      </c>
      <c r="M2315" s="24">
        <f t="shared" si="3439"/>
        <v>2.2113022113022109E-2</v>
      </c>
      <c r="N2315" s="14"/>
    </row>
    <row r="2316" spans="1:14" x14ac:dyDescent="0.25">
      <c r="A2316" s="20">
        <v>44608</v>
      </c>
      <c r="B2316" s="1">
        <f t="shared" ref="B2316" si="3456">B2306</f>
        <v>193</v>
      </c>
      <c r="C2316" s="1" t="s">
        <v>512</v>
      </c>
      <c r="D2316" s="1" t="s">
        <v>58</v>
      </c>
      <c r="E2316" s="26" t="e">
        <f t="shared" ref="E2316:F2316" si="3457">+E2315</f>
        <v>#REF!</v>
      </c>
      <c r="F2316" s="26" t="e">
        <f t="shared" si="3457"/>
        <v>#REF!</v>
      </c>
      <c r="G2316" s="17">
        <v>11</v>
      </c>
      <c r="H2316" s="17" t="s">
        <v>9</v>
      </c>
      <c r="I2316" s="30" t="s">
        <v>60</v>
      </c>
      <c r="J2316" s="22">
        <f>0.6+0.65</f>
        <v>1.25</v>
      </c>
      <c r="K2316" s="22">
        <f>0.55+0.55</f>
        <v>1.1000000000000001</v>
      </c>
      <c r="L2316" s="8">
        <f t="shared" si="3441"/>
        <v>0.14999999999999991</v>
      </c>
      <c r="M2316" s="24">
        <f t="shared" si="3439"/>
        <v>3.685503685503683E-3</v>
      </c>
      <c r="N2316" s="14"/>
    </row>
    <row r="2317" spans="1:14" ht="15.75" thickBot="1" x14ac:dyDescent="0.3">
      <c r="A2317" s="20">
        <v>44608</v>
      </c>
      <c r="B2317" s="57">
        <f t="shared" ref="B2317" si="3458">B2306</f>
        <v>193</v>
      </c>
      <c r="C2317" s="1" t="s">
        <v>512</v>
      </c>
      <c r="D2317" s="1" t="s">
        <v>58</v>
      </c>
      <c r="E2317" s="26" t="e">
        <f t="shared" ref="E2317:F2317" si="3459">+E2316</f>
        <v>#REF!</v>
      </c>
      <c r="F2317" s="26" t="e">
        <f t="shared" si="3459"/>
        <v>#REF!</v>
      </c>
      <c r="G2317" s="18">
        <f>+G2316+1</f>
        <v>12</v>
      </c>
      <c r="H2317" s="18" t="s">
        <v>10</v>
      </c>
      <c r="I2317" s="46" t="s">
        <v>10</v>
      </c>
      <c r="J2317" s="22">
        <f>12.65</f>
        <v>12.65</v>
      </c>
      <c r="K2317" s="63">
        <f>8.55</f>
        <v>8.5500000000000007</v>
      </c>
      <c r="L2317" s="8">
        <f t="shared" si="3441"/>
        <v>4.0999999999999996</v>
      </c>
      <c r="M2317" s="24">
        <f t="shared" si="3439"/>
        <v>0.10073710073710072</v>
      </c>
      <c r="N2317" s="14"/>
    </row>
    <row r="2318" spans="1:14" x14ac:dyDescent="0.25">
      <c r="A2318" s="19">
        <v>44608</v>
      </c>
      <c r="B2318" s="15">
        <f t="shared" ref="B2318" si="3460">B2306+1</f>
        <v>194</v>
      </c>
      <c r="C2318" s="15" t="s">
        <v>513</v>
      </c>
      <c r="D2318" s="15" t="s">
        <v>184</v>
      </c>
      <c r="E2318" s="25">
        <f>29.4-1.2</f>
        <v>28.2</v>
      </c>
      <c r="F2318" s="25">
        <f>+SUM(L2318:L2329)</f>
        <v>27.900000000000009</v>
      </c>
      <c r="G2318" s="16">
        <v>1</v>
      </c>
      <c r="H2318" s="16" t="s">
        <v>9</v>
      </c>
      <c r="I2318" s="59" t="s">
        <v>56</v>
      </c>
      <c r="J2318" s="21">
        <f>11.7+10.7+11.45+12.45+11.95+12.15+11.75+11.95</f>
        <v>94.100000000000009</v>
      </c>
      <c r="K2318" s="21">
        <f>8.3+8.5+8.55+8.55+8.5+8.5+8.55+8.55</f>
        <v>68</v>
      </c>
      <c r="L2318" s="12">
        <f>+J2318-K2318</f>
        <v>26.100000000000009</v>
      </c>
      <c r="M2318" s="23">
        <f t="shared" si="3439"/>
        <v>0.93548387096774188</v>
      </c>
      <c r="N2318" s="13"/>
    </row>
    <row r="2319" spans="1:14" x14ac:dyDescent="0.25">
      <c r="A2319" s="20">
        <v>44608</v>
      </c>
      <c r="B2319" s="1">
        <f t="shared" ref="B2319" si="3461">B2318</f>
        <v>194</v>
      </c>
      <c r="C2319" s="1" t="s">
        <v>513</v>
      </c>
      <c r="D2319" s="1" t="s">
        <v>184</v>
      </c>
      <c r="E2319" s="26">
        <f>+E2318</f>
        <v>28.2</v>
      </c>
      <c r="F2319" s="28">
        <f>+(F2318-E2318)/E2318</f>
        <v>-1.0638297872340073E-2</v>
      </c>
      <c r="G2319" s="17">
        <v>2</v>
      </c>
      <c r="H2319" s="17" t="s">
        <v>9</v>
      </c>
      <c r="I2319" s="30" t="s">
        <v>57</v>
      </c>
      <c r="J2319" s="22">
        <f>1.2</f>
        <v>1.2</v>
      </c>
      <c r="K2319" s="22">
        <v>0.55000000000000004</v>
      </c>
      <c r="L2319" s="8">
        <f t="shared" ref="L2319:L2329" si="3462">+J2319-K2319</f>
        <v>0.64999999999999991</v>
      </c>
      <c r="M2319" s="24">
        <f t="shared" si="3439"/>
        <v>2.3297491039426511E-2</v>
      </c>
      <c r="N2319" s="14"/>
    </row>
    <row r="2320" spans="1:14" x14ac:dyDescent="0.25">
      <c r="A2320" s="20">
        <v>44608</v>
      </c>
      <c r="B2320" s="1">
        <f t="shared" ref="B2320" si="3463">B2318</f>
        <v>194</v>
      </c>
      <c r="C2320" s="1" t="s">
        <v>513</v>
      </c>
      <c r="D2320" s="1" t="s">
        <v>184</v>
      </c>
      <c r="E2320" s="26" t="e">
        <f>+#REF!</f>
        <v>#REF!</v>
      </c>
      <c r="F2320" s="26" t="e">
        <f>+#REF!</f>
        <v>#REF!</v>
      </c>
      <c r="G2320" s="17">
        <v>3</v>
      </c>
      <c r="H2320" s="17" t="s">
        <v>9</v>
      </c>
      <c r="I2320" s="30" t="s">
        <v>58</v>
      </c>
      <c r="J2320" s="22">
        <f>1.1</f>
        <v>1.1000000000000001</v>
      </c>
      <c r="K2320" s="22">
        <v>0.55000000000000004</v>
      </c>
      <c r="L2320" s="8">
        <f t="shared" si="3462"/>
        <v>0.55000000000000004</v>
      </c>
      <c r="M2320" s="24">
        <f t="shared" si="3439"/>
        <v>1.9713261648745515E-2</v>
      </c>
      <c r="N2320" s="14"/>
    </row>
    <row r="2321" spans="1:14" x14ac:dyDescent="0.25">
      <c r="A2321" s="20">
        <v>44608</v>
      </c>
      <c r="B2321" s="1">
        <f t="shared" ref="B2321" si="3464">B2318</f>
        <v>194</v>
      </c>
      <c r="C2321" s="1" t="s">
        <v>513</v>
      </c>
      <c r="D2321" s="1" t="s">
        <v>184</v>
      </c>
      <c r="E2321" s="26" t="e">
        <f t="shared" ref="E2321:F2321" si="3465">+E2320</f>
        <v>#REF!</v>
      </c>
      <c r="F2321" s="26" t="e">
        <f t="shared" si="3465"/>
        <v>#REF!</v>
      </c>
      <c r="G2321" s="17">
        <v>4</v>
      </c>
      <c r="H2321" s="17" t="s">
        <v>9</v>
      </c>
      <c r="I2321" s="30" t="s">
        <v>22</v>
      </c>
      <c r="J2321" s="22"/>
      <c r="K2321" s="22"/>
      <c r="L2321" s="8">
        <f t="shared" si="3462"/>
        <v>0</v>
      </c>
      <c r="M2321" s="24">
        <f t="shared" si="3439"/>
        <v>0</v>
      </c>
      <c r="N2321" s="14"/>
    </row>
    <row r="2322" spans="1:14" x14ac:dyDescent="0.25">
      <c r="A2322" s="20">
        <v>44608</v>
      </c>
      <c r="B2322" s="1">
        <f t="shared" ref="B2322" si="3466">B2318</f>
        <v>194</v>
      </c>
      <c r="C2322" s="1" t="s">
        <v>513</v>
      </c>
      <c r="D2322" s="1" t="s">
        <v>184</v>
      </c>
      <c r="E2322" s="26" t="e">
        <f t="shared" ref="E2322:F2322" si="3467">+E2321</f>
        <v>#REF!</v>
      </c>
      <c r="F2322" s="26" t="e">
        <f t="shared" si="3467"/>
        <v>#REF!</v>
      </c>
      <c r="G2322" s="17">
        <v>5</v>
      </c>
      <c r="H2322" s="17" t="s">
        <v>9</v>
      </c>
      <c r="I2322" s="30" t="s">
        <v>34</v>
      </c>
      <c r="J2322" s="22"/>
      <c r="K2322" s="63"/>
      <c r="L2322" s="8">
        <f t="shared" si="3462"/>
        <v>0</v>
      </c>
      <c r="M2322" s="24">
        <f t="shared" si="3439"/>
        <v>0</v>
      </c>
      <c r="N2322" s="14"/>
    </row>
    <row r="2323" spans="1:14" x14ac:dyDescent="0.25">
      <c r="A2323" s="20">
        <v>44608</v>
      </c>
      <c r="B2323" s="1">
        <f t="shared" ref="B2323" si="3468">B2318</f>
        <v>194</v>
      </c>
      <c r="C2323" s="1" t="s">
        <v>513</v>
      </c>
      <c r="D2323" s="1" t="s">
        <v>184</v>
      </c>
      <c r="E2323" s="26" t="e">
        <f t="shared" ref="E2323:F2323" si="3469">+E2322</f>
        <v>#REF!</v>
      </c>
      <c r="F2323" s="26" t="e">
        <f t="shared" si="3469"/>
        <v>#REF!</v>
      </c>
      <c r="G2323" s="17">
        <v>6</v>
      </c>
      <c r="H2323" s="17" t="s">
        <v>9</v>
      </c>
      <c r="I2323" s="30" t="s">
        <v>35</v>
      </c>
      <c r="J2323" s="22"/>
      <c r="K2323" s="22"/>
      <c r="L2323" s="8">
        <f t="shared" si="3462"/>
        <v>0</v>
      </c>
      <c r="M2323" s="24">
        <f t="shared" si="3439"/>
        <v>0</v>
      </c>
      <c r="N2323" s="14"/>
    </row>
    <row r="2324" spans="1:14" x14ac:dyDescent="0.25">
      <c r="A2324" s="20">
        <v>44608</v>
      </c>
      <c r="B2324" s="1">
        <f t="shared" ref="B2324" si="3470">B2318</f>
        <v>194</v>
      </c>
      <c r="C2324" s="1" t="s">
        <v>513</v>
      </c>
      <c r="D2324" s="1" t="s">
        <v>184</v>
      </c>
      <c r="E2324" s="26" t="e">
        <f t="shared" ref="E2324:F2324" si="3471">+E2323</f>
        <v>#REF!</v>
      </c>
      <c r="F2324" s="26" t="e">
        <f t="shared" si="3471"/>
        <v>#REF!</v>
      </c>
      <c r="G2324" s="17">
        <v>7</v>
      </c>
      <c r="H2324" s="17" t="s">
        <v>9</v>
      </c>
      <c r="I2324" s="30" t="s">
        <v>36</v>
      </c>
      <c r="J2324" s="22"/>
      <c r="K2324" s="22"/>
      <c r="L2324" s="8">
        <f t="shared" si="3462"/>
        <v>0</v>
      </c>
      <c r="M2324" s="24">
        <f t="shared" si="3439"/>
        <v>0</v>
      </c>
      <c r="N2324" s="14"/>
    </row>
    <row r="2325" spans="1:14" x14ac:dyDescent="0.25">
      <c r="A2325" s="20">
        <v>44608</v>
      </c>
      <c r="B2325" s="1">
        <f t="shared" ref="B2325" si="3472">B2318</f>
        <v>194</v>
      </c>
      <c r="C2325" s="1" t="s">
        <v>513</v>
      </c>
      <c r="D2325" s="1" t="s">
        <v>184</v>
      </c>
      <c r="E2325" s="26" t="e">
        <f>+E2324</f>
        <v>#REF!</v>
      </c>
      <c r="F2325" s="26" t="e">
        <f>+F2324</f>
        <v>#REF!</v>
      </c>
      <c r="G2325" s="17">
        <v>8</v>
      </c>
      <c r="H2325" s="17" t="s">
        <v>9</v>
      </c>
      <c r="I2325" s="30" t="s">
        <v>59</v>
      </c>
      <c r="J2325" s="22">
        <v>0.6</v>
      </c>
      <c r="K2325" s="22">
        <v>0.55000000000000004</v>
      </c>
      <c r="L2325" s="8">
        <f t="shared" si="3462"/>
        <v>4.9999999999999933E-2</v>
      </c>
      <c r="M2325" s="24">
        <f t="shared" si="3439"/>
        <v>1.7921146953404988E-3</v>
      </c>
      <c r="N2325" s="14"/>
    </row>
    <row r="2326" spans="1:14" x14ac:dyDescent="0.25">
      <c r="A2326" s="20">
        <v>44608</v>
      </c>
      <c r="B2326" s="1">
        <f t="shared" ref="B2326" si="3473">B2318</f>
        <v>194</v>
      </c>
      <c r="C2326" s="1" t="s">
        <v>513</v>
      </c>
      <c r="D2326" s="1" t="s">
        <v>184</v>
      </c>
      <c r="E2326" s="26" t="e">
        <f t="shared" ref="E2326:F2326" si="3474">+E2325</f>
        <v>#REF!</v>
      </c>
      <c r="F2326" s="26" t="e">
        <f t="shared" si="3474"/>
        <v>#REF!</v>
      </c>
      <c r="G2326" s="17">
        <v>9</v>
      </c>
      <c r="H2326" s="17" t="s">
        <v>9</v>
      </c>
      <c r="I2326" s="30" t="s">
        <v>38</v>
      </c>
      <c r="J2326" s="22"/>
      <c r="K2326" s="22"/>
      <c r="L2326" s="8">
        <f t="shared" si="3462"/>
        <v>0</v>
      </c>
      <c r="M2326" s="24">
        <f t="shared" si="3439"/>
        <v>0</v>
      </c>
      <c r="N2326" s="14"/>
    </row>
    <row r="2327" spans="1:14" x14ac:dyDescent="0.25">
      <c r="A2327" s="20">
        <v>44608</v>
      </c>
      <c r="B2327" s="1">
        <f t="shared" ref="B2327" si="3475">B2318</f>
        <v>194</v>
      </c>
      <c r="C2327" s="1" t="s">
        <v>513</v>
      </c>
      <c r="D2327" s="1" t="s">
        <v>184</v>
      </c>
      <c r="E2327" s="26" t="e">
        <f t="shared" ref="E2327:F2327" si="3476">+E2326</f>
        <v>#REF!</v>
      </c>
      <c r="F2327" s="26" t="e">
        <f t="shared" si="3476"/>
        <v>#REF!</v>
      </c>
      <c r="G2327" s="17">
        <v>10</v>
      </c>
      <c r="H2327" s="17" t="s">
        <v>9</v>
      </c>
      <c r="I2327" s="30" t="s">
        <v>23</v>
      </c>
      <c r="J2327" s="22">
        <v>0.55000000000000004</v>
      </c>
      <c r="K2327" s="22">
        <v>0.5</v>
      </c>
      <c r="L2327" s="8">
        <f t="shared" si="3462"/>
        <v>5.0000000000000044E-2</v>
      </c>
      <c r="M2327" s="24">
        <f t="shared" si="3439"/>
        <v>1.7921146953405029E-3</v>
      </c>
      <c r="N2327" s="14"/>
    </row>
    <row r="2328" spans="1:14" x14ac:dyDescent="0.25">
      <c r="A2328" s="20">
        <v>44608</v>
      </c>
      <c r="B2328" s="1">
        <f t="shared" ref="B2328" si="3477">B2318</f>
        <v>194</v>
      </c>
      <c r="C2328" s="1" t="s">
        <v>513</v>
      </c>
      <c r="D2328" s="1" t="s">
        <v>184</v>
      </c>
      <c r="E2328" s="26" t="e">
        <f t="shared" ref="E2328:F2328" si="3478">+E2327</f>
        <v>#REF!</v>
      </c>
      <c r="F2328" s="26" t="e">
        <f t="shared" si="3478"/>
        <v>#REF!</v>
      </c>
      <c r="G2328" s="17">
        <v>11</v>
      </c>
      <c r="H2328" s="17" t="s">
        <v>9</v>
      </c>
      <c r="I2328" s="30" t="s">
        <v>60</v>
      </c>
      <c r="J2328" s="22"/>
      <c r="K2328" s="22"/>
      <c r="L2328" s="8">
        <f t="shared" si="3462"/>
        <v>0</v>
      </c>
      <c r="M2328" s="24">
        <f t="shared" si="3439"/>
        <v>0</v>
      </c>
      <c r="N2328" s="14"/>
    </row>
    <row r="2329" spans="1:14" ht="15.75" thickBot="1" x14ac:dyDescent="0.3">
      <c r="A2329" s="20">
        <v>44608</v>
      </c>
      <c r="B2329" s="57">
        <f t="shared" ref="B2329" si="3479">B2318</f>
        <v>194</v>
      </c>
      <c r="C2329" s="1" t="s">
        <v>513</v>
      </c>
      <c r="D2329" s="1" t="s">
        <v>184</v>
      </c>
      <c r="E2329" s="26" t="e">
        <f t="shared" ref="E2329:F2329" si="3480">+E2328</f>
        <v>#REF!</v>
      </c>
      <c r="F2329" s="26" t="e">
        <f t="shared" si="3480"/>
        <v>#REF!</v>
      </c>
      <c r="G2329" s="18">
        <f>+G2328+1</f>
        <v>12</v>
      </c>
      <c r="H2329" s="18" t="s">
        <v>10</v>
      </c>
      <c r="I2329" s="46" t="s">
        <v>10</v>
      </c>
      <c r="J2329" s="22">
        <f>1</f>
        <v>1</v>
      </c>
      <c r="K2329" s="63">
        <f>0.5</f>
        <v>0.5</v>
      </c>
      <c r="L2329" s="8">
        <f t="shared" si="3462"/>
        <v>0.5</v>
      </c>
      <c r="M2329" s="24">
        <f t="shared" si="3439"/>
        <v>1.7921146953405014E-2</v>
      </c>
      <c r="N2329" s="14"/>
    </row>
    <row r="2330" spans="1:14" x14ac:dyDescent="0.25">
      <c r="A2330" s="19">
        <v>44608</v>
      </c>
      <c r="B2330" s="15">
        <f t="shared" ref="B2330" si="3481">B2318+1</f>
        <v>195</v>
      </c>
      <c r="C2330" s="15" t="s">
        <v>515</v>
      </c>
      <c r="D2330" s="15" t="s">
        <v>185</v>
      </c>
      <c r="E2330" s="25">
        <f>41.8-1.2</f>
        <v>40.599999999999994</v>
      </c>
      <c r="F2330" s="25">
        <f>+SUM(L2330:L2341)</f>
        <v>39.750000000000007</v>
      </c>
      <c r="G2330" s="16">
        <v>1</v>
      </c>
      <c r="H2330" s="16" t="s">
        <v>9</v>
      </c>
      <c r="I2330" s="59" t="s">
        <v>56</v>
      </c>
      <c r="J2330" s="21"/>
      <c r="K2330" s="21"/>
      <c r="L2330" s="12">
        <f>+J2330-K2330</f>
        <v>0</v>
      </c>
      <c r="M2330" s="23">
        <f t="shared" si="3439"/>
        <v>0</v>
      </c>
      <c r="N2330" s="13"/>
    </row>
    <row r="2331" spans="1:14" x14ac:dyDescent="0.25">
      <c r="A2331" s="20">
        <v>44608</v>
      </c>
      <c r="B2331" s="1">
        <f t="shared" ref="B2331" si="3482">B2330</f>
        <v>195</v>
      </c>
      <c r="C2331" s="1" t="s">
        <v>515</v>
      </c>
      <c r="D2331" s="1" t="s">
        <v>185</v>
      </c>
      <c r="E2331" s="26">
        <f>+E2330</f>
        <v>40.599999999999994</v>
      </c>
      <c r="F2331" s="28">
        <f>+(F2330-E2330)/E2330</f>
        <v>-2.0935960591132691E-2</v>
      </c>
      <c r="G2331" s="17">
        <v>2</v>
      </c>
      <c r="H2331" s="17" t="s">
        <v>9</v>
      </c>
      <c r="I2331" s="30" t="s">
        <v>57</v>
      </c>
      <c r="J2331" s="22">
        <v>1</v>
      </c>
      <c r="K2331" s="22">
        <v>0.55000000000000004</v>
      </c>
      <c r="L2331" s="8">
        <f t="shared" ref="L2331:L2341" si="3483">+J2331-K2331</f>
        <v>0.44999999999999996</v>
      </c>
      <c r="M2331" s="24">
        <f t="shared" si="3439"/>
        <v>1.132075471698113E-2</v>
      </c>
      <c r="N2331" s="14"/>
    </row>
    <row r="2332" spans="1:14" x14ac:dyDescent="0.25">
      <c r="A2332" s="20">
        <v>44608</v>
      </c>
      <c r="B2332" s="1">
        <f t="shared" ref="B2332" si="3484">B2330</f>
        <v>195</v>
      </c>
      <c r="C2332" s="1" t="s">
        <v>515</v>
      </c>
      <c r="D2332" s="1" t="s">
        <v>185</v>
      </c>
      <c r="E2332" s="26" t="e">
        <f>+#REF!</f>
        <v>#REF!</v>
      </c>
      <c r="F2332" s="26" t="e">
        <f>+#REF!</f>
        <v>#REF!</v>
      </c>
      <c r="G2332" s="17">
        <v>3</v>
      </c>
      <c r="H2332" s="17" t="s">
        <v>9</v>
      </c>
      <c r="I2332" s="30" t="s">
        <v>58</v>
      </c>
      <c r="J2332" s="22">
        <f>0.65+0.75</f>
        <v>1.4</v>
      </c>
      <c r="K2332" s="22">
        <f>0.55+0.55</f>
        <v>1.1000000000000001</v>
      </c>
      <c r="L2332" s="8">
        <f t="shared" si="3483"/>
        <v>0.29999999999999982</v>
      </c>
      <c r="M2332" s="24">
        <f t="shared" si="3439"/>
        <v>7.5471698113207487E-3</v>
      </c>
      <c r="N2332" s="14"/>
    </row>
    <row r="2333" spans="1:14" x14ac:dyDescent="0.25">
      <c r="A2333" s="20">
        <v>44608</v>
      </c>
      <c r="B2333" s="1">
        <f t="shared" ref="B2333" si="3485">B2330</f>
        <v>195</v>
      </c>
      <c r="C2333" s="1" t="s">
        <v>515</v>
      </c>
      <c r="D2333" s="1" t="s">
        <v>185</v>
      </c>
      <c r="E2333" s="26" t="e">
        <f t="shared" ref="E2333:F2333" si="3486">+E2332</f>
        <v>#REF!</v>
      </c>
      <c r="F2333" s="26" t="e">
        <f t="shared" si="3486"/>
        <v>#REF!</v>
      </c>
      <c r="G2333" s="17">
        <v>4</v>
      </c>
      <c r="H2333" s="17" t="s">
        <v>9</v>
      </c>
      <c r="I2333" s="30" t="s">
        <v>22</v>
      </c>
      <c r="J2333" s="22">
        <f>1.3+0.9</f>
        <v>2.2000000000000002</v>
      </c>
      <c r="K2333" s="22">
        <f>0.55+0.55</f>
        <v>1.1000000000000001</v>
      </c>
      <c r="L2333" s="8">
        <f t="shared" si="3483"/>
        <v>1.1000000000000001</v>
      </c>
      <c r="M2333" s="24">
        <f t="shared" si="3439"/>
        <v>2.7672955974842765E-2</v>
      </c>
      <c r="N2333" s="14"/>
    </row>
    <row r="2334" spans="1:14" x14ac:dyDescent="0.25">
      <c r="A2334" s="20">
        <v>44608</v>
      </c>
      <c r="B2334" s="1">
        <f t="shared" ref="B2334" si="3487">B2330</f>
        <v>195</v>
      </c>
      <c r="C2334" s="1" t="s">
        <v>515</v>
      </c>
      <c r="D2334" s="1" t="s">
        <v>185</v>
      </c>
      <c r="E2334" s="26" t="e">
        <f t="shared" ref="E2334:F2334" si="3488">+E2333</f>
        <v>#REF!</v>
      </c>
      <c r="F2334" s="26" t="e">
        <f t="shared" si="3488"/>
        <v>#REF!</v>
      </c>
      <c r="G2334" s="17">
        <v>5</v>
      </c>
      <c r="H2334" s="17" t="s">
        <v>9</v>
      </c>
      <c r="I2334" s="30" t="s">
        <v>34</v>
      </c>
      <c r="J2334" s="22">
        <f>14.15+14.05+13.9+11+12.45+13.15+12.9</f>
        <v>91.600000000000009</v>
      </c>
      <c r="K2334" s="63">
        <f>8.3+8.5+8.5+8.55+8.55+8.55+8.55</f>
        <v>59.5</v>
      </c>
      <c r="L2334" s="8">
        <f t="shared" si="3483"/>
        <v>32.100000000000009</v>
      </c>
      <c r="M2334" s="24">
        <f t="shared" si="3439"/>
        <v>0.8075471698113208</v>
      </c>
      <c r="N2334" s="14"/>
    </row>
    <row r="2335" spans="1:14" x14ac:dyDescent="0.25">
      <c r="A2335" s="20">
        <v>44608</v>
      </c>
      <c r="B2335" s="1">
        <f t="shared" ref="B2335" si="3489">B2330</f>
        <v>195</v>
      </c>
      <c r="C2335" s="1" t="s">
        <v>515</v>
      </c>
      <c r="D2335" s="1" t="s">
        <v>185</v>
      </c>
      <c r="E2335" s="26" t="e">
        <f t="shared" ref="E2335:F2335" si="3490">+E2334</f>
        <v>#REF!</v>
      </c>
      <c r="F2335" s="26" t="e">
        <f t="shared" si="3490"/>
        <v>#REF!</v>
      </c>
      <c r="G2335" s="17">
        <v>6</v>
      </c>
      <c r="H2335" s="17" t="s">
        <v>9</v>
      </c>
      <c r="I2335" s="30" t="s">
        <v>35</v>
      </c>
      <c r="J2335" s="22">
        <v>0.6</v>
      </c>
      <c r="K2335" s="22">
        <v>0.55000000000000004</v>
      </c>
      <c r="L2335" s="8">
        <f t="shared" si="3483"/>
        <v>4.9999999999999933E-2</v>
      </c>
      <c r="M2335" s="24">
        <f t="shared" si="3439"/>
        <v>1.257861635220124E-3</v>
      </c>
      <c r="N2335" s="14"/>
    </row>
    <row r="2336" spans="1:14" x14ac:dyDescent="0.25">
      <c r="A2336" s="20">
        <v>44608</v>
      </c>
      <c r="B2336" s="1">
        <f t="shared" ref="B2336" si="3491">B2330</f>
        <v>195</v>
      </c>
      <c r="C2336" s="1" t="s">
        <v>515</v>
      </c>
      <c r="D2336" s="1" t="s">
        <v>185</v>
      </c>
      <c r="E2336" s="26" t="e">
        <f t="shared" ref="E2336:F2336" si="3492">+E2335</f>
        <v>#REF!</v>
      </c>
      <c r="F2336" s="26" t="e">
        <f t="shared" si="3492"/>
        <v>#REF!</v>
      </c>
      <c r="G2336" s="17">
        <v>7</v>
      </c>
      <c r="H2336" s="17" t="s">
        <v>9</v>
      </c>
      <c r="I2336" s="30" t="s">
        <v>36</v>
      </c>
      <c r="J2336" s="22"/>
      <c r="K2336" s="22"/>
      <c r="L2336" s="8">
        <f t="shared" si="3483"/>
        <v>0</v>
      </c>
      <c r="M2336" s="24">
        <f t="shared" si="3439"/>
        <v>0</v>
      </c>
      <c r="N2336" s="14"/>
    </row>
    <row r="2337" spans="1:14" x14ac:dyDescent="0.25">
      <c r="A2337" s="20">
        <v>44608</v>
      </c>
      <c r="B2337" s="1">
        <f t="shared" ref="B2337" si="3493">B2330</f>
        <v>195</v>
      </c>
      <c r="C2337" s="1" t="s">
        <v>515</v>
      </c>
      <c r="D2337" s="1" t="s">
        <v>185</v>
      </c>
      <c r="E2337" s="26" t="e">
        <f>+E2336</f>
        <v>#REF!</v>
      </c>
      <c r="F2337" s="26" t="e">
        <f>+F2336</f>
        <v>#REF!</v>
      </c>
      <c r="G2337" s="17">
        <v>8</v>
      </c>
      <c r="H2337" s="17" t="s">
        <v>9</v>
      </c>
      <c r="I2337" s="30" t="s">
        <v>59</v>
      </c>
      <c r="J2337" s="22">
        <v>0.65</v>
      </c>
      <c r="K2337" s="22">
        <v>0.55000000000000004</v>
      </c>
      <c r="L2337" s="8">
        <f t="shared" si="3483"/>
        <v>9.9999999999999978E-2</v>
      </c>
      <c r="M2337" s="24">
        <f t="shared" si="3439"/>
        <v>2.5157232704402506E-3</v>
      </c>
      <c r="N2337" s="14"/>
    </row>
    <row r="2338" spans="1:14" x14ac:dyDescent="0.25">
      <c r="A2338" s="20">
        <v>44608</v>
      </c>
      <c r="B2338" s="1">
        <f t="shared" ref="B2338" si="3494">B2330</f>
        <v>195</v>
      </c>
      <c r="C2338" s="1" t="s">
        <v>515</v>
      </c>
      <c r="D2338" s="1" t="s">
        <v>185</v>
      </c>
      <c r="E2338" s="26" t="e">
        <f t="shared" ref="E2338:F2338" si="3495">+E2337</f>
        <v>#REF!</v>
      </c>
      <c r="F2338" s="26" t="e">
        <f t="shared" si="3495"/>
        <v>#REF!</v>
      </c>
      <c r="G2338" s="17">
        <v>9</v>
      </c>
      <c r="H2338" s="17" t="s">
        <v>9</v>
      </c>
      <c r="I2338" s="30" t="s">
        <v>38</v>
      </c>
      <c r="J2338" s="22"/>
      <c r="K2338" s="22"/>
      <c r="L2338" s="8">
        <f t="shared" si="3483"/>
        <v>0</v>
      </c>
      <c r="M2338" s="24">
        <f t="shared" si="3439"/>
        <v>0</v>
      </c>
      <c r="N2338" s="14"/>
    </row>
    <row r="2339" spans="1:14" x14ac:dyDescent="0.25">
      <c r="A2339" s="20">
        <v>44608</v>
      </c>
      <c r="B2339" s="1">
        <f t="shared" ref="B2339" si="3496">B2330</f>
        <v>195</v>
      </c>
      <c r="C2339" s="1" t="s">
        <v>515</v>
      </c>
      <c r="D2339" s="1" t="s">
        <v>185</v>
      </c>
      <c r="E2339" s="26" t="e">
        <f t="shared" ref="E2339:F2339" si="3497">+E2338</f>
        <v>#REF!</v>
      </c>
      <c r="F2339" s="26" t="e">
        <f t="shared" si="3497"/>
        <v>#REF!</v>
      </c>
      <c r="G2339" s="17">
        <v>10</v>
      </c>
      <c r="H2339" s="17" t="s">
        <v>9</v>
      </c>
      <c r="I2339" s="30" t="s">
        <v>23</v>
      </c>
      <c r="J2339" s="22">
        <f>1.2+0.75</f>
        <v>1.95</v>
      </c>
      <c r="K2339" s="22">
        <f>0.5+0.55</f>
        <v>1.05</v>
      </c>
      <c r="L2339" s="8">
        <f t="shared" si="3483"/>
        <v>0.89999999999999991</v>
      </c>
      <c r="M2339" s="24">
        <f t="shared" si="3439"/>
        <v>2.2641509433962259E-2</v>
      </c>
      <c r="N2339" s="14"/>
    </row>
    <row r="2340" spans="1:14" x14ac:dyDescent="0.25">
      <c r="A2340" s="20">
        <v>44608</v>
      </c>
      <c r="B2340" s="1">
        <f t="shared" ref="B2340" si="3498">B2330</f>
        <v>195</v>
      </c>
      <c r="C2340" s="1" t="s">
        <v>515</v>
      </c>
      <c r="D2340" s="1" t="s">
        <v>185</v>
      </c>
      <c r="E2340" s="26" t="e">
        <f t="shared" ref="E2340:F2340" si="3499">+E2339</f>
        <v>#REF!</v>
      </c>
      <c r="F2340" s="26" t="e">
        <f t="shared" si="3499"/>
        <v>#REF!</v>
      </c>
      <c r="G2340" s="17">
        <v>11</v>
      </c>
      <c r="H2340" s="17" t="s">
        <v>9</v>
      </c>
      <c r="I2340" s="30" t="s">
        <v>60</v>
      </c>
      <c r="J2340" s="22">
        <v>0.75</v>
      </c>
      <c r="K2340" s="22">
        <v>0.55000000000000004</v>
      </c>
      <c r="L2340" s="8">
        <f t="shared" si="3483"/>
        <v>0.19999999999999996</v>
      </c>
      <c r="M2340" s="24">
        <f t="shared" si="3439"/>
        <v>5.0314465408805012E-3</v>
      </c>
      <c r="N2340" s="14"/>
    </row>
    <row r="2341" spans="1:14" ht="15.75" thickBot="1" x14ac:dyDescent="0.3">
      <c r="A2341" s="20">
        <v>44608</v>
      </c>
      <c r="B2341" s="57">
        <f t="shared" ref="B2341" si="3500">B2330</f>
        <v>195</v>
      </c>
      <c r="C2341" s="1" t="s">
        <v>515</v>
      </c>
      <c r="D2341" s="1" t="s">
        <v>185</v>
      </c>
      <c r="E2341" s="26" t="e">
        <f t="shared" ref="E2341:F2341" si="3501">+E2340</f>
        <v>#REF!</v>
      </c>
      <c r="F2341" s="26" t="e">
        <f t="shared" si="3501"/>
        <v>#REF!</v>
      </c>
      <c r="G2341" s="18">
        <f>+G2340+1</f>
        <v>12</v>
      </c>
      <c r="H2341" s="18" t="s">
        <v>10</v>
      </c>
      <c r="I2341" s="46" t="s">
        <v>10</v>
      </c>
      <c r="J2341" s="22">
        <f>1.35+0.55+11.2</f>
        <v>13.1</v>
      </c>
      <c r="K2341" s="63">
        <f>8.55</f>
        <v>8.5500000000000007</v>
      </c>
      <c r="L2341" s="8">
        <f t="shared" si="3483"/>
        <v>4.5499999999999989</v>
      </c>
      <c r="M2341" s="24">
        <f t="shared" si="3439"/>
        <v>0.11446540880503139</v>
      </c>
      <c r="N2341" s="14" t="s">
        <v>514</v>
      </c>
    </row>
    <row r="2342" spans="1:14" x14ac:dyDescent="0.25">
      <c r="A2342" s="19">
        <v>44608</v>
      </c>
      <c r="B2342" s="15">
        <f t="shared" ref="B2342" si="3502">B2330+1</f>
        <v>196</v>
      </c>
      <c r="C2342" s="15" t="s">
        <v>516</v>
      </c>
      <c r="D2342" s="15" t="s">
        <v>185</v>
      </c>
      <c r="E2342" s="25">
        <f>47.6-1.2</f>
        <v>46.4</v>
      </c>
      <c r="F2342" s="25">
        <f>+SUM(L2342:L2353)</f>
        <v>45.000000000000014</v>
      </c>
      <c r="G2342" s="16">
        <v>1</v>
      </c>
      <c r="H2342" s="16" t="s">
        <v>9</v>
      </c>
      <c r="I2342" s="59" t="s">
        <v>56</v>
      </c>
      <c r="J2342" s="21">
        <v>0.7</v>
      </c>
      <c r="K2342" s="21">
        <v>0.55000000000000004</v>
      </c>
      <c r="L2342" s="12">
        <f>+J2342-K2342</f>
        <v>0.14999999999999991</v>
      </c>
      <c r="M2342" s="23">
        <f t="shared" si="3439"/>
        <v>3.3333333333333305E-3</v>
      </c>
      <c r="N2342" s="13"/>
    </row>
    <row r="2343" spans="1:14" x14ac:dyDescent="0.25">
      <c r="A2343" s="20">
        <v>44608</v>
      </c>
      <c r="B2343" s="1">
        <f t="shared" ref="B2343" si="3503">B2342</f>
        <v>196</v>
      </c>
      <c r="C2343" s="1" t="s">
        <v>516</v>
      </c>
      <c r="D2343" s="1" t="s">
        <v>185</v>
      </c>
      <c r="E2343" s="26">
        <f>+E2342</f>
        <v>46.4</v>
      </c>
      <c r="F2343" s="28">
        <f>+(F2342-E2342)/E2342</f>
        <v>-3.0172413793103113E-2</v>
      </c>
      <c r="G2343" s="17">
        <v>2</v>
      </c>
      <c r="H2343" s="17" t="s">
        <v>9</v>
      </c>
      <c r="I2343" s="30" t="s">
        <v>57</v>
      </c>
      <c r="J2343" s="22">
        <f>0.75+0.8</f>
        <v>1.55</v>
      </c>
      <c r="K2343" s="22">
        <f>0.55+0.55</f>
        <v>1.1000000000000001</v>
      </c>
      <c r="L2343" s="8">
        <f t="shared" ref="L2343:L2353" si="3504">+J2343-K2343</f>
        <v>0.44999999999999996</v>
      </c>
      <c r="M2343" s="24">
        <f t="shared" si="3439"/>
        <v>9.999999999999995E-3</v>
      </c>
      <c r="N2343" s="14"/>
    </row>
    <row r="2344" spans="1:14" x14ac:dyDescent="0.25">
      <c r="A2344" s="20">
        <v>44608</v>
      </c>
      <c r="B2344" s="1">
        <f t="shared" ref="B2344" si="3505">B2342</f>
        <v>196</v>
      </c>
      <c r="C2344" s="1" t="s">
        <v>516</v>
      </c>
      <c r="D2344" s="1" t="s">
        <v>185</v>
      </c>
      <c r="E2344" s="26" t="e">
        <f>+#REF!</f>
        <v>#REF!</v>
      </c>
      <c r="F2344" s="26" t="e">
        <f>+#REF!</f>
        <v>#REF!</v>
      </c>
      <c r="G2344" s="17">
        <v>3</v>
      </c>
      <c r="H2344" s="17" t="s">
        <v>9</v>
      </c>
      <c r="I2344" s="30" t="s">
        <v>58</v>
      </c>
      <c r="J2344" s="22">
        <v>0.8</v>
      </c>
      <c r="K2344" s="22">
        <v>0.55000000000000004</v>
      </c>
      <c r="L2344" s="8">
        <f t="shared" si="3504"/>
        <v>0.25</v>
      </c>
      <c r="M2344" s="24">
        <f t="shared" si="3439"/>
        <v>5.555555555555554E-3</v>
      </c>
      <c r="N2344" s="14"/>
    </row>
    <row r="2345" spans="1:14" x14ac:dyDescent="0.25">
      <c r="A2345" s="20">
        <v>44608</v>
      </c>
      <c r="B2345" s="1">
        <f t="shared" ref="B2345" si="3506">B2342</f>
        <v>196</v>
      </c>
      <c r="C2345" s="1" t="s">
        <v>516</v>
      </c>
      <c r="D2345" s="1" t="s">
        <v>185</v>
      </c>
      <c r="E2345" s="26" t="e">
        <f t="shared" ref="E2345:F2345" si="3507">+E2344</f>
        <v>#REF!</v>
      </c>
      <c r="F2345" s="26" t="e">
        <f t="shared" si="3507"/>
        <v>#REF!</v>
      </c>
      <c r="G2345" s="17">
        <v>4</v>
      </c>
      <c r="H2345" s="17" t="s">
        <v>9</v>
      </c>
      <c r="I2345" s="30" t="s">
        <v>22</v>
      </c>
      <c r="J2345" s="22">
        <f>1.65</f>
        <v>1.65</v>
      </c>
      <c r="K2345" s="22">
        <f>0.55</f>
        <v>0.55000000000000004</v>
      </c>
      <c r="L2345" s="8">
        <f t="shared" si="3504"/>
        <v>1.0999999999999999</v>
      </c>
      <c r="M2345" s="24">
        <f t="shared" si="3439"/>
        <v>2.4444444444444435E-2</v>
      </c>
      <c r="N2345" s="14"/>
    </row>
    <row r="2346" spans="1:14" x14ac:dyDescent="0.25">
      <c r="A2346" s="20">
        <v>44608</v>
      </c>
      <c r="B2346" s="1">
        <f t="shared" ref="B2346" si="3508">B2342</f>
        <v>196</v>
      </c>
      <c r="C2346" s="1" t="s">
        <v>516</v>
      </c>
      <c r="D2346" s="1" t="s">
        <v>185</v>
      </c>
      <c r="E2346" s="26" t="e">
        <f t="shared" ref="E2346:F2346" si="3509">+E2345</f>
        <v>#REF!</v>
      </c>
      <c r="F2346" s="26" t="e">
        <f t="shared" si="3509"/>
        <v>#REF!</v>
      </c>
      <c r="G2346" s="17">
        <v>5</v>
      </c>
      <c r="H2346" s="17" t="s">
        <v>9</v>
      </c>
      <c r="I2346" s="30" t="s">
        <v>34</v>
      </c>
      <c r="J2346" s="22">
        <f>14.7+14+14.9+15+13.1+14.3+11.65</f>
        <v>97.65</v>
      </c>
      <c r="K2346" s="63">
        <f>8.3+8.55+8.55+8.55+8.55+8.5+8.55</f>
        <v>59.55</v>
      </c>
      <c r="L2346" s="8">
        <f t="shared" si="3504"/>
        <v>38.100000000000009</v>
      </c>
      <c r="M2346" s="24">
        <f t="shared" si="3439"/>
        <v>0.84666666666666657</v>
      </c>
      <c r="N2346" s="14"/>
    </row>
    <row r="2347" spans="1:14" x14ac:dyDescent="0.25">
      <c r="A2347" s="20">
        <v>44608</v>
      </c>
      <c r="B2347" s="1">
        <f t="shared" ref="B2347" si="3510">B2342</f>
        <v>196</v>
      </c>
      <c r="C2347" s="1" t="s">
        <v>516</v>
      </c>
      <c r="D2347" s="1" t="s">
        <v>185</v>
      </c>
      <c r="E2347" s="26" t="e">
        <f t="shared" ref="E2347:F2347" si="3511">+E2346</f>
        <v>#REF!</v>
      </c>
      <c r="F2347" s="26" t="e">
        <f t="shared" si="3511"/>
        <v>#REF!</v>
      </c>
      <c r="G2347" s="17">
        <v>6</v>
      </c>
      <c r="H2347" s="17" t="s">
        <v>9</v>
      </c>
      <c r="I2347" s="30" t="s">
        <v>35</v>
      </c>
      <c r="J2347" s="22">
        <v>0.85</v>
      </c>
      <c r="K2347" s="22">
        <v>0.55000000000000004</v>
      </c>
      <c r="L2347" s="8">
        <f t="shared" si="3504"/>
        <v>0.29999999999999993</v>
      </c>
      <c r="M2347" s="24">
        <f t="shared" si="3439"/>
        <v>6.6666666666666628E-3</v>
      </c>
      <c r="N2347" s="14"/>
    </row>
    <row r="2348" spans="1:14" x14ac:dyDescent="0.25">
      <c r="A2348" s="20">
        <v>44608</v>
      </c>
      <c r="B2348" s="1">
        <f t="shared" ref="B2348" si="3512">B2342</f>
        <v>196</v>
      </c>
      <c r="C2348" s="1" t="s">
        <v>516</v>
      </c>
      <c r="D2348" s="1" t="s">
        <v>185</v>
      </c>
      <c r="E2348" s="26" t="e">
        <f t="shared" ref="E2348:F2348" si="3513">+E2347</f>
        <v>#REF!</v>
      </c>
      <c r="F2348" s="26" t="e">
        <f t="shared" si="3513"/>
        <v>#REF!</v>
      </c>
      <c r="G2348" s="17">
        <v>7</v>
      </c>
      <c r="H2348" s="17" t="s">
        <v>9</v>
      </c>
      <c r="I2348" s="30" t="s">
        <v>36</v>
      </c>
      <c r="J2348" s="22"/>
      <c r="K2348" s="22"/>
      <c r="L2348" s="8">
        <f t="shared" si="3504"/>
        <v>0</v>
      </c>
      <c r="M2348" s="24">
        <f t="shared" si="3439"/>
        <v>0</v>
      </c>
      <c r="N2348" s="14"/>
    </row>
    <row r="2349" spans="1:14" x14ac:dyDescent="0.25">
      <c r="A2349" s="20">
        <v>44608</v>
      </c>
      <c r="B2349" s="1">
        <f t="shared" ref="B2349" si="3514">B2342</f>
        <v>196</v>
      </c>
      <c r="C2349" s="1" t="s">
        <v>516</v>
      </c>
      <c r="D2349" s="1" t="s">
        <v>185</v>
      </c>
      <c r="E2349" s="26" t="e">
        <f>+E2348</f>
        <v>#REF!</v>
      </c>
      <c r="F2349" s="26" t="e">
        <f>+F2348</f>
        <v>#REF!</v>
      </c>
      <c r="G2349" s="17">
        <v>8</v>
      </c>
      <c r="H2349" s="17" t="s">
        <v>9</v>
      </c>
      <c r="I2349" s="30" t="s">
        <v>59</v>
      </c>
      <c r="J2349" s="22">
        <v>0.6</v>
      </c>
      <c r="K2349" s="22">
        <v>0.5</v>
      </c>
      <c r="L2349" s="8">
        <f t="shared" si="3504"/>
        <v>9.9999999999999978E-2</v>
      </c>
      <c r="M2349" s="24">
        <f t="shared" si="3439"/>
        <v>2.2222222222222209E-3</v>
      </c>
      <c r="N2349" s="14"/>
    </row>
    <row r="2350" spans="1:14" x14ac:dyDescent="0.25">
      <c r="A2350" s="20">
        <v>44608</v>
      </c>
      <c r="B2350" s="1">
        <f t="shared" ref="B2350" si="3515">B2342</f>
        <v>196</v>
      </c>
      <c r="C2350" s="1" t="s">
        <v>516</v>
      </c>
      <c r="D2350" s="1" t="s">
        <v>185</v>
      </c>
      <c r="E2350" s="26" t="e">
        <f t="shared" ref="E2350:F2350" si="3516">+E2349</f>
        <v>#REF!</v>
      </c>
      <c r="F2350" s="26" t="e">
        <f t="shared" si="3516"/>
        <v>#REF!</v>
      </c>
      <c r="G2350" s="17">
        <v>9</v>
      </c>
      <c r="H2350" s="17" t="s">
        <v>9</v>
      </c>
      <c r="I2350" s="30" t="s">
        <v>38</v>
      </c>
      <c r="J2350" s="22"/>
      <c r="K2350" s="22"/>
      <c r="L2350" s="8">
        <f t="shared" si="3504"/>
        <v>0</v>
      </c>
      <c r="M2350" s="24">
        <f t="shared" si="3439"/>
        <v>0</v>
      </c>
      <c r="N2350" s="14"/>
    </row>
    <row r="2351" spans="1:14" x14ac:dyDescent="0.25">
      <c r="A2351" s="20">
        <v>44608</v>
      </c>
      <c r="B2351" s="1">
        <f t="shared" ref="B2351" si="3517">B2342</f>
        <v>196</v>
      </c>
      <c r="C2351" s="1" t="s">
        <v>516</v>
      </c>
      <c r="D2351" s="1" t="s">
        <v>185</v>
      </c>
      <c r="E2351" s="26" t="e">
        <f t="shared" ref="E2351:F2351" si="3518">+E2350</f>
        <v>#REF!</v>
      </c>
      <c r="F2351" s="26" t="e">
        <f t="shared" si="3518"/>
        <v>#REF!</v>
      </c>
      <c r="G2351" s="17">
        <v>10</v>
      </c>
      <c r="H2351" s="17" t="s">
        <v>9</v>
      </c>
      <c r="I2351" s="30" t="s">
        <v>23</v>
      </c>
      <c r="J2351" s="22">
        <v>1.5</v>
      </c>
      <c r="K2351" s="22">
        <v>0.55000000000000004</v>
      </c>
      <c r="L2351" s="8">
        <f t="shared" si="3504"/>
        <v>0.95</v>
      </c>
      <c r="M2351" s="24">
        <f t="shared" si="3439"/>
        <v>2.1111111111111105E-2</v>
      </c>
      <c r="N2351" s="14"/>
    </row>
    <row r="2352" spans="1:14" x14ac:dyDescent="0.25">
      <c r="A2352" s="20">
        <v>44608</v>
      </c>
      <c r="B2352" s="1">
        <f t="shared" ref="B2352" si="3519">B2342</f>
        <v>196</v>
      </c>
      <c r="C2352" s="1" t="s">
        <v>516</v>
      </c>
      <c r="D2352" s="1" t="s">
        <v>185</v>
      </c>
      <c r="E2352" s="26" t="e">
        <f t="shared" ref="E2352:F2352" si="3520">+E2351</f>
        <v>#REF!</v>
      </c>
      <c r="F2352" s="26" t="e">
        <f t="shared" si="3520"/>
        <v>#REF!</v>
      </c>
      <c r="G2352" s="17">
        <v>11</v>
      </c>
      <c r="H2352" s="17" t="s">
        <v>9</v>
      </c>
      <c r="I2352" s="30" t="s">
        <v>60</v>
      </c>
      <c r="J2352" s="22"/>
      <c r="K2352" s="22"/>
      <c r="L2352" s="8">
        <f t="shared" si="3504"/>
        <v>0</v>
      </c>
      <c r="M2352" s="24">
        <f t="shared" si="3439"/>
        <v>0</v>
      </c>
      <c r="N2352" s="14"/>
    </row>
    <row r="2353" spans="1:14" ht="15.75" thickBot="1" x14ac:dyDescent="0.3">
      <c r="A2353" s="20">
        <v>44608</v>
      </c>
      <c r="B2353" s="57">
        <f t="shared" ref="B2353" si="3521">B2342</f>
        <v>196</v>
      </c>
      <c r="C2353" s="1" t="s">
        <v>516</v>
      </c>
      <c r="D2353" s="1" t="s">
        <v>185</v>
      </c>
      <c r="E2353" s="26" t="e">
        <f t="shared" ref="E2353:F2353" si="3522">+E2352</f>
        <v>#REF!</v>
      </c>
      <c r="F2353" s="26" t="e">
        <f t="shared" si="3522"/>
        <v>#REF!</v>
      </c>
      <c r="G2353" s="18">
        <f>+G2352+1</f>
        <v>12</v>
      </c>
      <c r="H2353" s="18" t="s">
        <v>10</v>
      </c>
      <c r="I2353" s="46" t="s">
        <v>10</v>
      </c>
      <c r="J2353" s="22">
        <v>12.15</v>
      </c>
      <c r="K2353" s="22">
        <v>8.5500000000000007</v>
      </c>
      <c r="L2353" s="8">
        <f t="shared" si="3504"/>
        <v>3.5999999999999996</v>
      </c>
      <c r="M2353" s="24">
        <f t="shared" si="3439"/>
        <v>7.999999999999996E-2</v>
      </c>
      <c r="N2353" s="14"/>
    </row>
    <row r="2354" spans="1:14" x14ac:dyDescent="0.25">
      <c r="A2354" s="19">
        <v>44608</v>
      </c>
      <c r="B2354" s="15">
        <f t="shared" ref="B2354" si="3523">B2342+1</f>
        <v>197</v>
      </c>
      <c r="C2354" s="15" t="s">
        <v>517</v>
      </c>
      <c r="D2354" s="15" t="s">
        <v>182</v>
      </c>
      <c r="E2354" s="25">
        <f>31.2-1.2</f>
        <v>30</v>
      </c>
      <c r="F2354" s="25">
        <f>+SUM(L2354:L2365)</f>
        <v>29.549999999999997</v>
      </c>
      <c r="G2354" s="16">
        <v>1</v>
      </c>
      <c r="H2354" s="16" t="s">
        <v>9</v>
      </c>
      <c r="I2354" s="59" t="s">
        <v>56</v>
      </c>
      <c r="J2354" s="21">
        <f>12.5+11.25+11.05</f>
        <v>34.799999999999997</v>
      </c>
      <c r="K2354" s="21">
        <f>8.3+8.5+8.55</f>
        <v>25.35</v>
      </c>
      <c r="L2354" s="12">
        <f>+J2354-K2354</f>
        <v>9.4499999999999957</v>
      </c>
      <c r="M2354" s="23">
        <f t="shared" si="3439"/>
        <v>0.31979695431472072</v>
      </c>
      <c r="N2354" s="13"/>
    </row>
    <row r="2355" spans="1:14" x14ac:dyDescent="0.25">
      <c r="A2355" s="20">
        <v>44608</v>
      </c>
      <c r="B2355" s="1">
        <f t="shared" ref="B2355" si="3524">B2354</f>
        <v>197</v>
      </c>
      <c r="C2355" s="1" t="s">
        <v>517</v>
      </c>
      <c r="D2355" s="1" t="s">
        <v>182</v>
      </c>
      <c r="E2355" s="26">
        <f>+E2354</f>
        <v>30</v>
      </c>
      <c r="F2355" s="28">
        <f>+(F2354-E2354)/E2354</f>
        <v>-1.5000000000000095E-2</v>
      </c>
      <c r="G2355" s="17">
        <v>2</v>
      </c>
      <c r="H2355" s="17" t="s">
        <v>9</v>
      </c>
      <c r="I2355" s="30" t="s">
        <v>57</v>
      </c>
      <c r="J2355" s="22">
        <f>12.55+11.5+13.2+12.35</f>
        <v>49.6</v>
      </c>
      <c r="K2355" s="22">
        <f>8.55+8.55+8.55+8.5</f>
        <v>34.150000000000006</v>
      </c>
      <c r="L2355" s="8">
        <f t="shared" ref="L2355:L2365" si="3525">+J2355-K2355</f>
        <v>15.449999999999996</v>
      </c>
      <c r="M2355" s="24">
        <f t="shared" si="3439"/>
        <v>0.52284263959390853</v>
      </c>
      <c r="N2355" s="14"/>
    </row>
    <row r="2356" spans="1:14" x14ac:dyDescent="0.25">
      <c r="A2356" s="20">
        <v>44608</v>
      </c>
      <c r="B2356" s="1">
        <f t="shared" ref="B2356" si="3526">B2354</f>
        <v>197</v>
      </c>
      <c r="C2356" s="1" t="s">
        <v>517</v>
      </c>
      <c r="D2356" s="1" t="s">
        <v>182</v>
      </c>
      <c r="E2356" s="26" t="e">
        <f>+#REF!</f>
        <v>#REF!</v>
      </c>
      <c r="F2356" s="26" t="e">
        <f>+#REF!</f>
        <v>#REF!</v>
      </c>
      <c r="G2356" s="17">
        <v>3</v>
      </c>
      <c r="H2356" s="17" t="s">
        <v>9</v>
      </c>
      <c r="I2356" s="30" t="s">
        <v>58</v>
      </c>
      <c r="J2356" s="22">
        <v>10.65</v>
      </c>
      <c r="K2356" s="22">
        <v>8.5500000000000007</v>
      </c>
      <c r="L2356" s="8">
        <f t="shared" si="3525"/>
        <v>2.0999999999999996</v>
      </c>
      <c r="M2356" s="24">
        <f t="shared" si="3439"/>
        <v>7.1065989847715727E-2</v>
      </c>
      <c r="N2356" s="14"/>
    </row>
    <row r="2357" spans="1:14" x14ac:dyDescent="0.25">
      <c r="A2357" s="20">
        <v>44608</v>
      </c>
      <c r="B2357" s="1">
        <f t="shared" ref="B2357" si="3527">B2354</f>
        <v>197</v>
      </c>
      <c r="C2357" s="1" t="s">
        <v>517</v>
      </c>
      <c r="D2357" s="1" t="s">
        <v>182</v>
      </c>
      <c r="E2357" s="26" t="e">
        <f t="shared" ref="E2357:F2357" si="3528">+E2356</f>
        <v>#REF!</v>
      </c>
      <c r="F2357" s="26" t="e">
        <f t="shared" si="3528"/>
        <v>#REF!</v>
      </c>
      <c r="G2357" s="17">
        <v>4</v>
      </c>
      <c r="H2357" s="17" t="s">
        <v>9</v>
      </c>
      <c r="I2357" s="30" t="s">
        <v>22</v>
      </c>
      <c r="J2357" s="22">
        <v>0.6</v>
      </c>
      <c r="K2357" s="22">
        <v>0.55000000000000004</v>
      </c>
      <c r="L2357" s="8">
        <f t="shared" si="3525"/>
        <v>4.9999999999999933E-2</v>
      </c>
      <c r="M2357" s="24">
        <f t="shared" si="3439"/>
        <v>1.6920473773265631E-3</v>
      </c>
      <c r="N2357" s="14"/>
    </row>
    <row r="2358" spans="1:14" x14ac:dyDescent="0.25">
      <c r="A2358" s="20">
        <v>44608</v>
      </c>
      <c r="B2358" s="1">
        <f t="shared" ref="B2358" si="3529">B2354</f>
        <v>197</v>
      </c>
      <c r="C2358" s="1" t="s">
        <v>517</v>
      </c>
      <c r="D2358" s="1" t="s">
        <v>182</v>
      </c>
      <c r="E2358" s="26" t="e">
        <f t="shared" ref="E2358:F2358" si="3530">+E2357</f>
        <v>#REF!</v>
      </c>
      <c r="F2358" s="26" t="e">
        <f t="shared" si="3530"/>
        <v>#REF!</v>
      </c>
      <c r="G2358" s="17">
        <v>5</v>
      </c>
      <c r="H2358" s="17" t="s">
        <v>9</v>
      </c>
      <c r="I2358" s="30" t="s">
        <v>34</v>
      </c>
      <c r="J2358" s="22">
        <f>0.7</f>
        <v>0.7</v>
      </c>
      <c r="K2358" s="63">
        <f>0.55</f>
        <v>0.55000000000000004</v>
      </c>
      <c r="L2358" s="8">
        <f t="shared" si="3525"/>
        <v>0.14999999999999991</v>
      </c>
      <c r="M2358" s="24">
        <f t="shared" si="3439"/>
        <v>5.0761421319796933E-3</v>
      </c>
      <c r="N2358" s="14"/>
    </row>
    <row r="2359" spans="1:14" x14ac:dyDescent="0.25">
      <c r="A2359" s="20">
        <v>44608</v>
      </c>
      <c r="B2359" s="1">
        <f t="shared" ref="B2359" si="3531">B2354</f>
        <v>197</v>
      </c>
      <c r="C2359" s="1" t="s">
        <v>517</v>
      </c>
      <c r="D2359" s="1" t="s">
        <v>182</v>
      </c>
      <c r="E2359" s="26" t="e">
        <f t="shared" ref="E2359:F2359" si="3532">+E2358</f>
        <v>#REF!</v>
      </c>
      <c r="F2359" s="26" t="e">
        <f t="shared" si="3532"/>
        <v>#REF!</v>
      </c>
      <c r="G2359" s="17">
        <v>6</v>
      </c>
      <c r="H2359" s="17" t="s">
        <v>9</v>
      </c>
      <c r="I2359" s="30" t="s">
        <v>35</v>
      </c>
      <c r="J2359" s="22"/>
      <c r="K2359" s="22"/>
      <c r="L2359" s="8">
        <f t="shared" si="3525"/>
        <v>0</v>
      </c>
      <c r="M2359" s="24">
        <f t="shared" si="3439"/>
        <v>0</v>
      </c>
      <c r="N2359" s="14"/>
    </row>
    <row r="2360" spans="1:14" x14ac:dyDescent="0.25">
      <c r="A2360" s="20">
        <v>44608</v>
      </c>
      <c r="B2360" s="1">
        <f t="shared" ref="B2360" si="3533">B2354</f>
        <v>197</v>
      </c>
      <c r="C2360" s="1" t="s">
        <v>517</v>
      </c>
      <c r="D2360" s="1" t="s">
        <v>182</v>
      </c>
      <c r="E2360" s="26" t="e">
        <f t="shared" ref="E2360:F2360" si="3534">+E2359</f>
        <v>#REF!</v>
      </c>
      <c r="F2360" s="26" t="e">
        <f t="shared" si="3534"/>
        <v>#REF!</v>
      </c>
      <c r="G2360" s="17">
        <v>7</v>
      </c>
      <c r="H2360" s="17" t="s">
        <v>9</v>
      </c>
      <c r="I2360" s="30" t="s">
        <v>36</v>
      </c>
      <c r="J2360" s="22"/>
      <c r="K2360" s="22"/>
      <c r="L2360" s="8">
        <f t="shared" si="3525"/>
        <v>0</v>
      </c>
      <c r="M2360" s="24">
        <f t="shared" si="3439"/>
        <v>0</v>
      </c>
      <c r="N2360" s="14"/>
    </row>
    <row r="2361" spans="1:14" x14ac:dyDescent="0.25">
      <c r="A2361" s="20">
        <v>44608</v>
      </c>
      <c r="B2361" s="1">
        <f t="shared" ref="B2361" si="3535">B2354</f>
        <v>197</v>
      </c>
      <c r="C2361" s="1" t="s">
        <v>517</v>
      </c>
      <c r="D2361" s="1" t="s">
        <v>182</v>
      </c>
      <c r="E2361" s="26" t="e">
        <f>+E2360</f>
        <v>#REF!</v>
      </c>
      <c r="F2361" s="26" t="e">
        <f>+F2360</f>
        <v>#REF!</v>
      </c>
      <c r="G2361" s="17">
        <v>8</v>
      </c>
      <c r="H2361" s="17" t="s">
        <v>9</v>
      </c>
      <c r="I2361" s="30" t="s">
        <v>59</v>
      </c>
      <c r="J2361" s="22">
        <v>0.65</v>
      </c>
      <c r="K2361" s="22">
        <v>0.55000000000000004</v>
      </c>
      <c r="L2361" s="8">
        <f t="shared" si="3525"/>
        <v>9.9999999999999978E-2</v>
      </c>
      <c r="M2361" s="24">
        <f t="shared" si="3439"/>
        <v>3.3840947546531297E-3</v>
      </c>
      <c r="N2361" s="14"/>
    </row>
    <row r="2362" spans="1:14" x14ac:dyDescent="0.25">
      <c r="A2362" s="20">
        <v>44608</v>
      </c>
      <c r="B2362" s="1">
        <f t="shared" ref="B2362" si="3536">B2354</f>
        <v>197</v>
      </c>
      <c r="C2362" s="1" t="s">
        <v>517</v>
      </c>
      <c r="D2362" s="1" t="s">
        <v>182</v>
      </c>
      <c r="E2362" s="26" t="e">
        <f t="shared" ref="E2362:F2362" si="3537">+E2361</f>
        <v>#REF!</v>
      </c>
      <c r="F2362" s="26" t="e">
        <f t="shared" si="3537"/>
        <v>#REF!</v>
      </c>
      <c r="G2362" s="17">
        <v>9</v>
      </c>
      <c r="H2362" s="17" t="s">
        <v>9</v>
      </c>
      <c r="I2362" s="30" t="s">
        <v>38</v>
      </c>
      <c r="J2362" s="22"/>
      <c r="K2362" s="22"/>
      <c r="L2362" s="8">
        <f t="shared" si="3525"/>
        <v>0</v>
      </c>
      <c r="M2362" s="24">
        <f t="shared" si="3439"/>
        <v>0</v>
      </c>
      <c r="N2362" s="14"/>
    </row>
    <row r="2363" spans="1:14" x14ac:dyDescent="0.25">
      <c r="A2363" s="20">
        <v>44608</v>
      </c>
      <c r="B2363" s="1">
        <f t="shared" ref="B2363" si="3538">B2354</f>
        <v>197</v>
      </c>
      <c r="C2363" s="1" t="s">
        <v>517</v>
      </c>
      <c r="D2363" s="1" t="s">
        <v>182</v>
      </c>
      <c r="E2363" s="26" t="e">
        <f t="shared" ref="E2363:F2363" si="3539">+E2362</f>
        <v>#REF!</v>
      </c>
      <c r="F2363" s="26" t="e">
        <f t="shared" si="3539"/>
        <v>#REF!</v>
      </c>
      <c r="G2363" s="17">
        <v>10</v>
      </c>
      <c r="H2363" s="17" t="s">
        <v>9</v>
      </c>
      <c r="I2363" s="30" t="s">
        <v>23</v>
      </c>
      <c r="J2363" s="22">
        <v>0.9</v>
      </c>
      <c r="K2363" s="22">
        <v>0.55000000000000004</v>
      </c>
      <c r="L2363" s="8">
        <f t="shared" si="3525"/>
        <v>0.35</v>
      </c>
      <c r="M2363" s="24">
        <f t="shared" si="3439"/>
        <v>1.1844331641285956E-2</v>
      </c>
      <c r="N2363" s="14"/>
    </row>
    <row r="2364" spans="1:14" x14ac:dyDescent="0.25">
      <c r="A2364" s="20">
        <v>44608</v>
      </c>
      <c r="B2364" s="1">
        <f t="shared" ref="B2364" si="3540">B2354</f>
        <v>197</v>
      </c>
      <c r="C2364" s="1" t="s">
        <v>517</v>
      </c>
      <c r="D2364" s="1" t="s">
        <v>182</v>
      </c>
      <c r="E2364" s="26" t="e">
        <f t="shared" ref="E2364:F2364" si="3541">+E2363</f>
        <v>#REF!</v>
      </c>
      <c r="F2364" s="26" t="e">
        <f t="shared" si="3541"/>
        <v>#REF!</v>
      </c>
      <c r="G2364" s="17">
        <v>11</v>
      </c>
      <c r="H2364" s="17" t="s">
        <v>9</v>
      </c>
      <c r="I2364" s="30" t="s">
        <v>60</v>
      </c>
      <c r="J2364" s="22">
        <v>0.6</v>
      </c>
      <c r="K2364" s="22">
        <v>0.5</v>
      </c>
      <c r="L2364" s="8">
        <f t="shared" si="3525"/>
        <v>9.9999999999999978E-2</v>
      </c>
      <c r="M2364" s="24">
        <f t="shared" si="3439"/>
        <v>3.3840947546531297E-3</v>
      </c>
      <c r="N2364" s="14"/>
    </row>
    <row r="2365" spans="1:14" ht="15.75" thickBot="1" x14ac:dyDescent="0.3">
      <c r="A2365" s="20">
        <v>44608</v>
      </c>
      <c r="B2365" s="57">
        <f t="shared" ref="B2365" si="3542">B2354</f>
        <v>197</v>
      </c>
      <c r="C2365" s="1" t="s">
        <v>517</v>
      </c>
      <c r="D2365" s="1" t="s">
        <v>182</v>
      </c>
      <c r="E2365" s="26" t="e">
        <f t="shared" ref="E2365:F2365" si="3543">+E2364</f>
        <v>#REF!</v>
      </c>
      <c r="F2365" s="26" t="e">
        <f t="shared" si="3543"/>
        <v>#REF!</v>
      </c>
      <c r="G2365" s="18">
        <f>+G2364+1</f>
        <v>12</v>
      </c>
      <c r="H2365" s="18" t="s">
        <v>10</v>
      </c>
      <c r="I2365" s="46" t="s">
        <v>10</v>
      </c>
      <c r="J2365" s="22">
        <f>10.35</f>
        <v>10.35</v>
      </c>
      <c r="K2365" s="63">
        <f>8.55</f>
        <v>8.5500000000000007</v>
      </c>
      <c r="L2365" s="8">
        <f t="shared" si="3525"/>
        <v>1.7999999999999989</v>
      </c>
      <c r="M2365" s="24">
        <f t="shared" si="3439"/>
        <v>6.0913705583756313E-2</v>
      </c>
      <c r="N2365" s="14"/>
    </row>
    <row r="2366" spans="1:14" x14ac:dyDescent="0.25">
      <c r="A2366" s="19">
        <v>44608</v>
      </c>
      <c r="B2366" s="15">
        <f t="shared" ref="B2366" si="3544">B2354+1</f>
        <v>198</v>
      </c>
      <c r="C2366" s="15" t="s">
        <v>518</v>
      </c>
      <c r="D2366" s="15" t="s">
        <v>22</v>
      </c>
      <c r="E2366" s="25">
        <f>39.2-1.2</f>
        <v>38</v>
      </c>
      <c r="F2366" s="25">
        <f>+SUM(L2366:L2377)</f>
        <v>37.95000000000001</v>
      </c>
      <c r="G2366" s="16">
        <v>1</v>
      </c>
      <c r="H2366" s="16" t="s">
        <v>9</v>
      </c>
      <c r="I2366" s="59" t="s">
        <v>56</v>
      </c>
      <c r="J2366" s="21"/>
      <c r="K2366" s="21"/>
      <c r="L2366" s="12">
        <f>+J2366-K2366</f>
        <v>0</v>
      </c>
      <c r="M2366" s="23">
        <f t="shared" si="3439"/>
        <v>0</v>
      </c>
      <c r="N2366" s="13"/>
    </row>
    <row r="2367" spans="1:14" x14ac:dyDescent="0.25">
      <c r="A2367" s="20">
        <v>44608</v>
      </c>
      <c r="B2367" s="1">
        <f t="shared" ref="B2367" si="3545">B2366</f>
        <v>198</v>
      </c>
      <c r="C2367" s="1" t="s">
        <v>518</v>
      </c>
      <c r="D2367" s="1" t="s">
        <v>22</v>
      </c>
      <c r="E2367" s="26">
        <f>+E2366</f>
        <v>38</v>
      </c>
      <c r="F2367" s="28">
        <f>+(F2366-E2366)/E2366</f>
        <v>-1.3157894736839488E-3</v>
      </c>
      <c r="G2367" s="17">
        <v>2</v>
      </c>
      <c r="H2367" s="17" t="s">
        <v>9</v>
      </c>
      <c r="I2367" s="30" t="s">
        <v>57</v>
      </c>
      <c r="J2367" s="22">
        <f>0.75</f>
        <v>0.75</v>
      </c>
      <c r="K2367" s="22">
        <f>0.55</f>
        <v>0.55000000000000004</v>
      </c>
      <c r="L2367" s="8">
        <f t="shared" ref="L2367:L2377" si="3546">+J2367-K2367</f>
        <v>0.19999999999999996</v>
      </c>
      <c r="M2367" s="24">
        <f t="shared" si="3439"/>
        <v>5.2700922266139634E-3</v>
      </c>
      <c r="N2367" s="14"/>
    </row>
    <row r="2368" spans="1:14" x14ac:dyDescent="0.25">
      <c r="A2368" s="20">
        <v>44608</v>
      </c>
      <c r="B2368" s="1">
        <f t="shared" ref="B2368" si="3547">B2366</f>
        <v>198</v>
      </c>
      <c r="C2368" s="1" t="s">
        <v>518</v>
      </c>
      <c r="D2368" s="1" t="s">
        <v>22</v>
      </c>
      <c r="E2368" s="26" t="e">
        <f>+#REF!</f>
        <v>#REF!</v>
      </c>
      <c r="F2368" s="26" t="e">
        <f>+#REF!</f>
        <v>#REF!</v>
      </c>
      <c r="G2368" s="17">
        <v>3</v>
      </c>
      <c r="H2368" s="17" t="s">
        <v>9</v>
      </c>
      <c r="I2368" s="30" t="s">
        <v>58</v>
      </c>
      <c r="J2368" s="22">
        <f>1.85</f>
        <v>1.85</v>
      </c>
      <c r="K2368" s="22">
        <f>0.55*2</f>
        <v>1.1000000000000001</v>
      </c>
      <c r="L2368" s="8">
        <f t="shared" si="3546"/>
        <v>0.75</v>
      </c>
      <c r="M2368" s="24">
        <f t="shared" si="3439"/>
        <v>1.9762845849802365E-2</v>
      </c>
      <c r="N2368" s="14"/>
    </row>
    <row r="2369" spans="1:14" x14ac:dyDescent="0.25">
      <c r="A2369" s="20">
        <v>44608</v>
      </c>
      <c r="B2369" s="1">
        <f t="shared" ref="B2369" si="3548">B2366</f>
        <v>198</v>
      </c>
      <c r="C2369" s="1" t="s">
        <v>518</v>
      </c>
      <c r="D2369" s="1" t="s">
        <v>22</v>
      </c>
      <c r="E2369" s="26" t="e">
        <f t="shared" ref="E2369:F2369" si="3549">+E2368</f>
        <v>#REF!</v>
      </c>
      <c r="F2369" s="26" t="e">
        <f t="shared" si="3549"/>
        <v>#REF!</v>
      </c>
      <c r="G2369" s="17">
        <v>4</v>
      </c>
      <c r="H2369" s="17" t="s">
        <v>9</v>
      </c>
      <c r="I2369" s="30" t="s">
        <v>22</v>
      </c>
      <c r="J2369" s="22">
        <f>16.05+15.6+15.85+14.9+10.8+13</f>
        <v>86.2</v>
      </c>
      <c r="K2369" s="22">
        <f>8.3+8.55+8.5+8.55+8.55+8.55</f>
        <v>51</v>
      </c>
      <c r="L2369" s="8">
        <f t="shared" si="3546"/>
        <v>35.200000000000003</v>
      </c>
      <c r="M2369" s="24">
        <f t="shared" si="3439"/>
        <v>0.92753623188405776</v>
      </c>
      <c r="N2369" s="14"/>
    </row>
    <row r="2370" spans="1:14" x14ac:dyDescent="0.25">
      <c r="A2370" s="20">
        <v>44608</v>
      </c>
      <c r="B2370" s="1">
        <f t="shared" ref="B2370" si="3550">B2366</f>
        <v>198</v>
      </c>
      <c r="C2370" s="1" t="s">
        <v>518</v>
      </c>
      <c r="D2370" s="1" t="s">
        <v>22</v>
      </c>
      <c r="E2370" s="26" t="e">
        <f t="shared" ref="E2370:F2370" si="3551">+E2369</f>
        <v>#REF!</v>
      </c>
      <c r="F2370" s="26" t="e">
        <f t="shared" si="3551"/>
        <v>#REF!</v>
      </c>
      <c r="G2370" s="17">
        <v>5</v>
      </c>
      <c r="H2370" s="17" t="s">
        <v>9</v>
      </c>
      <c r="I2370" s="30" t="s">
        <v>34</v>
      </c>
      <c r="J2370" s="22"/>
      <c r="K2370" s="63"/>
      <c r="L2370" s="8">
        <f t="shared" si="3546"/>
        <v>0</v>
      </c>
      <c r="M2370" s="24">
        <f t="shared" ref="M2370:M2433" si="3552">+L2370/SUMIF(C:C,C2370,L:L)</f>
        <v>0</v>
      </c>
      <c r="N2370" s="14"/>
    </row>
    <row r="2371" spans="1:14" x14ac:dyDescent="0.25">
      <c r="A2371" s="20">
        <v>44608</v>
      </c>
      <c r="B2371" s="1">
        <f t="shared" ref="B2371" si="3553">B2366</f>
        <v>198</v>
      </c>
      <c r="C2371" s="1" t="s">
        <v>518</v>
      </c>
      <c r="D2371" s="1" t="s">
        <v>22</v>
      </c>
      <c r="E2371" s="26" t="e">
        <f t="shared" ref="E2371:F2371" si="3554">+E2370</f>
        <v>#REF!</v>
      </c>
      <c r="F2371" s="26" t="e">
        <f t="shared" si="3554"/>
        <v>#REF!</v>
      </c>
      <c r="G2371" s="17">
        <v>6</v>
      </c>
      <c r="H2371" s="17" t="s">
        <v>9</v>
      </c>
      <c r="I2371" s="30" t="s">
        <v>35</v>
      </c>
      <c r="J2371" s="22"/>
      <c r="K2371" s="22"/>
      <c r="L2371" s="8">
        <f t="shared" si="3546"/>
        <v>0</v>
      </c>
      <c r="M2371" s="24">
        <f t="shared" si="3552"/>
        <v>0</v>
      </c>
      <c r="N2371" s="14"/>
    </row>
    <row r="2372" spans="1:14" x14ac:dyDescent="0.25">
      <c r="A2372" s="20">
        <v>44608</v>
      </c>
      <c r="B2372" s="1">
        <f t="shared" ref="B2372" si="3555">B2366</f>
        <v>198</v>
      </c>
      <c r="C2372" s="1" t="s">
        <v>518</v>
      </c>
      <c r="D2372" s="1" t="s">
        <v>22</v>
      </c>
      <c r="E2372" s="26" t="e">
        <f t="shared" ref="E2372:F2372" si="3556">+E2371</f>
        <v>#REF!</v>
      </c>
      <c r="F2372" s="26" t="e">
        <f t="shared" si="3556"/>
        <v>#REF!</v>
      </c>
      <c r="G2372" s="17">
        <v>7</v>
      </c>
      <c r="H2372" s="17" t="s">
        <v>9</v>
      </c>
      <c r="I2372" s="30" t="s">
        <v>36</v>
      </c>
      <c r="J2372" s="22"/>
      <c r="K2372" s="22"/>
      <c r="L2372" s="8">
        <f t="shared" si="3546"/>
        <v>0</v>
      </c>
      <c r="M2372" s="24">
        <f t="shared" si="3552"/>
        <v>0</v>
      </c>
      <c r="N2372" s="14"/>
    </row>
    <row r="2373" spans="1:14" x14ac:dyDescent="0.25">
      <c r="A2373" s="20">
        <v>44608</v>
      </c>
      <c r="B2373" s="1">
        <f t="shared" ref="B2373" si="3557">B2366</f>
        <v>198</v>
      </c>
      <c r="C2373" s="1" t="s">
        <v>518</v>
      </c>
      <c r="D2373" s="1" t="s">
        <v>22</v>
      </c>
      <c r="E2373" s="26" t="e">
        <f>+E2372</f>
        <v>#REF!</v>
      </c>
      <c r="F2373" s="26" t="e">
        <f>+F2372</f>
        <v>#REF!</v>
      </c>
      <c r="G2373" s="17">
        <v>8</v>
      </c>
      <c r="H2373" s="17" t="s">
        <v>9</v>
      </c>
      <c r="I2373" s="30" t="s">
        <v>59</v>
      </c>
      <c r="J2373" s="22">
        <v>0.8</v>
      </c>
      <c r="K2373" s="22">
        <v>0.55000000000000004</v>
      </c>
      <c r="L2373" s="8">
        <f t="shared" si="3546"/>
        <v>0.25</v>
      </c>
      <c r="M2373" s="24">
        <f t="shared" si="3552"/>
        <v>6.5876152832674553E-3</v>
      </c>
      <c r="N2373" s="14"/>
    </row>
    <row r="2374" spans="1:14" x14ac:dyDescent="0.25">
      <c r="A2374" s="20">
        <v>44608</v>
      </c>
      <c r="B2374" s="1">
        <f t="shared" ref="B2374" si="3558">B2366</f>
        <v>198</v>
      </c>
      <c r="C2374" s="1" t="s">
        <v>518</v>
      </c>
      <c r="D2374" s="1" t="s">
        <v>22</v>
      </c>
      <c r="E2374" s="26" t="e">
        <f t="shared" ref="E2374:F2374" si="3559">+E2373</f>
        <v>#REF!</v>
      </c>
      <c r="F2374" s="26" t="e">
        <f t="shared" si="3559"/>
        <v>#REF!</v>
      </c>
      <c r="G2374" s="17">
        <v>9</v>
      </c>
      <c r="H2374" s="17" t="s">
        <v>9</v>
      </c>
      <c r="I2374" s="30" t="s">
        <v>38</v>
      </c>
      <c r="J2374" s="22"/>
      <c r="K2374" s="22"/>
      <c r="L2374" s="8">
        <f t="shared" si="3546"/>
        <v>0</v>
      </c>
      <c r="M2374" s="24">
        <f t="shared" si="3552"/>
        <v>0</v>
      </c>
      <c r="N2374" s="14"/>
    </row>
    <row r="2375" spans="1:14" x14ac:dyDescent="0.25">
      <c r="A2375" s="20">
        <v>44608</v>
      </c>
      <c r="B2375" s="1">
        <f t="shared" ref="B2375" si="3560">B2366</f>
        <v>198</v>
      </c>
      <c r="C2375" s="1" t="s">
        <v>518</v>
      </c>
      <c r="D2375" s="1" t="s">
        <v>22</v>
      </c>
      <c r="E2375" s="26" t="e">
        <f t="shared" ref="E2375:F2375" si="3561">+E2374</f>
        <v>#REF!</v>
      </c>
      <c r="F2375" s="26" t="e">
        <f t="shared" si="3561"/>
        <v>#REF!</v>
      </c>
      <c r="G2375" s="17">
        <v>10</v>
      </c>
      <c r="H2375" s="17" t="s">
        <v>9</v>
      </c>
      <c r="I2375" s="30" t="s">
        <v>23</v>
      </c>
      <c r="J2375" s="22">
        <f>1</f>
        <v>1</v>
      </c>
      <c r="K2375" s="22">
        <f>0.5</f>
        <v>0.5</v>
      </c>
      <c r="L2375" s="8">
        <f t="shared" si="3546"/>
        <v>0.5</v>
      </c>
      <c r="M2375" s="24">
        <f t="shared" si="3552"/>
        <v>1.3175230566534911E-2</v>
      </c>
      <c r="N2375" s="14"/>
    </row>
    <row r="2376" spans="1:14" x14ac:dyDescent="0.25">
      <c r="A2376" s="20">
        <v>44608</v>
      </c>
      <c r="B2376" s="1">
        <f t="shared" ref="B2376" si="3562">B2366</f>
        <v>198</v>
      </c>
      <c r="C2376" s="1" t="s">
        <v>518</v>
      </c>
      <c r="D2376" s="1" t="s">
        <v>22</v>
      </c>
      <c r="E2376" s="26" t="e">
        <f t="shared" ref="E2376:F2376" si="3563">+E2375</f>
        <v>#REF!</v>
      </c>
      <c r="F2376" s="26" t="e">
        <f t="shared" si="3563"/>
        <v>#REF!</v>
      </c>
      <c r="G2376" s="17">
        <v>11</v>
      </c>
      <c r="H2376" s="17" t="s">
        <v>9</v>
      </c>
      <c r="I2376" s="30" t="s">
        <v>60</v>
      </c>
      <c r="J2376" s="22">
        <v>0.65</v>
      </c>
      <c r="K2376" s="22">
        <v>0.55000000000000004</v>
      </c>
      <c r="L2376" s="8">
        <f t="shared" si="3546"/>
        <v>9.9999999999999978E-2</v>
      </c>
      <c r="M2376" s="24">
        <f t="shared" si="3552"/>
        <v>2.6350461133069817E-3</v>
      </c>
      <c r="N2376" s="14"/>
    </row>
    <row r="2377" spans="1:14" ht="15.75" thickBot="1" x14ac:dyDescent="0.3">
      <c r="A2377" s="20">
        <v>44608</v>
      </c>
      <c r="B2377" s="57">
        <f t="shared" ref="B2377" si="3564">B2366</f>
        <v>198</v>
      </c>
      <c r="C2377" s="1" t="s">
        <v>518</v>
      </c>
      <c r="D2377" s="1" t="s">
        <v>22</v>
      </c>
      <c r="E2377" s="26" t="e">
        <f t="shared" ref="E2377:F2377" si="3565">+E2376</f>
        <v>#REF!</v>
      </c>
      <c r="F2377" s="26" t="e">
        <f t="shared" si="3565"/>
        <v>#REF!</v>
      </c>
      <c r="G2377" s="18">
        <f>+G2376+1</f>
        <v>12</v>
      </c>
      <c r="H2377" s="18" t="s">
        <v>10</v>
      </c>
      <c r="I2377" s="46" t="s">
        <v>10</v>
      </c>
      <c r="J2377" s="22">
        <f>1.45+0.6</f>
        <v>2.0499999999999998</v>
      </c>
      <c r="K2377" s="63">
        <f>0.55+0.55</f>
        <v>1.1000000000000001</v>
      </c>
      <c r="L2377" s="8">
        <f t="shared" si="3546"/>
        <v>0.94999999999999973</v>
      </c>
      <c r="M2377" s="24">
        <f t="shared" si="3552"/>
        <v>2.5032938076416322E-2</v>
      </c>
      <c r="N2377" s="14"/>
    </row>
    <row r="2378" spans="1:14" x14ac:dyDescent="0.25">
      <c r="A2378" s="19">
        <v>44608</v>
      </c>
      <c r="B2378" s="15">
        <f t="shared" ref="B2378" si="3566">B2366+1</f>
        <v>199</v>
      </c>
      <c r="C2378" s="15" t="s">
        <v>519</v>
      </c>
      <c r="D2378" s="15" t="s">
        <v>38</v>
      </c>
      <c r="E2378" s="25">
        <f>42.3-1.2</f>
        <v>41.099999999999994</v>
      </c>
      <c r="F2378" s="25">
        <f>+SUM(L2378:L2389)</f>
        <v>41.050000000000004</v>
      </c>
      <c r="G2378" s="16">
        <v>1</v>
      </c>
      <c r="H2378" s="16" t="s">
        <v>9</v>
      </c>
      <c r="I2378" s="59" t="s">
        <v>56</v>
      </c>
      <c r="J2378" s="21">
        <f>0.7+0.6</f>
        <v>1.2999999999999998</v>
      </c>
      <c r="K2378" s="21">
        <f>0.5+0.55</f>
        <v>1.05</v>
      </c>
      <c r="L2378" s="12">
        <f>+J2378-K2378</f>
        <v>0.24999999999999978</v>
      </c>
      <c r="M2378" s="23">
        <f t="shared" si="3552"/>
        <v>6.0901339829476184E-3</v>
      </c>
      <c r="N2378" s="13"/>
    </row>
    <row r="2379" spans="1:14" x14ac:dyDescent="0.25">
      <c r="A2379" s="20">
        <v>44608</v>
      </c>
      <c r="B2379" s="1">
        <f t="shared" ref="B2379" si="3567">B2378</f>
        <v>199</v>
      </c>
      <c r="C2379" s="1" t="s">
        <v>519</v>
      </c>
      <c r="D2379" s="1" t="s">
        <v>38</v>
      </c>
      <c r="E2379" s="26">
        <f>+E2378</f>
        <v>41.099999999999994</v>
      </c>
      <c r="F2379" s="28">
        <f>+(F2378-E2378)/E2378</f>
        <v>-1.2165450121652082E-3</v>
      </c>
      <c r="G2379" s="17">
        <v>2</v>
      </c>
      <c r="H2379" s="17" t="s">
        <v>9</v>
      </c>
      <c r="I2379" s="30" t="s">
        <v>57</v>
      </c>
      <c r="J2379" s="22">
        <v>0.9</v>
      </c>
      <c r="K2379" s="22">
        <v>0.55000000000000004</v>
      </c>
      <c r="L2379" s="8">
        <f t="shared" ref="L2379:L2389" si="3568">+J2379-K2379</f>
        <v>0.35</v>
      </c>
      <c r="M2379" s="24">
        <f t="shared" si="3552"/>
        <v>8.5261875761266735E-3</v>
      </c>
      <c r="N2379" s="14"/>
    </row>
    <row r="2380" spans="1:14" x14ac:dyDescent="0.25">
      <c r="A2380" s="20">
        <v>44608</v>
      </c>
      <c r="B2380" s="1">
        <f t="shared" ref="B2380" si="3569">B2378</f>
        <v>199</v>
      </c>
      <c r="C2380" s="1" t="s">
        <v>519</v>
      </c>
      <c r="D2380" s="1" t="s">
        <v>38</v>
      </c>
      <c r="E2380" s="26" t="e">
        <f>+#REF!</f>
        <v>#REF!</v>
      </c>
      <c r="F2380" s="26" t="e">
        <f>+#REF!</f>
        <v>#REF!</v>
      </c>
      <c r="G2380" s="17">
        <v>3</v>
      </c>
      <c r="H2380" s="17" t="s">
        <v>9</v>
      </c>
      <c r="I2380" s="30" t="s">
        <v>58</v>
      </c>
      <c r="J2380" s="22">
        <v>0.65</v>
      </c>
      <c r="K2380" s="22">
        <v>0.55000000000000004</v>
      </c>
      <c r="L2380" s="8">
        <f t="shared" si="3568"/>
        <v>9.9999999999999978E-2</v>
      </c>
      <c r="M2380" s="24">
        <f t="shared" si="3552"/>
        <v>2.4360535931790489E-3</v>
      </c>
      <c r="N2380" s="14"/>
    </row>
    <row r="2381" spans="1:14" x14ac:dyDescent="0.25">
      <c r="A2381" s="20">
        <v>44608</v>
      </c>
      <c r="B2381" s="1">
        <f t="shared" ref="B2381" si="3570">B2378</f>
        <v>199</v>
      </c>
      <c r="C2381" s="1" t="s">
        <v>519</v>
      </c>
      <c r="D2381" s="1" t="s">
        <v>38</v>
      </c>
      <c r="E2381" s="26" t="e">
        <f t="shared" ref="E2381:F2381" si="3571">+E2380</f>
        <v>#REF!</v>
      </c>
      <c r="F2381" s="26" t="e">
        <f t="shared" si="3571"/>
        <v>#REF!</v>
      </c>
      <c r="G2381" s="17">
        <v>4</v>
      </c>
      <c r="H2381" s="17" t="s">
        <v>9</v>
      </c>
      <c r="I2381" s="30" t="s">
        <v>22</v>
      </c>
      <c r="J2381" s="22">
        <v>0.7</v>
      </c>
      <c r="K2381" s="22">
        <v>0.5</v>
      </c>
      <c r="L2381" s="8">
        <f t="shared" si="3568"/>
        <v>0.19999999999999996</v>
      </c>
      <c r="M2381" s="24">
        <f t="shared" si="3552"/>
        <v>4.8721071863580979E-3</v>
      </c>
      <c r="N2381" s="14"/>
    </row>
    <row r="2382" spans="1:14" x14ac:dyDescent="0.25">
      <c r="A2382" s="20">
        <v>44608</v>
      </c>
      <c r="B2382" s="1">
        <f t="shared" ref="B2382" si="3572">B2378</f>
        <v>199</v>
      </c>
      <c r="C2382" s="1" t="s">
        <v>519</v>
      </c>
      <c r="D2382" s="1" t="s">
        <v>38</v>
      </c>
      <c r="E2382" s="26" t="e">
        <f t="shared" ref="E2382:F2382" si="3573">+E2381</f>
        <v>#REF!</v>
      </c>
      <c r="F2382" s="26" t="e">
        <f t="shared" si="3573"/>
        <v>#REF!</v>
      </c>
      <c r="G2382" s="17">
        <v>5</v>
      </c>
      <c r="H2382" s="17" t="s">
        <v>9</v>
      </c>
      <c r="I2382" s="30" t="s">
        <v>34</v>
      </c>
      <c r="J2382" s="22">
        <v>0.65</v>
      </c>
      <c r="K2382" s="63">
        <v>0.55000000000000004</v>
      </c>
      <c r="L2382" s="8">
        <f t="shared" si="3568"/>
        <v>9.9999999999999978E-2</v>
      </c>
      <c r="M2382" s="24">
        <f t="shared" si="3552"/>
        <v>2.4360535931790489E-3</v>
      </c>
      <c r="N2382" s="14"/>
    </row>
    <row r="2383" spans="1:14" x14ac:dyDescent="0.25">
      <c r="A2383" s="20">
        <v>44608</v>
      </c>
      <c r="B2383" s="1">
        <f t="shared" ref="B2383" si="3574">B2378</f>
        <v>199</v>
      </c>
      <c r="C2383" s="1" t="s">
        <v>519</v>
      </c>
      <c r="D2383" s="1" t="s">
        <v>38</v>
      </c>
      <c r="E2383" s="26" t="e">
        <f t="shared" ref="E2383:F2383" si="3575">+E2382</f>
        <v>#REF!</v>
      </c>
      <c r="F2383" s="26" t="e">
        <f t="shared" si="3575"/>
        <v>#REF!</v>
      </c>
      <c r="G2383" s="17">
        <v>6</v>
      </c>
      <c r="H2383" s="17" t="s">
        <v>9</v>
      </c>
      <c r="I2383" s="30" t="s">
        <v>35</v>
      </c>
      <c r="J2383" s="22"/>
      <c r="K2383" s="22"/>
      <c r="L2383" s="8">
        <f t="shared" si="3568"/>
        <v>0</v>
      </c>
      <c r="M2383" s="24">
        <f t="shared" si="3552"/>
        <v>0</v>
      </c>
      <c r="N2383" s="14"/>
    </row>
    <row r="2384" spans="1:14" x14ac:dyDescent="0.25">
      <c r="A2384" s="20">
        <v>44608</v>
      </c>
      <c r="B2384" s="1">
        <f t="shared" ref="B2384" si="3576">B2378</f>
        <v>199</v>
      </c>
      <c r="C2384" s="1" t="s">
        <v>519</v>
      </c>
      <c r="D2384" s="1" t="s">
        <v>38</v>
      </c>
      <c r="E2384" s="26" t="e">
        <f t="shared" ref="E2384:F2384" si="3577">+E2383</f>
        <v>#REF!</v>
      </c>
      <c r="F2384" s="26" t="e">
        <f t="shared" si="3577"/>
        <v>#REF!</v>
      </c>
      <c r="G2384" s="17">
        <v>7</v>
      </c>
      <c r="H2384" s="17" t="s">
        <v>9</v>
      </c>
      <c r="I2384" s="30" t="s">
        <v>36</v>
      </c>
      <c r="J2384" s="22"/>
      <c r="K2384" s="22"/>
      <c r="L2384" s="8">
        <f t="shared" si="3568"/>
        <v>0</v>
      </c>
      <c r="M2384" s="24">
        <f t="shared" si="3552"/>
        <v>0</v>
      </c>
      <c r="N2384" s="14"/>
    </row>
    <row r="2385" spans="1:14" x14ac:dyDescent="0.25">
      <c r="A2385" s="20">
        <v>44608</v>
      </c>
      <c r="B2385" s="1">
        <f t="shared" ref="B2385" si="3578">B2378</f>
        <v>199</v>
      </c>
      <c r="C2385" s="1" t="s">
        <v>519</v>
      </c>
      <c r="D2385" s="1" t="s">
        <v>38</v>
      </c>
      <c r="E2385" s="26" t="e">
        <f>+E2384</f>
        <v>#REF!</v>
      </c>
      <c r="F2385" s="26" t="e">
        <f>+F2384</f>
        <v>#REF!</v>
      </c>
      <c r="G2385" s="17">
        <v>8</v>
      </c>
      <c r="H2385" s="17" t="s">
        <v>9</v>
      </c>
      <c r="I2385" s="30" t="s">
        <v>59</v>
      </c>
      <c r="J2385" s="22">
        <v>1.45</v>
      </c>
      <c r="K2385" s="22">
        <v>0.55000000000000004</v>
      </c>
      <c r="L2385" s="8">
        <f t="shared" si="3568"/>
        <v>0.89999999999999991</v>
      </c>
      <c r="M2385" s="24">
        <f t="shared" si="3552"/>
        <v>2.1924482338611447E-2</v>
      </c>
      <c r="N2385" s="14"/>
    </row>
    <row r="2386" spans="1:14" x14ac:dyDescent="0.25">
      <c r="A2386" s="20">
        <v>44608</v>
      </c>
      <c r="B2386" s="1">
        <f t="shared" ref="B2386" si="3579">B2378</f>
        <v>199</v>
      </c>
      <c r="C2386" s="1" t="s">
        <v>519</v>
      </c>
      <c r="D2386" s="1" t="s">
        <v>38</v>
      </c>
      <c r="E2386" s="26" t="e">
        <f t="shared" ref="E2386:F2386" si="3580">+E2385</f>
        <v>#REF!</v>
      </c>
      <c r="F2386" s="26" t="e">
        <f t="shared" si="3580"/>
        <v>#REF!</v>
      </c>
      <c r="G2386" s="17">
        <v>9</v>
      </c>
      <c r="H2386" s="17" t="s">
        <v>9</v>
      </c>
      <c r="I2386" s="30" t="s">
        <v>38</v>
      </c>
      <c r="J2386" s="22">
        <f>12.8+18.55+22.2+16.1</f>
        <v>69.650000000000006</v>
      </c>
      <c r="K2386" s="22">
        <f>8.55+8.55+8.55+8.55</f>
        <v>34.200000000000003</v>
      </c>
      <c r="L2386" s="8">
        <f t="shared" si="3568"/>
        <v>35.450000000000003</v>
      </c>
      <c r="M2386" s="24">
        <f t="shared" si="3552"/>
        <v>0.86358099878197314</v>
      </c>
      <c r="N2386" s="14"/>
    </row>
    <row r="2387" spans="1:14" x14ac:dyDescent="0.25">
      <c r="A2387" s="20">
        <v>44608</v>
      </c>
      <c r="B2387" s="1">
        <f t="shared" ref="B2387" si="3581">B2378</f>
        <v>199</v>
      </c>
      <c r="C2387" s="1" t="s">
        <v>519</v>
      </c>
      <c r="D2387" s="1" t="s">
        <v>38</v>
      </c>
      <c r="E2387" s="26" t="e">
        <f t="shared" ref="E2387:F2387" si="3582">+E2386</f>
        <v>#REF!</v>
      </c>
      <c r="F2387" s="26" t="e">
        <f t="shared" si="3582"/>
        <v>#REF!</v>
      </c>
      <c r="G2387" s="17">
        <v>10</v>
      </c>
      <c r="H2387" s="17" t="s">
        <v>9</v>
      </c>
      <c r="I2387" s="30" t="s">
        <v>23</v>
      </c>
      <c r="J2387" s="22">
        <f>1.4</f>
        <v>1.4</v>
      </c>
      <c r="K2387" s="22">
        <f>0.55</f>
        <v>0.55000000000000004</v>
      </c>
      <c r="L2387" s="8">
        <f t="shared" si="3568"/>
        <v>0.84999999999999987</v>
      </c>
      <c r="M2387" s="24">
        <f t="shared" si="3552"/>
        <v>2.0706455542021919E-2</v>
      </c>
      <c r="N2387" s="14"/>
    </row>
    <row r="2388" spans="1:14" x14ac:dyDescent="0.25">
      <c r="A2388" s="20">
        <v>44608</v>
      </c>
      <c r="B2388" s="1">
        <f t="shared" ref="B2388" si="3583">B2378</f>
        <v>199</v>
      </c>
      <c r="C2388" s="1" t="s">
        <v>519</v>
      </c>
      <c r="D2388" s="1" t="s">
        <v>38</v>
      </c>
      <c r="E2388" s="26" t="e">
        <f t="shared" ref="E2388:F2388" si="3584">+E2387</f>
        <v>#REF!</v>
      </c>
      <c r="F2388" s="26" t="e">
        <f t="shared" si="3584"/>
        <v>#REF!</v>
      </c>
      <c r="G2388" s="17">
        <v>11</v>
      </c>
      <c r="H2388" s="17" t="s">
        <v>9</v>
      </c>
      <c r="I2388" s="30" t="s">
        <v>60</v>
      </c>
      <c r="J2388" s="22">
        <v>0.9</v>
      </c>
      <c r="K2388" s="22">
        <v>0.55000000000000004</v>
      </c>
      <c r="L2388" s="8">
        <f t="shared" si="3568"/>
        <v>0.35</v>
      </c>
      <c r="M2388" s="24">
        <f t="shared" si="3552"/>
        <v>8.5261875761266735E-3</v>
      </c>
      <c r="N2388" s="14"/>
    </row>
    <row r="2389" spans="1:14" ht="15.75" thickBot="1" x14ac:dyDescent="0.3">
      <c r="A2389" s="20">
        <v>44608</v>
      </c>
      <c r="B2389" s="57">
        <f t="shared" ref="B2389" si="3585">B2378</f>
        <v>199</v>
      </c>
      <c r="C2389" s="1" t="s">
        <v>519</v>
      </c>
      <c r="D2389" s="1" t="s">
        <v>38</v>
      </c>
      <c r="E2389" s="26" t="e">
        <f t="shared" ref="E2389:F2389" si="3586">+E2388</f>
        <v>#REF!</v>
      </c>
      <c r="F2389" s="26" t="e">
        <f t="shared" si="3586"/>
        <v>#REF!</v>
      </c>
      <c r="G2389" s="18">
        <f>+G2388+1</f>
        <v>12</v>
      </c>
      <c r="H2389" s="18" t="s">
        <v>10</v>
      </c>
      <c r="I2389" s="46" t="s">
        <v>10</v>
      </c>
      <c r="J2389" s="22">
        <f>11.05</f>
        <v>11.05</v>
      </c>
      <c r="K2389" s="63">
        <f>8.55</f>
        <v>8.5500000000000007</v>
      </c>
      <c r="L2389" s="8">
        <f t="shared" si="3568"/>
        <v>2.5</v>
      </c>
      <c r="M2389" s="24">
        <f t="shared" si="3552"/>
        <v>6.0901339829476243E-2</v>
      </c>
      <c r="N2389" s="14"/>
    </row>
    <row r="2390" spans="1:14" x14ac:dyDescent="0.25">
      <c r="A2390" s="19">
        <v>44608</v>
      </c>
      <c r="B2390" s="15">
        <f t="shared" ref="B2390" si="3587">B2378+1</f>
        <v>200</v>
      </c>
      <c r="C2390" s="15" t="s">
        <v>520</v>
      </c>
      <c r="D2390" s="15" t="s">
        <v>38</v>
      </c>
      <c r="E2390" s="25">
        <f>44.3-1.2</f>
        <v>43.099999999999994</v>
      </c>
      <c r="F2390" s="25">
        <f>+SUM(L2390:L2401)</f>
        <v>41.849999999999994</v>
      </c>
      <c r="G2390" s="16">
        <v>1</v>
      </c>
      <c r="H2390" s="16" t="s">
        <v>9</v>
      </c>
      <c r="I2390" s="59" t="s">
        <v>56</v>
      </c>
      <c r="J2390" s="21">
        <v>0.7</v>
      </c>
      <c r="K2390" s="21">
        <v>0.55000000000000004</v>
      </c>
      <c r="L2390" s="12">
        <f>+J2390-K2390</f>
        <v>0.14999999999999991</v>
      </c>
      <c r="M2390" s="23">
        <f t="shared" si="3552"/>
        <v>3.5842293906810018E-3</v>
      </c>
      <c r="N2390" s="13"/>
    </row>
    <row r="2391" spans="1:14" x14ac:dyDescent="0.25">
      <c r="A2391" s="20">
        <v>44608</v>
      </c>
      <c r="B2391" s="1">
        <f t="shared" ref="B2391" si="3588">B2390</f>
        <v>200</v>
      </c>
      <c r="C2391" s="1" t="s">
        <v>520</v>
      </c>
      <c r="D2391" s="1" t="s">
        <v>38</v>
      </c>
      <c r="E2391" s="26">
        <f>+E2390</f>
        <v>43.099999999999994</v>
      </c>
      <c r="F2391" s="28">
        <f>+(F2390-E2390)/E2390</f>
        <v>-2.9002320185614851E-2</v>
      </c>
      <c r="G2391" s="17">
        <v>2</v>
      </c>
      <c r="H2391" s="17" t="s">
        <v>9</v>
      </c>
      <c r="I2391" s="30" t="s">
        <v>57</v>
      </c>
      <c r="J2391" s="22">
        <v>0.85</v>
      </c>
      <c r="K2391" s="22">
        <v>0.55000000000000004</v>
      </c>
      <c r="L2391" s="8">
        <f t="shared" ref="L2391:L2401" si="3589">+J2391-K2391</f>
        <v>0.29999999999999993</v>
      </c>
      <c r="M2391" s="24">
        <f t="shared" si="3552"/>
        <v>7.1684587813620063E-3</v>
      </c>
      <c r="N2391" s="14"/>
    </row>
    <row r="2392" spans="1:14" x14ac:dyDescent="0.25">
      <c r="A2392" s="20">
        <v>44608</v>
      </c>
      <c r="B2392" s="1">
        <f t="shared" ref="B2392" si="3590">B2390</f>
        <v>200</v>
      </c>
      <c r="C2392" s="1" t="s">
        <v>520</v>
      </c>
      <c r="D2392" s="1" t="s">
        <v>38</v>
      </c>
      <c r="E2392" s="26" t="e">
        <f>+#REF!</f>
        <v>#REF!</v>
      </c>
      <c r="F2392" s="26" t="e">
        <f>+#REF!</f>
        <v>#REF!</v>
      </c>
      <c r="G2392" s="17">
        <v>3</v>
      </c>
      <c r="H2392" s="17" t="s">
        <v>9</v>
      </c>
      <c r="I2392" s="30" t="s">
        <v>58</v>
      </c>
      <c r="J2392" s="22">
        <v>0.8</v>
      </c>
      <c r="K2392" s="22">
        <v>0.55000000000000004</v>
      </c>
      <c r="L2392" s="8">
        <f t="shared" si="3589"/>
        <v>0.25</v>
      </c>
      <c r="M2392" s="24">
        <f t="shared" si="3552"/>
        <v>5.9737156511350071E-3</v>
      </c>
      <c r="N2392" s="14"/>
    </row>
    <row r="2393" spans="1:14" x14ac:dyDescent="0.25">
      <c r="A2393" s="20">
        <v>44608</v>
      </c>
      <c r="B2393" s="1">
        <f t="shared" ref="B2393" si="3591">B2390</f>
        <v>200</v>
      </c>
      <c r="C2393" s="1" t="s">
        <v>520</v>
      </c>
      <c r="D2393" s="1" t="s">
        <v>38</v>
      </c>
      <c r="E2393" s="26" t="e">
        <f t="shared" ref="E2393:F2393" si="3592">+E2392</f>
        <v>#REF!</v>
      </c>
      <c r="F2393" s="26" t="e">
        <f t="shared" si="3592"/>
        <v>#REF!</v>
      </c>
      <c r="G2393" s="17">
        <v>4</v>
      </c>
      <c r="H2393" s="17" t="s">
        <v>9</v>
      </c>
      <c r="I2393" s="30" t="s">
        <v>22</v>
      </c>
      <c r="J2393" s="22"/>
      <c r="K2393" s="22"/>
      <c r="L2393" s="8">
        <f t="shared" si="3589"/>
        <v>0</v>
      </c>
      <c r="M2393" s="24">
        <f t="shared" si="3552"/>
        <v>0</v>
      </c>
      <c r="N2393" s="14"/>
    </row>
    <row r="2394" spans="1:14" x14ac:dyDescent="0.25">
      <c r="A2394" s="20">
        <v>44608</v>
      </c>
      <c r="B2394" s="1">
        <f t="shared" ref="B2394" si="3593">B2390</f>
        <v>200</v>
      </c>
      <c r="C2394" s="1" t="s">
        <v>520</v>
      </c>
      <c r="D2394" s="1" t="s">
        <v>38</v>
      </c>
      <c r="E2394" s="26" t="e">
        <f t="shared" ref="E2394:F2394" si="3594">+E2393</f>
        <v>#REF!</v>
      </c>
      <c r="F2394" s="26" t="e">
        <f t="shared" si="3594"/>
        <v>#REF!</v>
      </c>
      <c r="G2394" s="17">
        <v>5</v>
      </c>
      <c r="H2394" s="17" t="s">
        <v>9</v>
      </c>
      <c r="I2394" s="30" t="s">
        <v>34</v>
      </c>
      <c r="J2394" s="22"/>
      <c r="K2394" s="63"/>
      <c r="L2394" s="8">
        <f t="shared" si="3589"/>
        <v>0</v>
      </c>
      <c r="M2394" s="24">
        <f t="shared" si="3552"/>
        <v>0</v>
      </c>
      <c r="N2394" s="14"/>
    </row>
    <row r="2395" spans="1:14" x14ac:dyDescent="0.25">
      <c r="A2395" s="20">
        <v>44608</v>
      </c>
      <c r="B2395" s="1">
        <f t="shared" ref="B2395" si="3595">B2390</f>
        <v>200</v>
      </c>
      <c r="C2395" s="1" t="s">
        <v>520</v>
      </c>
      <c r="D2395" s="1" t="s">
        <v>38</v>
      </c>
      <c r="E2395" s="26" t="e">
        <f t="shared" ref="E2395:F2395" si="3596">+E2394</f>
        <v>#REF!</v>
      </c>
      <c r="F2395" s="26" t="e">
        <f t="shared" si="3596"/>
        <v>#REF!</v>
      </c>
      <c r="G2395" s="17">
        <v>6</v>
      </c>
      <c r="H2395" s="17" t="s">
        <v>9</v>
      </c>
      <c r="I2395" s="30" t="s">
        <v>35</v>
      </c>
      <c r="J2395" s="22"/>
      <c r="K2395" s="22"/>
      <c r="L2395" s="8">
        <f t="shared" si="3589"/>
        <v>0</v>
      </c>
      <c r="M2395" s="24">
        <f t="shared" si="3552"/>
        <v>0</v>
      </c>
      <c r="N2395" s="14"/>
    </row>
    <row r="2396" spans="1:14" x14ac:dyDescent="0.25">
      <c r="A2396" s="20">
        <v>44608</v>
      </c>
      <c r="B2396" s="1">
        <f t="shared" ref="B2396" si="3597">B2390</f>
        <v>200</v>
      </c>
      <c r="C2396" s="1" t="s">
        <v>520</v>
      </c>
      <c r="D2396" s="1" t="s">
        <v>38</v>
      </c>
      <c r="E2396" s="26" t="e">
        <f t="shared" ref="E2396:F2396" si="3598">+E2395</f>
        <v>#REF!</v>
      </c>
      <c r="F2396" s="26" t="e">
        <f t="shared" si="3598"/>
        <v>#REF!</v>
      </c>
      <c r="G2396" s="17">
        <v>7</v>
      </c>
      <c r="H2396" s="17" t="s">
        <v>9</v>
      </c>
      <c r="I2396" s="30" t="s">
        <v>36</v>
      </c>
      <c r="J2396" s="22"/>
      <c r="K2396" s="22"/>
      <c r="L2396" s="8">
        <f t="shared" si="3589"/>
        <v>0</v>
      </c>
      <c r="M2396" s="24">
        <f t="shared" si="3552"/>
        <v>0</v>
      </c>
      <c r="N2396" s="14"/>
    </row>
    <row r="2397" spans="1:14" x14ac:dyDescent="0.25">
      <c r="A2397" s="20">
        <v>44608</v>
      </c>
      <c r="B2397" s="1">
        <f t="shared" ref="B2397" si="3599">B2390</f>
        <v>200</v>
      </c>
      <c r="C2397" s="1" t="s">
        <v>520</v>
      </c>
      <c r="D2397" s="1" t="s">
        <v>38</v>
      </c>
      <c r="E2397" s="26" t="e">
        <f>+E2396</f>
        <v>#REF!</v>
      </c>
      <c r="F2397" s="26" t="e">
        <f>+F2396</f>
        <v>#REF!</v>
      </c>
      <c r="G2397" s="17">
        <v>8</v>
      </c>
      <c r="H2397" s="17" t="s">
        <v>9</v>
      </c>
      <c r="I2397" s="30" t="s">
        <v>59</v>
      </c>
      <c r="J2397" s="22"/>
      <c r="K2397" s="22"/>
      <c r="L2397" s="8">
        <f t="shared" si="3589"/>
        <v>0</v>
      </c>
      <c r="M2397" s="24">
        <f t="shared" si="3552"/>
        <v>0</v>
      </c>
      <c r="N2397" s="14"/>
    </row>
    <row r="2398" spans="1:14" x14ac:dyDescent="0.25">
      <c r="A2398" s="20">
        <v>44608</v>
      </c>
      <c r="B2398" s="1">
        <f t="shared" ref="B2398" si="3600">B2390</f>
        <v>200</v>
      </c>
      <c r="C2398" s="1" t="s">
        <v>520</v>
      </c>
      <c r="D2398" s="1" t="s">
        <v>38</v>
      </c>
      <c r="E2398" s="26" t="e">
        <f t="shared" ref="E2398:F2398" si="3601">+E2397</f>
        <v>#REF!</v>
      </c>
      <c r="F2398" s="26" t="e">
        <f t="shared" si="3601"/>
        <v>#REF!</v>
      </c>
      <c r="G2398" s="17">
        <v>9</v>
      </c>
      <c r="H2398" s="17" t="s">
        <v>9</v>
      </c>
      <c r="I2398" s="30" t="s">
        <v>38</v>
      </c>
      <c r="J2398" s="22">
        <f>22.6+20.65+17.95</f>
        <v>61.2</v>
      </c>
      <c r="K2398" s="22">
        <f>8.55+8.55+8.55</f>
        <v>25.650000000000002</v>
      </c>
      <c r="L2398" s="8">
        <f t="shared" si="3589"/>
        <v>35.549999999999997</v>
      </c>
      <c r="M2398" s="24">
        <f t="shared" si="3552"/>
        <v>0.84946236559139787</v>
      </c>
      <c r="N2398" s="14"/>
    </row>
    <row r="2399" spans="1:14" x14ac:dyDescent="0.25">
      <c r="A2399" s="20">
        <v>44608</v>
      </c>
      <c r="B2399" s="1">
        <f t="shared" ref="B2399" si="3602">B2390</f>
        <v>200</v>
      </c>
      <c r="C2399" s="1" t="s">
        <v>520</v>
      </c>
      <c r="D2399" s="1" t="s">
        <v>38</v>
      </c>
      <c r="E2399" s="26" t="e">
        <f t="shared" ref="E2399:F2399" si="3603">+E2398</f>
        <v>#REF!</v>
      </c>
      <c r="F2399" s="26" t="e">
        <f t="shared" si="3603"/>
        <v>#REF!</v>
      </c>
      <c r="G2399" s="17">
        <v>10</v>
      </c>
      <c r="H2399" s="17" t="s">
        <v>9</v>
      </c>
      <c r="I2399" s="30" t="s">
        <v>23</v>
      </c>
      <c r="J2399" s="22">
        <v>1.35</v>
      </c>
      <c r="K2399" s="22">
        <v>0.55000000000000004</v>
      </c>
      <c r="L2399" s="8">
        <f t="shared" si="3589"/>
        <v>0.8</v>
      </c>
      <c r="M2399" s="24">
        <f t="shared" si="3552"/>
        <v>1.9115890083632021E-2</v>
      </c>
      <c r="N2399" s="14"/>
    </row>
    <row r="2400" spans="1:14" x14ac:dyDescent="0.25">
      <c r="A2400" s="20">
        <v>44608</v>
      </c>
      <c r="B2400" s="1">
        <f t="shared" ref="B2400" si="3604">B2390</f>
        <v>200</v>
      </c>
      <c r="C2400" s="1" t="s">
        <v>520</v>
      </c>
      <c r="D2400" s="1" t="s">
        <v>38</v>
      </c>
      <c r="E2400" s="26" t="e">
        <f t="shared" ref="E2400:F2400" si="3605">+E2399</f>
        <v>#REF!</v>
      </c>
      <c r="F2400" s="26" t="e">
        <f t="shared" si="3605"/>
        <v>#REF!</v>
      </c>
      <c r="G2400" s="17">
        <v>11</v>
      </c>
      <c r="H2400" s="17" t="s">
        <v>9</v>
      </c>
      <c r="I2400" s="30" t="s">
        <v>60</v>
      </c>
      <c r="J2400" s="22">
        <v>0.95</v>
      </c>
      <c r="K2400" s="22">
        <v>0.55000000000000004</v>
      </c>
      <c r="L2400" s="8">
        <f t="shared" si="3589"/>
        <v>0.39999999999999991</v>
      </c>
      <c r="M2400" s="24">
        <f t="shared" si="3552"/>
        <v>9.557945041816009E-3</v>
      </c>
      <c r="N2400" s="14"/>
    </row>
    <row r="2401" spans="1:14" ht="15.75" thickBot="1" x14ac:dyDescent="0.3">
      <c r="A2401" s="20">
        <v>44608</v>
      </c>
      <c r="B2401" s="57">
        <f t="shared" ref="B2401" si="3606">B2390</f>
        <v>200</v>
      </c>
      <c r="C2401" s="1" t="s">
        <v>520</v>
      </c>
      <c r="D2401" s="1" t="s">
        <v>38</v>
      </c>
      <c r="E2401" s="26" t="e">
        <f t="shared" ref="E2401:F2401" si="3607">+E2400</f>
        <v>#REF!</v>
      </c>
      <c r="F2401" s="26" t="e">
        <f t="shared" si="3607"/>
        <v>#REF!</v>
      </c>
      <c r="G2401" s="18">
        <f>+G2400+1</f>
        <v>12</v>
      </c>
      <c r="H2401" s="18" t="s">
        <v>10</v>
      </c>
      <c r="I2401" s="46" t="s">
        <v>10</v>
      </c>
      <c r="J2401" s="22">
        <v>12.95</v>
      </c>
      <c r="K2401" s="63">
        <f>8.55</f>
        <v>8.5500000000000007</v>
      </c>
      <c r="L2401" s="8">
        <f t="shared" si="3589"/>
        <v>4.3999999999999986</v>
      </c>
      <c r="M2401" s="24">
        <f t="shared" si="3552"/>
        <v>0.10513739545997608</v>
      </c>
      <c r="N2401" s="14"/>
    </row>
    <row r="2402" spans="1:14" x14ac:dyDescent="0.25">
      <c r="A2402" s="19">
        <v>44608</v>
      </c>
      <c r="B2402" s="15">
        <f t="shared" ref="B2402" si="3608">B2390+1</f>
        <v>201</v>
      </c>
      <c r="C2402" s="15" t="s">
        <v>521</v>
      </c>
      <c r="D2402" s="15" t="s">
        <v>38</v>
      </c>
      <c r="E2402" s="25">
        <f>46.5-1.2</f>
        <v>45.3</v>
      </c>
      <c r="F2402" s="25">
        <f>+SUM(L2402:L2413)</f>
        <v>44.849999999999994</v>
      </c>
      <c r="G2402" s="16">
        <v>1</v>
      </c>
      <c r="H2402" s="16" t="s">
        <v>9</v>
      </c>
      <c r="I2402" s="59" t="s">
        <v>56</v>
      </c>
      <c r="J2402" s="21">
        <v>0.6</v>
      </c>
      <c r="K2402" s="21">
        <v>0.55000000000000004</v>
      </c>
      <c r="L2402" s="12">
        <f>+J2402-K2402</f>
        <v>4.9999999999999933E-2</v>
      </c>
      <c r="M2402" s="23">
        <f t="shared" si="3552"/>
        <v>1.1148272017837222E-3</v>
      </c>
      <c r="N2402" s="13"/>
    </row>
    <row r="2403" spans="1:14" x14ac:dyDescent="0.25">
      <c r="A2403" s="20">
        <v>44608</v>
      </c>
      <c r="B2403" s="1">
        <f t="shared" ref="B2403" si="3609">B2402</f>
        <v>201</v>
      </c>
      <c r="C2403" s="1" t="s">
        <v>521</v>
      </c>
      <c r="D2403" s="1" t="s">
        <v>38</v>
      </c>
      <c r="E2403" s="26">
        <f>+E2402</f>
        <v>45.3</v>
      </c>
      <c r="F2403" s="28">
        <f>+(F2402-E2402)/E2402</f>
        <v>-9.933774834437149E-3</v>
      </c>
      <c r="G2403" s="17">
        <v>2</v>
      </c>
      <c r="H2403" s="17" t="s">
        <v>9</v>
      </c>
      <c r="I2403" s="30" t="s">
        <v>57</v>
      </c>
      <c r="J2403" s="22">
        <v>0.8</v>
      </c>
      <c r="K2403" s="22">
        <v>0.55000000000000004</v>
      </c>
      <c r="L2403" s="8">
        <f t="shared" ref="L2403:L2413" si="3610">+J2403-K2403</f>
        <v>0.25</v>
      </c>
      <c r="M2403" s="24">
        <f t="shared" si="3552"/>
        <v>5.5741360089186179E-3</v>
      </c>
      <c r="N2403" s="14"/>
    </row>
    <row r="2404" spans="1:14" x14ac:dyDescent="0.25">
      <c r="A2404" s="20">
        <v>44608</v>
      </c>
      <c r="B2404" s="1">
        <f t="shared" ref="B2404" si="3611">B2402</f>
        <v>201</v>
      </c>
      <c r="C2404" s="1" t="s">
        <v>521</v>
      </c>
      <c r="D2404" s="1" t="s">
        <v>38</v>
      </c>
      <c r="E2404" s="26" t="e">
        <f>+#REF!</f>
        <v>#REF!</v>
      </c>
      <c r="F2404" s="26" t="e">
        <f>+#REF!</f>
        <v>#REF!</v>
      </c>
      <c r="G2404" s="17">
        <v>3</v>
      </c>
      <c r="H2404" s="17" t="s">
        <v>9</v>
      </c>
      <c r="I2404" s="30" t="s">
        <v>58</v>
      </c>
      <c r="J2404" s="22"/>
      <c r="K2404" s="22"/>
      <c r="L2404" s="8">
        <f t="shared" si="3610"/>
        <v>0</v>
      </c>
      <c r="M2404" s="24">
        <f t="shared" si="3552"/>
        <v>0</v>
      </c>
      <c r="N2404" s="14"/>
    </row>
    <row r="2405" spans="1:14" x14ac:dyDescent="0.25">
      <c r="A2405" s="20">
        <v>44608</v>
      </c>
      <c r="B2405" s="1">
        <f t="shared" ref="B2405" si="3612">B2402</f>
        <v>201</v>
      </c>
      <c r="C2405" s="1" t="s">
        <v>521</v>
      </c>
      <c r="D2405" s="1" t="s">
        <v>38</v>
      </c>
      <c r="E2405" s="26" t="e">
        <f t="shared" ref="E2405:F2405" si="3613">+E2404</f>
        <v>#REF!</v>
      </c>
      <c r="F2405" s="26" t="e">
        <f t="shared" si="3613"/>
        <v>#REF!</v>
      </c>
      <c r="G2405" s="17">
        <v>4</v>
      </c>
      <c r="H2405" s="17" t="s">
        <v>9</v>
      </c>
      <c r="I2405" s="30" t="s">
        <v>22</v>
      </c>
      <c r="J2405" s="22">
        <v>0.6</v>
      </c>
      <c r="K2405" s="22">
        <v>0.55000000000000004</v>
      </c>
      <c r="L2405" s="8">
        <f t="shared" si="3610"/>
        <v>4.9999999999999933E-2</v>
      </c>
      <c r="M2405" s="24">
        <f t="shared" si="3552"/>
        <v>1.1148272017837222E-3</v>
      </c>
      <c r="N2405" s="14"/>
    </row>
    <row r="2406" spans="1:14" x14ac:dyDescent="0.25">
      <c r="A2406" s="20">
        <v>44608</v>
      </c>
      <c r="B2406" s="1">
        <f t="shared" ref="B2406" si="3614">B2402</f>
        <v>201</v>
      </c>
      <c r="C2406" s="1" t="s">
        <v>521</v>
      </c>
      <c r="D2406" s="1" t="s">
        <v>38</v>
      </c>
      <c r="E2406" s="26" t="e">
        <f t="shared" ref="E2406:F2406" si="3615">+E2405</f>
        <v>#REF!</v>
      </c>
      <c r="F2406" s="26" t="e">
        <f t="shared" si="3615"/>
        <v>#REF!</v>
      </c>
      <c r="G2406" s="17">
        <v>5</v>
      </c>
      <c r="H2406" s="17" t="s">
        <v>9</v>
      </c>
      <c r="I2406" s="30" t="s">
        <v>34</v>
      </c>
      <c r="J2406" s="22">
        <v>0.7</v>
      </c>
      <c r="K2406" s="63">
        <v>0.5</v>
      </c>
      <c r="L2406" s="8">
        <f t="shared" si="3610"/>
        <v>0.19999999999999996</v>
      </c>
      <c r="M2406" s="24">
        <f t="shared" si="3552"/>
        <v>4.459308807134894E-3</v>
      </c>
      <c r="N2406" s="14"/>
    </row>
    <row r="2407" spans="1:14" x14ac:dyDescent="0.25">
      <c r="A2407" s="20">
        <v>44608</v>
      </c>
      <c r="B2407" s="1">
        <f t="shared" ref="B2407" si="3616">B2402</f>
        <v>201</v>
      </c>
      <c r="C2407" s="1" t="s">
        <v>521</v>
      </c>
      <c r="D2407" s="1" t="s">
        <v>38</v>
      </c>
      <c r="E2407" s="26" t="e">
        <f t="shared" ref="E2407:F2407" si="3617">+E2406</f>
        <v>#REF!</v>
      </c>
      <c r="F2407" s="26" t="e">
        <f t="shared" si="3617"/>
        <v>#REF!</v>
      </c>
      <c r="G2407" s="17">
        <v>6</v>
      </c>
      <c r="H2407" s="17" t="s">
        <v>9</v>
      </c>
      <c r="I2407" s="30" t="s">
        <v>35</v>
      </c>
      <c r="J2407" s="22"/>
      <c r="K2407" s="22"/>
      <c r="L2407" s="8">
        <f t="shared" si="3610"/>
        <v>0</v>
      </c>
      <c r="M2407" s="24">
        <f t="shared" si="3552"/>
        <v>0</v>
      </c>
      <c r="N2407" s="14"/>
    </row>
    <row r="2408" spans="1:14" x14ac:dyDescent="0.25">
      <c r="A2408" s="20">
        <v>44608</v>
      </c>
      <c r="B2408" s="1">
        <f t="shared" ref="B2408" si="3618">B2402</f>
        <v>201</v>
      </c>
      <c r="C2408" s="1" t="s">
        <v>521</v>
      </c>
      <c r="D2408" s="1" t="s">
        <v>38</v>
      </c>
      <c r="E2408" s="26" t="e">
        <f t="shared" ref="E2408:F2408" si="3619">+E2407</f>
        <v>#REF!</v>
      </c>
      <c r="F2408" s="26" t="e">
        <f t="shared" si="3619"/>
        <v>#REF!</v>
      </c>
      <c r="G2408" s="17">
        <v>7</v>
      </c>
      <c r="H2408" s="17" t="s">
        <v>9</v>
      </c>
      <c r="I2408" s="30" t="s">
        <v>36</v>
      </c>
      <c r="J2408" s="22"/>
      <c r="K2408" s="22"/>
      <c r="L2408" s="8">
        <f t="shared" si="3610"/>
        <v>0</v>
      </c>
      <c r="M2408" s="24">
        <f t="shared" si="3552"/>
        <v>0</v>
      </c>
      <c r="N2408" s="14"/>
    </row>
    <row r="2409" spans="1:14" x14ac:dyDescent="0.25">
      <c r="A2409" s="20">
        <v>44608</v>
      </c>
      <c r="B2409" s="1">
        <f t="shared" ref="B2409" si="3620">B2402</f>
        <v>201</v>
      </c>
      <c r="C2409" s="1" t="s">
        <v>521</v>
      </c>
      <c r="D2409" s="1" t="s">
        <v>38</v>
      </c>
      <c r="E2409" s="26" t="e">
        <f>+E2408</f>
        <v>#REF!</v>
      </c>
      <c r="F2409" s="26" t="e">
        <f>+F2408</f>
        <v>#REF!</v>
      </c>
      <c r="G2409" s="17">
        <v>8</v>
      </c>
      <c r="H2409" s="17" t="s">
        <v>9</v>
      </c>
      <c r="I2409" s="30" t="s">
        <v>59</v>
      </c>
      <c r="J2409" s="22">
        <f>0.9</f>
        <v>0.9</v>
      </c>
      <c r="K2409" s="22">
        <f>0.55</f>
        <v>0.55000000000000004</v>
      </c>
      <c r="L2409" s="8">
        <f t="shared" si="3610"/>
        <v>0.35</v>
      </c>
      <c r="M2409" s="24">
        <f t="shared" si="3552"/>
        <v>7.803790412486065E-3</v>
      </c>
      <c r="N2409" s="14"/>
    </row>
    <row r="2410" spans="1:14" x14ac:dyDescent="0.25">
      <c r="A2410" s="20">
        <v>44608</v>
      </c>
      <c r="B2410" s="1">
        <f t="shared" ref="B2410" si="3621">B2402</f>
        <v>201</v>
      </c>
      <c r="C2410" s="1" t="s">
        <v>521</v>
      </c>
      <c r="D2410" s="1" t="s">
        <v>38</v>
      </c>
      <c r="E2410" s="26" t="e">
        <f t="shared" ref="E2410:F2410" si="3622">+E2409</f>
        <v>#REF!</v>
      </c>
      <c r="F2410" s="26" t="e">
        <f t="shared" si="3622"/>
        <v>#REF!</v>
      </c>
      <c r="G2410" s="17">
        <v>9</v>
      </c>
      <c r="H2410" s="17" t="s">
        <v>9</v>
      </c>
      <c r="I2410" s="30" t="s">
        <v>38</v>
      </c>
      <c r="J2410" s="22">
        <f>21.15+19.25+20.3+12.55</f>
        <v>73.25</v>
      </c>
      <c r="K2410" s="22">
        <f>8.5+8.55+8.3+8.55</f>
        <v>33.900000000000006</v>
      </c>
      <c r="L2410" s="8">
        <f t="shared" si="3610"/>
        <v>39.349999999999994</v>
      </c>
      <c r="M2410" s="24">
        <f t="shared" si="3552"/>
        <v>0.87736900780379035</v>
      </c>
      <c r="N2410" s="14"/>
    </row>
    <row r="2411" spans="1:14" x14ac:dyDescent="0.25">
      <c r="A2411" s="20">
        <v>44608</v>
      </c>
      <c r="B2411" s="1">
        <f t="shared" ref="B2411" si="3623">B2402</f>
        <v>201</v>
      </c>
      <c r="C2411" s="1" t="s">
        <v>521</v>
      </c>
      <c r="D2411" s="1" t="s">
        <v>38</v>
      </c>
      <c r="E2411" s="26" t="e">
        <f t="shared" ref="E2411:F2411" si="3624">+E2410</f>
        <v>#REF!</v>
      </c>
      <c r="F2411" s="26" t="e">
        <f t="shared" si="3624"/>
        <v>#REF!</v>
      </c>
      <c r="G2411" s="17">
        <v>10</v>
      </c>
      <c r="H2411" s="17" t="s">
        <v>9</v>
      </c>
      <c r="I2411" s="30" t="s">
        <v>23</v>
      </c>
      <c r="J2411" s="22">
        <v>1.1499999999999999</v>
      </c>
      <c r="K2411" s="22">
        <v>0.5</v>
      </c>
      <c r="L2411" s="8">
        <f t="shared" si="3610"/>
        <v>0.64999999999999991</v>
      </c>
      <c r="M2411" s="24">
        <f t="shared" si="3552"/>
        <v>1.4492753623188406E-2</v>
      </c>
      <c r="N2411" s="14"/>
    </row>
    <row r="2412" spans="1:14" x14ac:dyDescent="0.25">
      <c r="A2412" s="20">
        <v>44608</v>
      </c>
      <c r="B2412" s="1">
        <f t="shared" ref="B2412" si="3625">B2402</f>
        <v>201</v>
      </c>
      <c r="C2412" s="1" t="s">
        <v>521</v>
      </c>
      <c r="D2412" s="1" t="s">
        <v>38</v>
      </c>
      <c r="E2412" s="26" t="e">
        <f t="shared" ref="E2412:F2412" si="3626">+E2411</f>
        <v>#REF!</v>
      </c>
      <c r="F2412" s="26" t="e">
        <f t="shared" si="3626"/>
        <v>#REF!</v>
      </c>
      <c r="G2412" s="17">
        <v>11</v>
      </c>
      <c r="H2412" s="17" t="s">
        <v>9</v>
      </c>
      <c r="I2412" s="30" t="s">
        <v>60</v>
      </c>
      <c r="J2412" s="22">
        <v>0.9</v>
      </c>
      <c r="K2412" s="22">
        <v>0.55000000000000004</v>
      </c>
      <c r="L2412" s="8">
        <f t="shared" si="3610"/>
        <v>0.35</v>
      </c>
      <c r="M2412" s="24">
        <f t="shared" si="3552"/>
        <v>7.803790412486065E-3</v>
      </c>
      <c r="N2412" s="14"/>
    </row>
    <row r="2413" spans="1:14" ht="15.75" thickBot="1" x14ac:dyDescent="0.3">
      <c r="A2413" s="20">
        <v>44608</v>
      </c>
      <c r="B2413" s="57">
        <f t="shared" ref="B2413" si="3627">B2402</f>
        <v>201</v>
      </c>
      <c r="C2413" s="1" t="s">
        <v>521</v>
      </c>
      <c r="D2413" s="1" t="s">
        <v>38</v>
      </c>
      <c r="E2413" s="26" t="e">
        <f t="shared" ref="E2413:F2413" si="3628">+E2412</f>
        <v>#REF!</v>
      </c>
      <c r="F2413" s="26" t="e">
        <f t="shared" si="3628"/>
        <v>#REF!</v>
      </c>
      <c r="G2413" s="18">
        <f>+G2412+1</f>
        <v>12</v>
      </c>
      <c r="H2413" s="18" t="s">
        <v>10</v>
      </c>
      <c r="I2413" s="46" t="s">
        <v>10</v>
      </c>
      <c r="J2413" s="22">
        <v>12.15</v>
      </c>
      <c r="K2413" s="63">
        <v>8.5500000000000007</v>
      </c>
      <c r="L2413" s="8">
        <f t="shared" si="3610"/>
        <v>3.5999999999999996</v>
      </c>
      <c r="M2413" s="24">
        <f t="shared" si="3552"/>
        <v>8.0267558528428096E-2</v>
      </c>
      <c r="N2413" s="14"/>
    </row>
    <row r="2414" spans="1:14" x14ac:dyDescent="0.25">
      <c r="A2414" s="19">
        <v>44609</v>
      </c>
      <c r="B2414" s="15">
        <f t="shared" ref="B2414" si="3629">B2402+1</f>
        <v>202</v>
      </c>
      <c r="C2414" s="15" t="s">
        <v>523</v>
      </c>
      <c r="D2414" s="15" t="s">
        <v>290</v>
      </c>
      <c r="E2414" s="25">
        <f>40.4-1.2</f>
        <v>39.199999999999996</v>
      </c>
      <c r="F2414" s="25">
        <f>+SUM(L2414:L2425)</f>
        <v>38.999999999999993</v>
      </c>
      <c r="G2414" s="16">
        <v>1</v>
      </c>
      <c r="H2414" s="16" t="s">
        <v>9</v>
      </c>
      <c r="I2414" s="59" t="s">
        <v>56</v>
      </c>
      <c r="J2414" s="21">
        <f>16.4+14.2+10.55</f>
        <v>41.15</v>
      </c>
      <c r="K2414" s="21">
        <f>8.55+8.55+8.55</f>
        <v>25.650000000000002</v>
      </c>
      <c r="L2414" s="12">
        <f>+J2414-K2414</f>
        <v>15.499999999999996</v>
      </c>
      <c r="M2414" s="23">
        <f t="shared" si="3552"/>
        <v>0.39743589743589741</v>
      </c>
      <c r="N2414" s="13"/>
    </row>
    <row r="2415" spans="1:14" x14ac:dyDescent="0.25">
      <c r="A2415" s="20">
        <v>44609</v>
      </c>
      <c r="B2415" s="1">
        <f t="shared" ref="B2415" si="3630">B2414</f>
        <v>202</v>
      </c>
      <c r="C2415" s="1" t="s">
        <v>523</v>
      </c>
      <c r="D2415" s="1" t="s">
        <v>290</v>
      </c>
      <c r="E2415" s="26">
        <f>+E2414</f>
        <v>39.199999999999996</v>
      </c>
      <c r="F2415" s="28">
        <f>+(F2414-E2414)/E2414</f>
        <v>-5.1020408163266039E-3</v>
      </c>
      <c r="G2415" s="17">
        <v>2</v>
      </c>
      <c r="H2415" s="17" t="s">
        <v>9</v>
      </c>
      <c r="I2415" s="30" t="s">
        <v>57</v>
      </c>
      <c r="J2415" s="22">
        <f>11.8+14.8+15.95</f>
        <v>42.55</v>
      </c>
      <c r="K2415" s="22">
        <f>8.55+8.5+8.5</f>
        <v>25.55</v>
      </c>
      <c r="L2415" s="8">
        <f t="shared" ref="L2415:L2425" si="3631">+J2415-K2415</f>
        <v>16.999999999999996</v>
      </c>
      <c r="M2415" s="24">
        <f t="shared" si="3552"/>
        <v>0.4358974358974359</v>
      </c>
      <c r="N2415" s="14"/>
    </row>
    <row r="2416" spans="1:14" x14ac:dyDescent="0.25">
      <c r="A2416" s="20">
        <v>44609</v>
      </c>
      <c r="B2416" s="1">
        <f t="shared" ref="B2416" si="3632">B2414</f>
        <v>202</v>
      </c>
      <c r="C2416" s="1" t="s">
        <v>523</v>
      </c>
      <c r="D2416" s="1" t="s">
        <v>290</v>
      </c>
      <c r="E2416" s="26" t="e">
        <f>+#REF!</f>
        <v>#REF!</v>
      </c>
      <c r="F2416" s="26" t="e">
        <f>+#REF!</f>
        <v>#REF!</v>
      </c>
      <c r="G2416" s="17">
        <v>3</v>
      </c>
      <c r="H2416" s="17" t="s">
        <v>9</v>
      </c>
      <c r="I2416" s="30" t="s">
        <v>58</v>
      </c>
      <c r="J2416" s="22">
        <f>10.5+1.05</f>
        <v>11.55</v>
      </c>
      <c r="K2416" s="22">
        <f>8.55+0.55</f>
        <v>9.1000000000000014</v>
      </c>
      <c r="L2416" s="8">
        <f t="shared" si="3631"/>
        <v>2.4499999999999993</v>
      </c>
      <c r="M2416" s="24">
        <f t="shared" si="3552"/>
        <v>6.2820512820512819E-2</v>
      </c>
      <c r="N2416" s="14"/>
    </row>
    <row r="2417" spans="1:14" x14ac:dyDescent="0.25">
      <c r="A2417" s="20">
        <v>44609</v>
      </c>
      <c r="B2417" s="1">
        <f t="shared" ref="B2417" si="3633">B2414</f>
        <v>202</v>
      </c>
      <c r="C2417" s="1" t="s">
        <v>523</v>
      </c>
      <c r="D2417" s="1" t="s">
        <v>290</v>
      </c>
      <c r="E2417" s="26" t="e">
        <f t="shared" ref="E2417:F2420" si="3634">+E2416</f>
        <v>#REF!</v>
      </c>
      <c r="F2417" s="26" t="e">
        <f t="shared" si="3634"/>
        <v>#REF!</v>
      </c>
      <c r="G2417" s="17">
        <v>4</v>
      </c>
      <c r="H2417" s="17" t="s">
        <v>9</v>
      </c>
      <c r="I2417" s="30" t="s">
        <v>22</v>
      </c>
      <c r="J2417" s="22">
        <f>0.7</f>
        <v>0.7</v>
      </c>
      <c r="K2417" s="22">
        <f>0.5</f>
        <v>0.5</v>
      </c>
      <c r="L2417" s="8">
        <f t="shared" si="3631"/>
        <v>0.19999999999999996</v>
      </c>
      <c r="M2417" s="24">
        <f t="shared" si="3552"/>
        <v>5.1282051282051282E-3</v>
      </c>
      <c r="N2417" s="14"/>
    </row>
    <row r="2418" spans="1:14" x14ac:dyDescent="0.25">
      <c r="A2418" s="20">
        <v>44609</v>
      </c>
      <c r="B2418" s="1">
        <f t="shared" ref="B2418" si="3635">B2414</f>
        <v>202</v>
      </c>
      <c r="C2418" s="1" t="s">
        <v>523</v>
      </c>
      <c r="D2418" s="1" t="s">
        <v>290</v>
      </c>
      <c r="E2418" s="26" t="e">
        <f t="shared" si="3634"/>
        <v>#REF!</v>
      </c>
      <c r="F2418" s="26" t="e">
        <f t="shared" si="3634"/>
        <v>#REF!</v>
      </c>
      <c r="G2418" s="17">
        <v>5</v>
      </c>
      <c r="H2418" s="17" t="s">
        <v>9</v>
      </c>
      <c r="I2418" s="30" t="s">
        <v>34</v>
      </c>
      <c r="J2418" s="22">
        <v>0.75</v>
      </c>
      <c r="K2418" s="63">
        <v>0.55000000000000004</v>
      </c>
      <c r="L2418" s="8">
        <f t="shared" si="3631"/>
        <v>0.19999999999999996</v>
      </c>
      <c r="M2418" s="24">
        <f t="shared" si="3552"/>
        <v>5.1282051282051282E-3</v>
      </c>
      <c r="N2418" s="14"/>
    </row>
    <row r="2419" spans="1:14" x14ac:dyDescent="0.25">
      <c r="A2419" s="20">
        <v>44609</v>
      </c>
      <c r="B2419" s="1">
        <f t="shared" ref="B2419" si="3636">B2414</f>
        <v>202</v>
      </c>
      <c r="C2419" s="1" t="s">
        <v>523</v>
      </c>
      <c r="D2419" s="1" t="s">
        <v>290</v>
      </c>
      <c r="E2419" s="26" t="e">
        <f t="shared" si="3634"/>
        <v>#REF!</v>
      </c>
      <c r="F2419" s="26" t="e">
        <f t="shared" si="3634"/>
        <v>#REF!</v>
      </c>
      <c r="G2419" s="17">
        <v>6</v>
      </c>
      <c r="H2419" s="17" t="s">
        <v>9</v>
      </c>
      <c r="I2419" s="30" t="s">
        <v>35</v>
      </c>
      <c r="J2419" s="22"/>
      <c r="K2419" s="22"/>
      <c r="L2419" s="8">
        <f t="shared" si="3631"/>
        <v>0</v>
      </c>
      <c r="M2419" s="24">
        <f t="shared" si="3552"/>
        <v>0</v>
      </c>
      <c r="N2419" s="14"/>
    </row>
    <row r="2420" spans="1:14" x14ac:dyDescent="0.25">
      <c r="A2420" s="20">
        <v>44609</v>
      </c>
      <c r="B2420" s="1">
        <f t="shared" ref="B2420" si="3637">B2414</f>
        <v>202</v>
      </c>
      <c r="C2420" s="1" t="s">
        <v>523</v>
      </c>
      <c r="D2420" s="1" t="s">
        <v>290</v>
      </c>
      <c r="E2420" s="26" t="e">
        <f t="shared" si="3634"/>
        <v>#REF!</v>
      </c>
      <c r="F2420" s="26" t="e">
        <f t="shared" si="3634"/>
        <v>#REF!</v>
      </c>
      <c r="G2420" s="17">
        <v>7</v>
      </c>
      <c r="H2420" s="17" t="s">
        <v>9</v>
      </c>
      <c r="I2420" s="30" t="s">
        <v>36</v>
      </c>
      <c r="J2420" s="22"/>
      <c r="K2420" s="22"/>
      <c r="L2420" s="8">
        <f t="shared" si="3631"/>
        <v>0</v>
      </c>
      <c r="M2420" s="24">
        <f t="shared" si="3552"/>
        <v>0</v>
      </c>
      <c r="N2420" s="14"/>
    </row>
    <row r="2421" spans="1:14" x14ac:dyDescent="0.25">
      <c r="A2421" s="20">
        <v>44609</v>
      </c>
      <c r="B2421" s="1">
        <f t="shared" ref="B2421" si="3638">B2414</f>
        <v>202</v>
      </c>
      <c r="C2421" s="1" t="s">
        <v>523</v>
      </c>
      <c r="D2421" s="1" t="s">
        <v>290</v>
      </c>
      <c r="E2421" s="26" t="e">
        <f>+E2420</f>
        <v>#REF!</v>
      </c>
      <c r="F2421" s="26" t="e">
        <f>+F2420</f>
        <v>#REF!</v>
      </c>
      <c r="G2421" s="17">
        <v>8</v>
      </c>
      <c r="H2421" s="17" t="s">
        <v>9</v>
      </c>
      <c r="I2421" s="30" t="s">
        <v>59</v>
      </c>
      <c r="J2421" s="22">
        <v>0.9</v>
      </c>
      <c r="K2421" s="22">
        <v>0.55000000000000004</v>
      </c>
      <c r="L2421" s="8">
        <f t="shared" si="3631"/>
        <v>0.35</v>
      </c>
      <c r="M2421" s="24">
        <f t="shared" si="3552"/>
        <v>8.9743589743589754E-3</v>
      </c>
      <c r="N2421" s="14"/>
    </row>
    <row r="2422" spans="1:14" x14ac:dyDescent="0.25">
      <c r="A2422" s="20">
        <v>44609</v>
      </c>
      <c r="B2422" s="1">
        <f t="shared" ref="B2422" si="3639">B2414</f>
        <v>202</v>
      </c>
      <c r="C2422" s="1" t="s">
        <v>523</v>
      </c>
      <c r="D2422" s="1" t="s">
        <v>290</v>
      </c>
      <c r="E2422" s="26" t="e">
        <f t="shared" ref="E2422:F2425" si="3640">+E2421</f>
        <v>#REF!</v>
      </c>
      <c r="F2422" s="26" t="e">
        <f t="shared" si="3640"/>
        <v>#REF!</v>
      </c>
      <c r="G2422" s="17">
        <v>9</v>
      </c>
      <c r="H2422" s="17" t="s">
        <v>9</v>
      </c>
      <c r="I2422" s="30" t="s">
        <v>38</v>
      </c>
      <c r="J2422" s="22"/>
      <c r="K2422" s="22"/>
      <c r="L2422" s="8">
        <f t="shared" si="3631"/>
        <v>0</v>
      </c>
      <c r="M2422" s="24">
        <f t="shared" si="3552"/>
        <v>0</v>
      </c>
      <c r="N2422" s="14"/>
    </row>
    <row r="2423" spans="1:14" x14ac:dyDescent="0.25">
      <c r="A2423" s="20">
        <v>44609</v>
      </c>
      <c r="B2423" s="1">
        <f t="shared" ref="B2423" si="3641">B2414</f>
        <v>202</v>
      </c>
      <c r="C2423" s="1" t="s">
        <v>523</v>
      </c>
      <c r="D2423" s="1" t="s">
        <v>290</v>
      </c>
      <c r="E2423" s="26" t="e">
        <f t="shared" si="3640"/>
        <v>#REF!</v>
      </c>
      <c r="F2423" s="26" t="e">
        <f t="shared" si="3640"/>
        <v>#REF!</v>
      </c>
      <c r="G2423" s="17">
        <v>10</v>
      </c>
      <c r="H2423" s="17" t="s">
        <v>9</v>
      </c>
      <c r="I2423" s="30" t="s">
        <v>23</v>
      </c>
      <c r="J2423" s="22">
        <f>1.4</f>
        <v>1.4</v>
      </c>
      <c r="K2423" s="22">
        <f>0.55</f>
        <v>0.55000000000000004</v>
      </c>
      <c r="L2423" s="8">
        <f t="shared" si="3631"/>
        <v>0.84999999999999987</v>
      </c>
      <c r="M2423" s="24">
        <f t="shared" si="3552"/>
        <v>2.1794871794871794E-2</v>
      </c>
      <c r="N2423" s="14"/>
    </row>
    <row r="2424" spans="1:14" x14ac:dyDescent="0.25">
      <c r="A2424" s="20">
        <v>44609</v>
      </c>
      <c r="B2424" s="1">
        <f t="shared" ref="B2424" si="3642">B2414</f>
        <v>202</v>
      </c>
      <c r="C2424" s="1" t="s">
        <v>523</v>
      </c>
      <c r="D2424" s="1" t="s">
        <v>290</v>
      </c>
      <c r="E2424" s="26" t="e">
        <f t="shared" si="3640"/>
        <v>#REF!</v>
      </c>
      <c r="F2424" s="26" t="e">
        <f t="shared" si="3640"/>
        <v>#REF!</v>
      </c>
      <c r="G2424" s="17">
        <v>11</v>
      </c>
      <c r="H2424" s="17" t="s">
        <v>9</v>
      </c>
      <c r="I2424" s="30" t="s">
        <v>60</v>
      </c>
      <c r="J2424" s="22">
        <v>0.85</v>
      </c>
      <c r="K2424" s="22">
        <v>0.55000000000000004</v>
      </c>
      <c r="L2424" s="8">
        <f t="shared" si="3631"/>
        <v>0.29999999999999993</v>
      </c>
      <c r="M2424" s="24">
        <f t="shared" si="3552"/>
        <v>7.6923076923076919E-3</v>
      </c>
      <c r="N2424" s="14"/>
    </row>
    <row r="2425" spans="1:14" ht="15.75" thickBot="1" x14ac:dyDescent="0.3">
      <c r="A2425" s="20">
        <v>44609</v>
      </c>
      <c r="B2425" s="57">
        <f t="shared" ref="B2425" si="3643">B2414</f>
        <v>202</v>
      </c>
      <c r="C2425" s="1" t="s">
        <v>523</v>
      </c>
      <c r="D2425" s="57" t="s">
        <v>290</v>
      </c>
      <c r="E2425" s="26" t="e">
        <f t="shared" si="3640"/>
        <v>#REF!</v>
      </c>
      <c r="F2425" s="26" t="e">
        <f t="shared" si="3640"/>
        <v>#REF!</v>
      </c>
      <c r="G2425" s="18">
        <f>+G2424+1</f>
        <v>12</v>
      </c>
      <c r="H2425" s="18" t="s">
        <v>10</v>
      </c>
      <c r="I2425" s="46" t="s">
        <v>10</v>
      </c>
      <c r="J2425" s="22">
        <v>10.7</v>
      </c>
      <c r="K2425" s="63">
        <v>8.5500000000000007</v>
      </c>
      <c r="L2425" s="8">
        <f t="shared" si="3631"/>
        <v>2.1499999999999986</v>
      </c>
      <c r="M2425" s="24">
        <f t="shared" si="3552"/>
        <v>5.5128205128205099E-2</v>
      </c>
      <c r="N2425" s="14"/>
    </row>
    <row r="2426" spans="1:14" x14ac:dyDescent="0.25">
      <c r="A2426" s="19">
        <v>44609</v>
      </c>
      <c r="B2426" s="15">
        <f t="shared" ref="B2426" si="3644">B2414+1</f>
        <v>203</v>
      </c>
      <c r="C2426" s="15" t="s">
        <v>524</v>
      </c>
      <c r="D2426" s="15" t="s">
        <v>301</v>
      </c>
      <c r="E2426" s="25">
        <f>32-1.2</f>
        <v>30.8</v>
      </c>
      <c r="F2426" s="25">
        <f>+SUM(L2426:L2437)</f>
        <v>31.249999999999993</v>
      </c>
      <c r="G2426" s="16">
        <v>1</v>
      </c>
      <c r="H2426" s="16" t="s">
        <v>9</v>
      </c>
      <c r="I2426" s="59" t="s">
        <v>56</v>
      </c>
      <c r="J2426" s="21">
        <f>14.2+13.6+13+14+13.45+13.6</f>
        <v>81.849999999999994</v>
      </c>
      <c r="K2426" s="21">
        <f>8.55+8.5+8.55+8.55+8.3+8.55</f>
        <v>51</v>
      </c>
      <c r="L2426" s="12">
        <f>+J2426-K2426</f>
        <v>30.849999999999994</v>
      </c>
      <c r="M2426" s="23">
        <f t="shared" si="3552"/>
        <v>0.98720000000000008</v>
      </c>
      <c r="N2426" s="13"/>
    </row>
    <row r="2427" spans="1:14" x14ac:dyDescent="0.25">
      <c r="A2427" s="20">
        <v>44609</v>
      </c>
      <c r="B2427" s="1">
        <f t="shared" ref="B2427" si="3645">B2426</f>
        <v>203</v>
      </c>
      <c r="C2427" s="1" t="s">
        <v>524</v>
      </c>
      <c r="D2427" s="1" t="s">
        <v>301</v>
      </c>
      <c r="E2427" s="26">
        <f>+E2426</f>
        <v>30.8</v>
      </c>
      <c r="F2427" s="28">
        <f>+(F2426-E2426)/E2426</f>
        <v>1.4610389610389357E-2</v>
      </c>
      <c r="G2427" s="17">
        <v>2</v>
      </c>
      <c r="H2427" s="17" t="s">
        <v>9</v>
      </c>
      <c r="I2427" s="30" t="s">
        <v>57</v>
      </c>
      <c r="J2427" s="22">
        <f>0.7</f>
        <v>0.7</v>
      </c>
      <c r="K2427" s="22">
        <f>0.55</f>
        <v>0.55000000000000004</v>
      </c>
      <c r="L2427" s="8">
        <f t="shared" ref="L2427:L2437" si="3646">+J2427-K2427</f>
        <v>0.14999999999999991</v>
      </c>
      <c r="M2427" s="24">
        <f t="shared" si="3552"/>
        <v>4.7999999999999978E-3</v>
      </c>
      <c r="N2427" s="14"/>
    </row>
    <row r="2428" spans="1:14" x14ac:dyDescent="0.25">
      <c r="A2428" s="20">
        <v>44609</v>
      </c>
      <c r="B2428" s="1">
        <f t="shared" ref="B2428" si="3647">B2426</f>
        <v>203</v>
      </c>
      <c r="C2428" s="1" t="s">
        <v>524</v>
      </c>
      <c r="D2428" s="1" t="s">
        <v>301</v>
      </c>
      <c r="E2428" s="26" t="e">
        <f>+#REF!</f>
        <v>#REF!</v>
      </c>
      <c r="F2428" s="26" t="e">
        <f>+#REF!</f>
        <v>#REF!</v>
      </c>
      <c r="G2428" s="17">
        <v>3</v>
      </c>
      <c r="H2428" s="17" t="s">
        <v>9</v>
      </c>
      <c r="I2428" s="30" t="s">
        <v>58</v>
      </c>
      <c r="J2428" s="22"/>
      <c r="K2428" s="22"/>
      <c r="L2428" s="8">
        <f t="shared" si="3646"/>
        <v>0</v>
      </c>
      <c r="M2428" s="24">
        <f t="shared" si="3552"/>
        <v>0</v>
      </c>
      <c r="N2428" s="14"/>
    </row>
    <row r="2429" spans="1:14" x14ac:dyDescent="0.25">
      <c r="A2429" s="20">
        <v>44609</v>
      </c>
      <c r="B2429" s="1">
        <f t="shared" ref="B2429" si="3648">B2426</f>
        <v>203</v>
      </c>
      <c r="C2429" s="1" t="s">
        <v>524</v>
      </c>
      <c r="D2429" s="1" t="s">
        <v>301</v>
      </c>
      <c r="E2429" s="26" t="e">
        <f t="shared" ref="E2429:F2432" si="3649">+E2428</f>
        <v>#REF!</v>
      </c>
      <c r="F2429" s="26" t="e">
        <f t="shared" si="3649"/>
        <v>#REF!</v>
      </c>
      <c r="G2429" s="17">
        <v>4</v>
      </c>
      <c r="H2429" s="17" t="s">
        <v>9</v>
      </c>
      <c r="I2429" s="30" t="s">
        <v>22</v>
      </c>
      <c r="J2429" s="22"/>
      <c r="K2429" s="22"/>
      <c r="L2429" s="8">
        <f t="shared" si="3646"/>
        <v>0</v>
      </c>
      <c r="M2429" s="24">
        <f t="shared" si="3552"/>
        <v>0</v>
      </c>
      <c r="N2429" s="14"/>
    </row>
    <row r="2430" spans="1:14" x14ac:dyDescent="0.25">
      <c r="A2430" s="20">
        <v>44609</v>
      </c>
      <c r="B2430" s="1">
        <f t="shared" ref="B2430" si="3650">B2426</f>
        <v>203</v>
      </c>
      <c r="C2430" s="1" t="s">
        <v>524</v>
      </c>
      <c r="D2430" s="1" t="s">
        <v>301</v>
      </c>
      <c r="E2430" s="26" t="e">
        <f t="shared" si="3649"/>
        <v>#REF!</v>
      </c>
      <c r="F2430" s="26" t="e">
        <f t="shared" si="3649"/>
        <v>#REF!</v>
      </c>
      <c r="G2430" s="17">
        <v>5</v>
      </c>
      <c r="H2430" s="17" t="s">
        <v>9</v>
      </c>
      <c r="I2430" s="30" t="s">
        <v>34</v>
      </c>
      <c r="J2430" s="22"/>
      <c r="K2430" s="63"/>
      <c r="L2430" s="8">
        <f t="shared" si="3646"/>
        <v>0</v>
      </c>
      <c r="M2430" s="24">
        <f t="shared" si="3552"/>
        <v>0</v>
      </c>
      <c r="N2430" s="14"/>
    </row>
    <row r="2431" spans="1:14" x14ac:dyDescent="0.25">
      <c r="A2431" s="20">
        <v>44609</v>
      </c>
      <c r="B2431" s="1">
        <f t="shared" ref="B2431" si="3651">B2426</f>
        <v>203</v>
      </c>
      <c r="C2431" s="1" t="s">
        <v>524</v>
      </c>
      <c r="D2431" s="1" t="s">
        <v>301</v>
      </c>
      <c r="E2431" s="26" t="e">
        <f t="shared" si="3649"/>
        <v>#REF!</v>
      </c>
      <c r="F2431" s="26" t="e">
        <f t="shared" si="3649"/>
        <v>#REF!</v>
      </c>
      <c r="G2431" s="17">
        <v>6</v>
      </c>
      <c r="H2431" s="17" t="s">
        <v>9</v>
      </c>
      <c r="I2431" s="30" t="s">
        <v>35</v>
      </c>
      <c r="J2431" s="22"/>
      <c r="K2431" s="22"/>
      <c r="L2431" s="8">
        <f t="shared" si="3646"/>
        <v>0</v>
      </c>
      <c r="M2431" s="24">
        <f t="shared" si="3552"/>
        <v>0</v>
      </c>
      <c r="N2431" s="14"/>
    </row>
    <row r="2432" spans="1:14" x14ac:dyDescent="0.25">
      <c r="A2432" s="20">
        <v>44609</v>
      </c>
      <c r="B2432" s="1">
        <f t="shared" ref="B2432" si="3652">B2426</f>
        <v>203</v>
      </c>
      <c r="C2432" s="1" t="s">
        <v>524</v>
      </c>
      <c r="D2432" s="1" t="s">
        <v>301</v>
      </c>
      <c r="E2432" s="26" t="e">
        <f t="shared" si="3649"/>
        <v>#REF!</v>
      </c>
      <c r="F2432" s="26" t="e">
        <f t="shared" si="3649"/>
        <v>#REF!</v>
      </c>
      <c r="G2432" s="17">
        <v>7</v>
      </c>
      <c r="H2432" s="17" t="s">
        <v>9</v>
      </c>
      <c r="I2432" s="30" t="s">
        <v>36</v>
      </c>
      <c r="J2432" s="22"/>
      <c r="K2432" s="22"/>
      <c r="L2432" s="8">
        <f t="shared" si="3646"/>
        <v>0</v>
      </c>
      <c r="M2432" s="24">
        <f t="shared" si="3552"/>
        <v>0</v>
      </c>
      <c r="N2432" s="14"/>
    </row>
    <row r="2433" spans="1:14" x14ac:dyDescent="0.25">
      <c r="A2433" s="20">
        <v>44609</v>
      </c>
      <c r="B2433" s="1">
        <f t="shared" ref="B2433" si="3653">B2426</f>
        <v>203</v>
      </c>
      <c r="C2433" s="1" t="s">
        <v>524</v>
      </c>
      <c r="D2433" s="1" t="s">
        <v>301</v>
      </c>
      <c r="E2433" s="26" t="e">
        <f>+E2432</f>
        <v>#REF!</v>
      </c>
      <c r="F2433" s="26" t="e">
        <f>+F2432</f>
        <v>#REF!</v>
      </c>
      <c r="G2433" s="17">
        <v>8</v>
      </c>
      <c r="H2433" s="17" t="s">
        <v>9</v>
      </c>
      <c r="I2433" s="30" t="s">
        <v>59</v>
      </c>
      <c r="J2433" s="22"/>
      <c r="K2433" s="22"/>
      <c r="L2433" s="8">
        <f t="shared" si="3646"/>
        <v>0</v>
      </c>
      <c r="M2433" s="24">
        <f t="shared" si="3552"/>
        <v>0</v>
      </c>
      <c r="N2433" s="14"/>
    </row>
    <row r="2434" spans="1:14" x14ac:dyDescent="0.25">
      <c r="A2434" s="20">
        <v>44609</v>
      </c>
      <c r="B2434" s="1">
        <f t="shared" ref="B2434" si="3654">B2426</f>
        <v>203</v>
      </c>
      <c r="C2434" s="1" t="s">
        <v>524</v>
      </c>
      <c r="D2434" s="1" t="s">
        <v>301</v>
      </c>
      <c r="E2434" s="26" t="e">
        <f t="shared" ref="E2434:F2437" si="3655">+E2433</f>
        <v>#REF!</v>
      </c>
      <c r="F2434" s="26" t="e">
        <f t="shared" si="3655"/>
        <v>#REF!</v>
      </c>
      <c r="G2434" s="17">
        <v>9</v>
      </c>
      <c r="H2434" s="17" t="s">
        <v>9</v>
      </c>
      <c r="I2434" s="30" t="s">
        <v>38</v>
      </c>
      <c r="J2434" s="22"/>
      <c r="K2434" s="22"/>
      <c r="L2434" s="8">
        <f t="shared" si="3646"/>
        <v>0</v>
      </c>
      <c r="M2434" s="24">
        <f t="shared" ref="M2434:M2497" si="3656">+L2434/SUMIF(C:C,C2434,L:L)</f>
        <v>0</v>
      </c>
      <c r="N2434" s="14"/>
    </row>
    <row r="2435" spans="1:14" x14ac:dyDescent="0.25">
      <c r="A2435" s="20">
        <v>44609</v>
      </c>
      <c r="B2435" s="1">
        <f t="shared" ref="B2435" si="3657">B2426</f>
        <v>203</v>
      </c>
      <c r="C2435" s="1" t="s">
        <v>524</v>
      </c>
      <c r="D2435" s="1" t="s">
        <v>301</v>
      </c>
      <c r="E2435" s="26" t="e">
        <f t="shared" si="3655"/>
        <v>#REF!</v>
      </c>
      <c r="F2435" s="26" t="e">
        <f t="shared" si="3655"/>
        <v>#REF!</v>
      </c>
      <c r="G2435" s="17">
        <v>10</v>
      </c>
      <c r="H2435" s="17" t="s">
        <v>9</v>
      </c>
      <c r="I2435" s="30" t="s">
        <v>23</v>
      </c>
      <c r="J2435" s="22"/>
      <c r="K2435" s="22"/>
      <c r="L2435" s="8">
        <f t="shared" si="3646"/>
        <v>0</v>
      </c>
      <c r="M2435" s="24">
        <f t="shared" si="3656"/>
        <v>0</v>
      </c>
      <c r="N2435" s="14"/>
    </row>
    <row r="2436" spans="1:14" x14ac:dyDescent="0.25">
      <c r="A2436" s="20">
        <v>44609</v>
      </c>
      <c r="B2436" s="1">
        <f t="shared" ref="B2436" si="3658">B2426</f>
        <v>203</v>
      </c>
      <c r="C2436" s="1" t="s">
        <v>524</v>
      </c>
      <c r="D2436" s="1" t="s">
        <v>301</v>
      </c>
      <c r="E2436" s="26" t="e">
        <f t="shared" si="3655"/>
        <v>#REF!</v>
      </c>
      <c r="F2436" s="26" t="e">
        <f t="shared" si="3655"/>
        <v>#REF!</v>
      </c>
      <c r="G2436" s="17">
        <v>11</v>
      </c>
      <c r="H2436" s="17" t="s">
        <v>9</v>
      </c>
      <c r="I2436" s="30" t="s">
        <v>60</v>
      </c>
      <c r="J2436" s="22">
        <v>0.6</v>
      </c>
      <c r="K2436" s="22">
        <v>0.55000000000000004</v>
      </c>
      <c r="L2436" s="8">
        <f t="shared" si="3646"/>
        <v>4.9999999999999933E-2</v>
      </c>
      <c r="M2436" s="24">
        <f t="shared" si="3656"/>
        <v>1.5999999999999981E-3</v>
      </c>
      <c r="N2436" s="14"/>
    </row>
    <row r="2437" spans="1:14" ht="15.75" thickBot="1" x14ac:dyDescent="0.3">
      <c r="A2437" s="20">
        <v>44609</v>
      </c>
      <c r="B2437" s="57">
        <f t="shared" ref="B2437" si="3659">B2426</f>
        <v>203</v>
      </c>
      <c r="C2437" s="1" t="s">
        <v>524</v>
      </c>
      <c r="D2437" s="57" t="s">
        <v>301</v>
      </c>
      <c r="E2437" s="26" t="e">
        <f t="shared" si="3655"/>
        <v>#REF!</v>
      </c>
      <c r="F2437" s="26" t="e">
        <f t="shared" si="3655"/>
        <v>#REF!</v>
      </c>
      <c r="G2437" s="18">
        <f>+G2436+1</f>
        <v>12</v>
      </c>
      <c r="H2437" s="18" t="s">
        <v>10</v>
      </c>
      <c r="I2437" s="46" t="s">
        <v>10</v>
      </c>
      <c r="J2437" s="22">
        <v>0.75</v>
      </c>
      <c r="K2437" s="63">
        <v>0.55000000000000004</v>
      </c>
      <c r="L2437" s="8">
        <f t="shared" si="3646"/>
        <v>0.19999999999999996</v>
      </c>
      <c r="M2437" s="24">
        <f t="shared" si="3656"/>
        <v>6.4000000000000003E-3</v>
      </c>
      <c r="N2437" s="14"/>
    </row>
    <row r="2438" spans="1:14" x14ac:dyDescent="0.25">
      <c r="A2438" s="19">
        <v>44609</v>
      </c>
      <c r="B2438" s="15">
        <f t="shared" ref="B2438" si="3660">B2426+1</f>
        <v>204</v>
      </c>
      <c r="C2438" s="15" t="s">
        <v>525</v>
      </c>
      <c r="D2438" s="15" t="s">
        <v>276</v>
      </c>
      <c r="E2438" s="25">
        <f>39-1.2</f>
        <v>37.799999999999997</v>
      </c>
      <c r="F2438" s="25">
        <f>+SUM(L2438:L2449)</f>
        <v>37.400000000000006</v>
      </c>
      <c r="G2438" s="16">
        <v>1</v>
      </c>
      <c r="H2438" s="16" t="s">
        <v>9</v>
      </c>
      <c r="I2438" s="59" t="s">
        <v>56</v>
      </c>
      <c r="J2438" s="21">
        <f>11</f>
        <v>11</v>
      </c>
      <c r="K2438" s="21">
        <f>8.55</f>
        <v>8.5500000000000007</v>
      </c>
      <c r="L2438" s="12">
        <f>+J2438-K2438</f>
        <v>2.4499999999999993</v>
      </c>
      <c r="M2438" s="23">
        <f t="shared" si="3656"/>
        <v>6.5508021390374302E-2</v>
      </c>
      <c r="N2438" s="13"/>
    </row>
    <row r="2439" spans="1:14" x14ac:dyDescent="0.25">
      <c r="A2439" s="20">
        <v>44609</v>
      </c>
      <c r="B2439" s="1">
        <f t="shared" ref="B2439" si="3661">B2438</f>
        <v>204</v>
      </c>
      <c r="C2439" s="1" t="s">
        <v>525</v>
      </c>
      <c r="D2439" s="1" t="s">
        <v>276</v>
      </c>
      <c r="E2439" s="26">
        <f>+E2438</f>
        <v>37.799999999999997</v>
      </c>
      <c r="F2439" s="28">
        <f>+(F2438-E2438)/E2438</f>
        <v>-1.0582010582010358E-2</v>
      </c>
      <c r="G2439" s="17">
        <v>2</v>
      </c>
      <c r="H2439" s="17" t="s">
        <v>9</v>
      </c>
      <c r="I2439" s="30" t="s">
        <v>57</v>
      </c>
      <c r="J2439" s="22">
        <f>10.9</f>
        <v>10.9</v>
      </c>
      <c r="K2439" s="22">
        <f>8.5</f>
        <v>8.5</v>
      </c>
      <c r="L2439" s="8">
        <f t="shared" ref="L2439:L2449" si="3662">+J2439-K2439</f>
        <v>2.4000000000000004</v>
      </c>
      <c r="M2439" s="24">
        <f t="shared" si="3656"/>
        <v>6.4171122994652413E-2</v>
      </c>
      <c r="N2439" s="14"/>
    </row>
    <row r="2440" spans="1:14" x14ac:dyDescent="0.25">
      <c r="A2440" s="20">
        <v>44609</v>
      </c>
      <c r="B2440" s="1">
        <f t="shared" ref="B2440" si="3663">B2438</f>
        <v>204</v>
      </c>
      <c r="C2440" s="1" t="s">
        <v>525</v>
      </c>
      <c r="D2440" s="1" t="s">
        <v>276</v>
      </c>
      <c r="E2440" s="26" t="e">
        <f>+#REF!</f>
        <v>#REF!</v>
      </c>
      <c r="F2440" s="26" t="e">
        <f>+#REF!</f>
        <v>#REF!</v>
      </c>
      <c r="G2440" s="17">
        <v>3</v>
      </c>
      <c r="H2440" s="17" t="s">
        <v>9</v>
      </c>
      <c r="I2440" s="30" t="s">
        <v>58</v>
      </c>
      <c r="J2440" s="22">
        <f>13.35</f>
        <v>13.35</v>
      </c>
      <c r="K2440" s="22">
        <f>8.55</f>
        <v>8.5500000000000007</v>
      </c>
      <c r="L2440" s="8">
        <f t="shared" si="3662"/>
        <v>4.7999999999999989</v>
      </c>
      <c r="M2440" s="24">
        <f t="shared" si="3656"/>
        <v>0.12834224598930477</v>
      </c>
      <c r="N2440" s="14"/>
    </row>
    <row r="2441" spans="1:14" x14ac:dyDescent="0.25">
      <c r="A2441" s="20">
        <v>44609</v>
      </c>
      <c r="B2441" s="1">
        <f t="shared" ref="B2441" si="3664">B2438</f>
        <v>204</v>
      </c>
      <c r="C2441" s="1" t="s">
        <v>525</v>
      </c>
      <c r="D2441" s="1" t="s">
        <v>276</v>
      </c>
      <c r="E2441" s="26" t="e">
        <f t="shared" ref="E2441:F2444" si="3665">+E2440</f>
        <v>#REF!</v>
      </c>
      <c r="F2441" s="26" t="e">
        <f t="shared" si="3665"/>
        <v>#REF!</v>
      </c>
      <c r="G2441" s="17">
        <v>4</v>
      </c>
      <c r="H2441" s="17" t="s">
        <v>9</v>
      </c>
      <c r="I2441" s="30" t="s">
        <v>22</v>
      </c>
      <c r="J2441" s="22">
        <f>0.65</f>
        <v>0.65</v>
      </c>
      <c r="K2441" s="22">
        <f>0.55</f>
        <v>0.55000000000000004</v>
      </c>
      <c r="L2441" s="8">
        <f t="shared" si="3662"/>
        <v>9.9999999999999978E-2</v>
      </c>
      <c r="M2441" s="24">
        <f t="shared" si="3656"/>
        <v>2.6737967914438492E-3</v>
      </c>
      <c r="N2441" s="14"/>
    </row>
    <row r="2442" spans="1:14" x14ac:dyDescent="0.25">
      <c r="A2442" s="20">
        <v>44609</v>
      </c>
      <c r="B2442" s="1">
        <f t="shared" ref="B2442" si="3666">B2438</f>
        <v>204</v>
      </c>
      <c r="C2442" s="1" t="s">
        <v>525</v>
      </c>
      <c r="D2442" s="1" t="s">
        <v>276</v>
      </c>
      <c r="E2442" s="26" t="e">
        <f t="shared" si="3665"/>
        <v>#REF!</v>
      </c>
      <c r="F2442" s="26" t="e">
        <f t="shared" si="3665"/>
        <v>#REF!</v>
      </c>
      <c r="G2442" s="17">
        <v>5</v>
      </c>
      <c r="H2442" s="17" t="s">
        <v>9</v>
      </c>
      <c r="I2442" s="30" t="s">
        <v>34</v>
      </c>
      <c r="J2442" s="22">
        <f>1.3</f>
        <v>1.3</v>
      </c>
      <c r="K2442" s="63">
        <f>0.5</f>
        <v>0.5</v>
      </c>
      <c r="L2442" s="8">
        <f t="shared" si="3662"/>
        <v>0.8</v>
      </c>
      <c r="M2442" s="24">
        <f t="shared" si="3656"/>
        <v>2.1390374331550801E-2</v>
      </c>
      <c r="N2442" s="14"/>
    </row>
    <row r="2443" spans="1:14" x14ac:dyDescent="0.25">
      <c r="A2443" s="20">
        <v>44609</v>
      </c>
      <c r="B2443" s="1">
        <f t="shared" ref="B2443" si="3667">B2438</f>
        <v>204</v>
      </c>
      <c r="C2443" s="1" t="s">
        <v>525</v>
      </c>
      <c r="D2443" s="1" t="s">
        <v>276</v>
      </c>
      <c r="E2443" s="26" t="e">
        <f t="shared" si="3665"/>
        <v>#REF!</v>
      </c>
      <c r="F2443" s="26" t="e">
        <f t="shared" si="3665"/>
        <v>#REF!</v>
      </c>
      <c r="G2443" s="17">
        <v>6</v>
      </c>
      <c r="H2443" s="17" t="s">
        <v>9</v>
      </c>
      <c r="I2443" s="30" t="s">
        <v>35</v>
      </c>
      <c r="J2443" s="22"/>
      <c r="K2443" s="22"/>
      <c r="L2443" s="8">
        <f t="shared" si="3662"/>
        <v>0</v>
      </c>
      <c r="M2443" s="24">
        <f t="shared" si="3656"/>
        <v>0</v>
      </c>
      <c r="N2443" s="14"/>
    </row>
    <row r="2444" spans="1:14" x14ac:dyDescent="0.25">
      <c r="A2444" s="20">
        <v>44609</v>
      </c>
      <c r="B2444" s="1">
        <f t="shared" ref="B2444" si="3668">B2438</f>
        <v>204</v>
      </c>
      <c r="C2444" s="1" t="s">
        <v>525</v>
      </c>
      <c r="D2444" s="1" t="s">
        <v>276</v>
      </c>
      <c r="E2444" s="26" t="e">
        <f t="shared" si="3665"/>
        <v>#REF!</v>
      </c>
      <c r="F2444" s="26" t="e">
        <f t="shared" si="3665"/>
        <v>#REF!</v>
      </c>
      <c r="G2444" s="17">
        <v>7</v>
      </c>
      <c r="H2444" s="17" t="s">
        <v>9</v>
      </c>
      <c r="I2444" s="30" t="s">
        <v>36</v>
      </c>
      <c r="J2444" s="22"/>
      <c r="K2444" s="22"/>
      <c r="L2444" s="8">
        <f t="shared" si="3662"/>
        <v>0</v>
      </c>
      <c r="M2444" s="24">
        <f t="shared" si="3656"/>
        <v>0</v>
      </c>
      <c r="N2444" s="14"/>
    </row>
    <row r="2445" spans="1:14" x14ac:dyDescent="0.25">
      <c r="A2445" s="20">
        <v>44609</v>
      </c>
      <c r="B2445" s="1">
        <f t="shared" ref="B2445" si="3669">B2438</f>
        <v>204</v>
      </c>
      <c r="C2445" s="1" t="s">
        <v>525</v>
      </c>
      <c r="D2445" s="1" t="s">
        <v>276</v>
      </c>
      <c r="E2445" s="26" t="e">
        <f>+E2444</f>
        <v>#REF!</v>
      </c>
      <c r="F2445" s="26" t="e">
        <f>+F2444</f>
        <v>#REF!</v>
      </c>
      <c r="G2445" s="17">
        <v>8</v>
      </c>
      <c r="H2445" s="17" t="s">
        <v>9</v>
      </c>
      <c r="I2445" s="30" t="s">
        <v>59</v>
      </c>
      <c r="J2445" s="22">
        <f>16.35</f>
        <v>16.350000000000001</v>
      </c>
      <c r="K2445" s="22">
        <f>8.55</f>
        <v>8.5500000000000007</v>
      </c>
      <c r="L2445" s="8">
        <f t="shared" si="3662"/>
        <v>7.8000000000000007</v>
      </c>
      <c r="M2445" s="24">
        <f t="shared" si="3656"/>
        <v>0.20855614973262032</v>
      </c>
      <c r="N2445" s="14"/>
    </row>
    <row r="2446" spans="1:14" x14ac:dyDescent="0.25">
      <c r="A2446" s="20">
        <v>44609</v>
      </c>
      <c r="B2446" s="1">
        <f t="shared" ref="B2446" si="3670">B2438</f>
        <v>204</v>
      </c>
      <c r="C2446" s="1" t="s">
        <v>525</v>
      </c>
      <c r="D2446" s="1" t="s">
        <v>276</v>
      </c>
      <c r="E2446" s="26" t="e">
        <f t="shared" ref="E2446:F2449" si="3671">+E2445</f>
        <v>#REF!</v>
      </c>
      <c r="F2446" s="26" t="e">
        <f t="shared" si="3671"/>
        <v>#REF!</v>
      </c>
      <c r="G2446" s="17">
        <v>9</v>
      </c>
      <c r="H2446" s="17" t="s">
        <v>9</v>
      </c>
      <c r="I2446" s="30" t="s">
        <v>38</v>
      </c>
      <c r="J2446" s="22"/>
      <c r="K2446" s="22"/>
      <c r="L2446" s="8">
        <f t="shared" si="3662"/>
        <v>0</v>
      </c>
      <c r="M2446" s="24">
        <f t="shared" si="3656"/>
        <v>0</v>
      </c>
      <c r="N2446" s="14"/>
    </row>
    <row r="2447" spans="1:14" x14ac:dyDescent="0.25">
      <c r="A2447" s="20">
        <v>44609</v>
      </c>
      <c r="B2447" s="1">
        <f t="shared" ref="B2447" si="3672">B2438</f>
        <v>204</v>
      </c>
      <c r="C2447" s="1" t="s">
        <v>525</v>
      </c>
      <c r="D2447" s="1" t="s">
        <v>276</v>
      </c>
      <c r="E2447" s="26" t="e">
        <f t="shared" si="3671"/>
        <v>#REF!</v>
      </c>
      <c r="F2447" s="26" t="e">
        <f t="shared" si="3671"/>
        <v>#REF!</v>
      </c>
      <c r="G2447" s="17">
        <v>10</v>
      </c>
      <c r="H2447" s="17" t="s">
        <v>9</v>
      </c>
      <c r="I2447" s="30" t="s">
        <v>23</v>
      </c>
      <c r="J2447" s="22">
        <f>13.15</f>
        <v>13.15</v>
      </c>
      <c r="K2447" s="22">
        <f>8.55</f>
        <v>8.5500000000000007</v>
      </c>
      <c r="L2447" s="8">
        <f t="shared" si="3662"/>
        <v>4.5999999999999996</v>
      </c>
      <c r="M2447" s="24">
        <f t="shared" si="3656"/>
        <v>0.12299465240641709</v>
      </c>
      <c r="N2447" s="14"/>
    </row>
    <row r="2448" spans="1:14" x14ac:dyDescent="0.25">
      <c r="A2448" s="20">
        <v>44609</v>
      </c>
      <c r="B2448" s="1">
        <f t="shared" ref="B2448" si="3673">B2438</f>
        <v>204</v>
      </c>
      <c r="C2448" s="1" t="s">
        <v>525</v>
      </c>
      <c r="D2448" s="1" t="s">
        <v>276</v>
      </c>
      <c r="E2448" s="26" t="e">
        <f t="shared" si="3671"/>
        <v>#REF!</v>
      </c>
      <c r="F2448" s="26" t="e">
        <f t="shared" si="3671"/>
        <v>#REF!</v>
      </c>
      <c r="G2448" s="17">
        <v>11</v>
      </c>
      <c r="H2448" s="17" t="s">
        <v>9</v>
      </c>
      <c r="I2448" s="30" t="s">
        <v>60</v>
      </c>
      <c r="J2448" s="22">
        <f>1.15</f>
        <v>1.1499999999999999</v>
      </c>
      <c r="K2448" s="22">
        <f>0.55</f>
        <v>0.55000000000000004</v>
      </c>
      <c r="L2448" s="8">
        <f t="shared" si="3662"/>
        <v>0.59999999999999987</v>
      </c>
      <c r="M2448" s="24">
        <f t="shared" si="3656"/>
        <v>1.6042780748663096E-2</v>
      </c>
      <c r="N2448" s="14"/>
    </row>
    <row r="2449" spans="1:14" ht="15.75" thickBot="1" x14ac:dyDescent="0.3">
      <c r="A2449" s="20">
        <v>44609</v>
      </c>
      <c r="B2449" s="57">
        <f t="shared" ref="B2449" si="3674">B2438</f>
        <v>204</v>
      </c>
      <c r="C2449" s="1" t="s">
        <v>525</v>
      </c>
      <c r="D2449" s="57" t="s">
        <v>276</v>
      </c>
      <c r="E2449" s="26" t="e">
        <f t="shared" si="3671"/>
        <v>#REF!</v>
      </c>
      <c r="F2449" s="26" t="e">
        <f t="shared" si="3671"/>
        <v>#REF!</v>
      </c>
      <c r="G2449" s="18">
        <f>+G2448+1</f>
        <v>12</v>
      </c>
      <c r="H2449" s="18" t="s">
        <v>10</v>
      </c>
      <c r="I2449" s="46" t="s">
        <v>10</v>
      </c>
      <c r="J2449" s="22">
        <f>15.9+15.05</f>
        <v>30.950000000000003</v>
      </c>
      <c r="K2449" s="63">
        <f>8.55+8.55</f>
        <v>17.100000000000001</v>
      </c>
      <c r="L2449" s="8">
        <f t="shared" si="3662"/>
        <v>13.850000000000001</v>
      </c>
      <c r="M2449" s="24">
        <f t="shared" si="3656"/>
        <v>0.37032085561497324</v>
      </c>
      <c r="N2449" s="14"/>
    </row>
    <row r="2450" spans="1:14" x14ac:dyDescent="0.25">
      <c r="A2450" s="19">
        <v>44609</v>
      </c>
      <c r="B2450" s="15">
        <f t="shared" ref="B2450" si="3675">B2438+1</f>
        <v>205</v>
      </c>
      <c r="C2450" s="1" t="s">
        <v>526</v>
      </c>
      <c r="D2450" s="15" t="s">
        <v>293</v>
      </c>
      <c r="E2450" s="25">
        <f>18.6-1.2</f>
        <v>17.400000000000002</v>
      </c>
      <c r="F2450" s="25">
        <f>+SUM(L2450:L2461)</f>
        <v>15.749999999999998</v>
      </c>
      <c r="G2450" s="16">
        <v>1</v>
      </c>
      <c r="H2450" s="16" t="s">
        <v>9</v>
      </c>
      <c r="I2450" s="59" t="s">
        <v>56</v>
      </c>
      <c r="J2450" s="21">
        <f>10.4</f>
        <v>10.4</v>
      </c>
      <c r="K2450" s="21">
        <f>8.5</f>
        <v>8.5</v>
      </c>
      <c r="L2450" s="12">
        <f>+J2450-K2450</f>
        <v>1.9000000000000004</v>
      </c>
      <c r="M2450" s="23">
        <f t="shared" si="3656"/>
        <v>0.23750000000000004</v>
      </c>
      <c r="N2450" s="13"/>
    </row>
    <row r="2451" spans="1:14" x14ac:dyDescent="0.25">
      <c r="A2451" s="20">
        <v>44609</v>
      </c>
      <c r="B2451" s="1">
        <f t="shared" ref="B2451" si="3676">B2450</f>
        <v>205</v>
      </c>
      <c r="C2451" s="1" t="s">
        <v>526</v>
      </c>
      <c r="D2451" s="1" t="s">
        <v>293</v>
      </c>
      <c r="E2451" s="26">
        <f>+E2450</f>
        <v>17.400000000000002</v>
      </c>
      <c r="F2451" s="28">
        <f>+(F2450-E2450)/E2450</f>
        <v>-9.4827586206896769E-2</v>
      </c>
      <c r="G2451" s="17">
        <v>2</v>
      </c>
      <c r="H2451" s="17" t="s">
        <v>9</v>
      </c>
      <c r="I2451" s="30" t="s">
        <v>57</v>
      </c>
      <c r="J2451" s="22">
        <v>10.3</v>
      </c>
      <c r="K2451" s="22">
        <v>8.5500000000000007</v>
      </c>
      <c r="L2451" s="8">
        <f t="shared" ref="L2451:L2461" si="3677">+J2451-K2451</f>
        <v>1.75</v>
      </c>
      <c r="M2451" s="24">
        <f t="shared" si="3656"/>
        <v>0.21875</v>
      </c>
      <c r="N2451" s="14"/>
    </row>
    <row r="2452" spans="1:14" x14ac:dyDescent="0.25">
      <c r="A2452" s="20">
        <v>44609</v>
      </c>
      <c r="B2452" s="1">
        <f t="shared" ref="B2452" si="3678">B2450</f>
        <v>205</v>
      </c>
      <c r="C2452" s="1" t="s">
        <v>526</v>
      </c>
      <c r="D2452" s="1" t="s">
        <v>293</v>
      </c>
      <c r="E2452" s="26" t="e">
        <f>+#REF!</f>
        <v>#REF!</v>
      </c>
      <c r="F2452" s="26" t="e">
        <f>+#REF!</f>
        <v>#REF!</v>
      </c>
      <c r="G2452" s="17">
        <v>3</v>
      </c>
      <c r="H2452" s="17" t="s">
        <v>9</v>
      </c>
      <c r="I2452" s="30" t="s">
        <v>58</v>
      </c>
      <c r="J2452" s="22">
        <f>12.9</f>
        <v>12.9</v>
      </c>
      <c r="K2452" s="22">
        <f>8.55</f>
        <v>8.5500000000000007</v>
      </c>
      <c r="L2452" s="8">
        <f t="shared" si="3677"/>
        <v>4.3499999999999996</v>
      </c>
      <c r="M2452" s="24">
        <f t="shared" si="3656"/>
        <v>0.54374999999999996</v>
      </c>
      <c r="N2452" s="14"/>
    </row>
    <row r="2453" spans="1:14" x14ac:dyDescent="0.25">
      <c r="A2453" s="20">
        <v>44609</v>
      </c>
      <c r="B2453" s="1">
        <f t="shared" ref="B2453" si="3679">B2450</f>
        <v>205</v>
      </c>
      <c r="C2453" s="1" t="s">
        <v>461</v>
      </c>
      <c r="D2453" s="1" t="s">
        <v>293</v>
      </c>
      <c r="E2453" s="26" t="e">
        <f t="shared" ref="E2453:F2456" si="3680">+E2452</f>
        <v>#REF!</v>
      </c>
      <c r="F2453" s="26" t="e">
        <f t="shared" si="3680"/>
        <v>#REF!</v>
      </c>
      <c r="G2453" s="17">
        <v>4</v>
      </c>
      <c r="H2453" s="17" t="s">
        <v>9</v>
      </c>
      <c r="I2453" s="30" t="s">
        <v>22</v>
      </c>
      <c r="J2453" s="22">
        <v>0.7</v>
      </c>
      <c r="K2453" s="22">
        <v>0.5</v>
      </c>
      <c r="L2453" s="8">
        <f t="shared" si="3677"/>
        <v>0.19999999999999996</v>
      </c>
      <c r="M2453" s="24">
        <f t="shared" si="3656"/>
        <v>9.5693779904306199E-3</v>
      </c>
      <c r="N2453" s="14"/>
    </row>
    <row r="2454" spans="1:14" x14ac:dyDescent="0.25">
      <c r="A2454" s="20">
        <v>44609</v>
      </c>
      <c r="B2454" s="1">
        <f t="shared" ref="B2454" si="3681">B2450</f>
        <v>205</v>
      </c>
      <c r="C2454" s="1" t="s">
        <v>461</v>
      </c>
      <c r="D2454" s="1" t="s">
        <v>293</v>
      </c>
      <c r="E2454" s="26" t="e">
        <f t="shared" si="3680"/>
        <v>#REF!</v>
      </c>
      <c r="F2454" s="26" t="e">
        <f t="shared" si="3680"/>
        <v>#REF!</v>
      </c>
      <c r="G2454" s="17">
        <v>5</v>
      </c>
      <c r="H2454" s="17" t="s">
        <v>9</v>
      </c>
      <c r="I2454" s="30" t="s">
        <v>34</v>
      </c>
      <c r="J2454" s="22">
        <v>0.6</v>
      </c>
      <c r="K2454" s="63">
        <v>0.55000000000000004</v>
      </c>
      <c r="L2454" s="8">
        <f t="shared" si="3677"/>
        <v>4.9999999999999933E-2</v>
      </c>
      <c r="M2454" s="24">
        <f t="shared" si="3656"/>
        <v>2.3923444976076524E-3</v>
      </c>
      <c r="N2454" s="14"/>
    </row>
    <row r="2455" spans="1:14" x14ac:dyDescent="0.25">
      <c r="A2455" s="20">
        <v>44609</v>
      </c>
      <c r="B2455" s="1">
        <f t="shared" ref="B2455" si="3682">B2450</f>
        <v>205</v>
      </c>
      <c r="C2455" s="1" t="s">
        <v>461</v>
      </c>
      <c r="D2455" s="1" t="s">
        <v>293</v>
      </c>
      <c r="E2455" s="26" t="e">
        <f t="shared" si="3680"/>
        <v>#REF!</v>
      </c>
      <c r="F2455" s="26" t="e">
        <f t="shared" si="3680"/>
        <v>#REF!</v>
      </c>
      <c r="G2455" s="17">
        <v>6</v>
      </c>
      <c r="H2455" s="17" t="s">
        <v>9</v>
      </c>
      <c r="I2455" s="30" t="s">
        <v>35</v>
      </c>
      <c r="J2455" s="22"/>
      <c r="K2455" s="22"/>
      <c r="L2455" s="8">
        <f t="shared" si="3677"/>
        <v>0</v>
      </c>
      <c r="M2455" s="24">
        <f t="shared" si="3656"/>
        <v>0</v>
      </c>
      <c r="N2455" s="14"/>
    </row>
    <row r="2456" spans="1:14" x14ac:dyDescent="0.25">
      <c r="A2456" s="20">
        <v>44609</v>
      </c>
      <c r="B2456" s="1">
        <f t="shared" ref="B2456" si="3683">B2450</f>
        <v>205</v>
      </c>
      <c r="C2456" s="1" t="s">
        <v>461</v>
      </c>
      <c r="D2456" s="1" t="s">
        <v>293</v>
      </c>
      <c r="E2456" s="26" t="e">
        <f t="shared" si="3680"/>
        <v>#REF!</v>
      </c>
      <c r="F2456" s="26" t="e">
        <f t="shared" si="3680"/>
        <v>#REF!</v>
      </c>
      <c r="G2456" s="17">
        <v>7</v>
      </c>
      <c r="H2456" s="17" t="s">
        <v>9</v>
      </c>
      <c r="I2456" s="30" t="s">
        <v>36</v>
      </c>
      <c r="J2456" s="22"/>
      <c r="K2456" s="22"/>
      <c r="L2456" s="8">
        <f t="shared" si="3677"/>
        <v>0</v>
      </c>
      <c r="M2456" s="24">
        <f t="shared" si="3656"/>
        <v>0</v>
      </c>
      <c r="N2456" s="14"/>
    </row>
    <row r="2457" spans="1:14" x14ac:dyDescent="0.25">
      <c r="A2457" s="20">
        <v>44609</v>
      </c>
      <c r="B2457" s="1">
        <f t="shared" ref="B2457" si="3684">B2450</f>
        <v>205</v>
      </c>
      <c r="C2457" s="1" t="s">
        <v>461</v>
      </c>
      <c r="D2457" s="1" t="s">
        <v>293</v>
      </c>
      <c r="E2457" s="26" t="e">
        <f>+E2456</f>
        <v>#REF!</v>
      </c>
      <c r="F2457" s="26" t="e">
        <f>+F2456</f>
        <v>#REF!</v>
      </c>
      <c r="G2457" s="17">
        <v>8</v>
      </c>
      <c r="H2457" s="17" t="s">
        <v>9</v>
      </c>
      <c r="I2457" s="30" t="s">
        <v>59</v>
      </c>
      <c r="J2457" s="22">
        <f>1.2</f>
        <v>1.2</v>
      </c>
      <c r="K2457" s="22">
        <f>0.5</f>
        <v>0.5</v>
      </c>
      <c r="L2457" s="8">
        <f t="shared" si="3677"/>
        <v>0.7</v>
      </c>
      <c r="M2457" s="24">
        <f t="shared" si="3656"/>
        <v>3.3492822966507178E-2</v>
      </c>
      <c r="N2457" s="14"/>
    </row>
    <row r="2458" spans="1:14" x14ac:dyDescent="0.25">
      <c r="A2458" s="20">
        <v>44609</v>
      </c>
      <c r="B2458" s="1">
        <f t="shared" ref="B2458" si="3685">B2450</f>
        <v>205</v>
      </c>
      <c r="C2458" s="1" t="s">
        <v>461</v>
      </c>
      <c r="D2458" s="1" t="s">
        <v>293</v>
      </c>
      <c r="E2458" s="26" t="e">
        <f t="shared" ref="E2458:F2461" si="3686">+E2457</f>
        <v>#REF!</v>
      </c>
      <c r="F2458" s="26" t="e">
        <f t="shared" si="3686"/>
        <v>#REF!</v>
      </c>
      <c r="G2458" s="17">
        <v>9</v>
      </c>
      <c r="H2458" s="17" t="s">
        <v>9</v>
      </c>
      <c r="I2458" s="30" t="s">
        <v>38</v>
      </c>
      <c r="J2458" s="22"/>
      <c r="K2458" s="22"/>
      <c r="L2458" s="8">
        <f t="shared" si="3677"/>
        <v>0</v>
      </c>
      <c r="M2458" s="24">
        <f t="shared" si="3656"/>
        <v>0</v>
      </c>
      <c r="N2458" s="14"/>
    </row>
    <row r="2459" spans="1:14" x14ac:dyDescent="0.25">
      <c r="A2459" s="20">
        <v>44609</v>
      </c>
      <c r="B2459" s="1">
        <f t="shared" ref="B2459" si="3687">B2450</f>
        <v>205</v>
      </c>
      <c r="C2459" s="1" t="s">
        <v>461</v>
      </c>
      <c r="D2459" s="1" t="s">
        <v>293</v>
      </c>
      <c r="E2459" s="26" t="e">
        <f t="shared" si="3686"/>
        <v>#REF!</v>
      </c>
      <c r="F2459" s="26" t="e">
        <f t="shared" si="3686"/>
        <v>#REF!</v>
      </c>
      <c r="G2459" s="17">
        <v>10</v>
      </c>
      <c r="H2459" s="17" t="s">
        <v>9</v>
      </c>
      <c r="I2459" s="30" t="s">
        <v>23</v>
      </c>
      <c r="J2459" s="22">
        <v>1.95</v>
      </c>
      <c r="K2459" s="22">
        <v>0.55000000000000004</v>
      </c>
      <c r="L2459" s="8">
        <f t="shared" si="3677"/>
        <v>1.4</v>
      </c>
      <c r="M2459" s="24">
        <f t="shared" si="3656"/>
        <v>6.6985645933014357E-2</v>
      </c>
      <c r="N2459" s="14"/>
    </row>
    <row r="2460" spans="1:14" x14ac:dyDescent="0.25">
      <c r="A2460" s="20">
        <v>44609</v>
      </c>
      <c r="B2460" s="1">
        <f t="shared" ref="B2460" si="3688">B2450</f>
        <v>205</v>
      </c>
      <c r="C2460" s="1" t="s">
        <v>461</v>
      </c>
      <c r="D2460" s="1" t="s">
        <v>293</v>
      </c>
      <c r="E2460" s="26" t="e">
        <f t="shared" si="3686"/>
        <v>#REF!</v>
      </c>
      <c r="F2460" s="26" t="e">
        <f t="shared" si="3686"/>
        <v>#REF!</v>
      </c>
      <c r="G2460" s="17">
        <v>11</v>
      </c>
      <c r="H2460" s="17" t="s">
        <v>9</v>
      </c>
      <c r="I2460" s="30" t="s">
        <v>60</v>
      </c>
      <c r="J2460" s="22">
        <f>9.7</f>
        <v>9.6999999999999993</v>
      </c>
      <c r="K2460" s="22">
        <f>8.55</f>
        <v>8.5500000000000007</v>
      </c>
      <c r="L2460" s="8">
        <f t="shared" si="3677"/>
        <v>1.1499999999999986</v>
      </c>
      <c r="M2460" s="24">
        <f t="shared" si="3656"/>
        <v>5.502392344497601E-2</v>
      </c>
      <c r="N2460" s="14"/>
    </row>
    <row r="2461" spans="1:14" ht="15.75" thickBot="1" x14ac:dyDescent="0.3">
      <c r="A2461" s="20">
        <v>44609</v>
      </c>
      <c r="B2461" s="57">
        <f t="shared" ref="B2461" si="3689">B2450</f>
        <v>205</v>
      </c>
      <c r="C2461" s="1" t="s">
        <v>461</v>
      </c>
      <c r="D2461" s="57" t="s">
        <v>293</v>
      </c>
      <c r="E2461" s="26" t="e">
        <f t="shared" si="3686"/>
        <v>#REF!</v>
      </c>
      <c r="F2461" s="26" t="e">
        <f t="shared" si="3686"/>
        <v>#REF!</v>
      </c>
      <c r="G2461" s="18">
        <f>+G2460+1</f>
        <v>12</v>
      </c>
      <c r="H2461" s="18" t="s">
        <v>10</v>
      </c>
      <c r="I2461" s="46" t="s">
        <v>10</v>
      </c>
      <c r="J2461" s="22">
        <f>10.75+10.6</f>
        <v>21.35</v>
      </c>
      <c r="K2461" s="63">
        <f>8.55+8.55</f>
        <v>17.100000000000001</v>
      </c>
      <c r="L2461" s="8">
        <f t="shared" si="3677"/>
        <v>4.25</v>
      </c>
      <c r="M2461" s="24">
        <f t="shared" si="3656"/>
        <v>0.20334928229665072</v>
      </c>
      <c r="N2461" s="14"/>
    </row>
    <row r="2462" spans="1:14" x14ac:dyDescent="0.25">
      <c r="A2462" s="19">
        <v>44609</v>
      </c>
      <c r="B2462" s="15">
        <f t="shared" ref="B2462" si="3690">B2450+1</f>
        <v>206</v>
      </c>
      <c r="C2462" s="15" t="s">
        <v>527</v>
      </c>
      <c r="D2462" s="15" t="s">
        <v>298</v>
      </c>
      <c r="E2462" s="25">
        <f>21.8-1.2</f>
        <v>20.6</v>
      </c>
      <c r="F2462" s="25">
        <f>+SUM(L2462:L2473)</f>
        <v>20.5</v>
      </c>
      <c r="G2462" s="16">
        <v>1</v>
      </c>
      <c r="H2462" s="16" t="s">
        <v>9</v>
      </c>
      <c r="I2462" s="59" t="s">
        <v>56</v>
      </c>
      <c r="J2462" s="21">
        <f>0.95</f>
        <v>0.95</v>
      </c>
      <c r="K2462" s="21">
        <f>0.55</f>
        <v>0.55000000000000004</v>
      </c>
      <c r="L2462" s="12">
        <f>+J2462-K2462</f>
        <v>0.39999999999999991</v>
      </c>
      <c r="M2462" s="23">
        <f t="shared" si="3656"/>
        <v>1.9512195121951216E-2</v>
      </c>
      <c r="N2462" s="13"/>
    </row>
    <row r="2463" spans="1:14" x14ac:dyDescent="0.25">
      <c r="A2463" s="20">
        <v>44609</v>
      </c>
      <c r="B2463" s="1">
        <f t="shared" ref="B2463" si="3691">B2462</f>
        <v>206</v>
      </c>
      <c r="C2463" s="1" t="s">
        <v>527</v>
      </c>
      <c r="D2463" s="1" t="s">
        <v>298</v>
      </c>
      <c r="E2463" s="26">
        <f>+E2462</f>
        <v>20.6</v>
      </c>
      <c r="F2463" s="28">
        <f>+(F2462-E2462)/E2462</f>
        <v>-4.8543689320389039E-3</v>
      </c>
      <c r="G2463" s="17">
        <v>2</v>
      </c>
      <c r="H2463" s="17" t="s">
        <v>9</v>
      </c>
      <c r="I2463" s="30" t="s">
        <v>57</v>
      </c>
      <c r="J2463" s="22">
        <v>1.05</v>
      </c>
      <c r="K2463" s="22">
        <f>0.55</f>
        <v>0.55000000000000004</v>
      </c>
      <c r="L2463" s="8">
        <f t="shared" ref="L2463:L2473" si="3692">+J2463-K2463</f>
        <v>0.5</v>
      </c>
      <c r="M2463" s="24">
        <f t="shared" si="3656"/>
        <v>2.4390243902439025E-2</v>
      </c>
      <c r="N2463" s="14"/>
    </row>
    <row r="2464" spans="1:14" x14ac:dyDescent="0.25">
      <c r="A2464" s="20">
        <v>44609</v>
      </c>
      <c r="B2464" s="1">
        <f t="shared" ref="B2464" si="3693">B2462</f>
        <v>206</v>
      </c>
      <c r="C2464" s="1" t="s">
        <v>527</v>
      </c>
      <c r="D2464" s="1" t="s">
        <v>298</v>
      </c>
      <c r="E2464" s="26" t="e">
        <f>+#REF!</f>
        <v>#REF!</v>
      </c>
      <c r="F2464" s="26" t="e">
        <f>+#REF!</f>
        <v>#REF!</v>
      </c>
      <c r="G2464" s="17">
        <v>3</v>
      </c>
      <c r="H2464" s="17" t="s">
        <v>9</v>
      </c>
      <c r="I2464" s="30" t="s">
        <v>58</v>
      </c>
      <c r="J2464" s="22">
        <f>11.25</f>
        <v>11.25</v>
      </c>
      <c r="K2464" s="22">
        <f>8.55</f>
        <v>8.5500000000000007</v>
      </c>
      <c r="L2464" s="8">
        <f t="shared" si="3692"/>
        <v>2.6999999999999993</v>
      </c>
      <c r="M2464" s="24">
        <f t="shared" si="3656"/>
        <v>0.13170731707317071</v>
      </c>
      <c r="N2464" s="14"/>
    </row>
    <row r="2465" spans="1:14" x14ac:dyDescent="0.25">
      <c r="A2465" s="20">
        <v>44609</v>
      </c>
      <c r="B2465" s="1">
        <f t="shared" ref="B2465" si="3694">B2462</f>
        <v>206</v>
      </c>
      <c r="C2465" s="1" t="s">
        <v>527</v>
      </c>
      <c r="D2465" s="1" t="s">
        <v>298</v>
      </c>
      <c r="E2465" s="26" t="e">
        <f t="shared" ref="E2465:F2468" si="3695">+E2464</f>
        <v>#REF!</v>
      </c>
      <c r="F2465" s="26" t="e">
        <f t="shared" si="3695"/>
        <v>#REF!</v>
      </c>
      <c r="G2465" s="17">
        <v>4</v>
      </c>
      <c r="H2465" s="17" t="s">
        <v>9</v>
      </c>
      <c r="I2465" s="30" t="s">
        <v>22</v>
      </c>
      <c r="J2465" s="22">
        <f>0.95</f>
        <v>0.95</v>
      </c>
      <c r="K2465" s="22">
        <f>0.55</f>
        <v>0.55000000000000004</v>
      </c>
      <c r="L2465" s="8">
        <f t="shared" si="3692"/>
        <v>0.39999999999999991</v>
      </c>
      <c r="M2465" s="24">
        <f t="shared" si="3656"/>
        <v>1.9512195121951216E-2</v>
      </c>
      <c r="N2465" s="14"/>
    </row>
    <row r="2466" spans="1:14" x14ac:dyDescent="0.25">
      <c r="A2466" s="20">
        <v>44609</v>
      </c>
      <c r="B2466" s="1">
        <f t="shared" ref="B2466" si="3696">B2462</f>
        <v>206</v>
      </c>
      <c r="C2466" s="1" t="s">
        <v>527</v>
      </c>
      <c r="D2466" s="1" t="s">
        <v>298</v>
      </c>
      <c r="E2466" s="26" t="e">
        <f t="shared" si="3695"/>
        <v>#REF!</v>
      </c>
      <c r="F2466" s="26" t="e">
        <f t="shared" si="3695"/>
        <v>#REF!</v>
      </c>
      <c r="G2466" s="17">
        <v>5</v>
      </c>
      <c r="H2466" s="17" t="s">
        <v>9</v>
      </c>
      <c r="I2466" s="30" t="s">
        <v>34</v>
      </c>
      <c r="J2466" s="22">
        <v>1.55</v>
      </c>
      <c r="K2466" s="63">
        <v>0.5</v>
      </c>
      <c r="L2466" s="8">
        <f t="shared" si="3692"/>
        <v>1.05</v>
      </c>
      <c r="M2466" s="24">
        <f t="shared" si="3656"/>
        <v>5.1219512195121955E-2</v>
      </c>
      <c r="N2466" s="14"/>
    </row>
    <row r="2467" spans="1:14" x14ac:dyDescent="0.25">
      <c r="A2467" s="20">
        <v>44609</v>
      </c>
      <c r="B2467" s="1">
        <f t="shared" ref="B2467" si="3697">B2462</f>
        <v>206</v>
      </c>
      <c r="C2467" s="1" t="s">
        <v>527</v>
      </c>
      <c r="D2467" s="1" t="s">
        <v>298</v>
      </c>
      <c r="E2467" s="26" t="e">
        <f t="shared" si="3695"/>
        <v>#REF!</v>
      </c>
      <c r="F2467" s="26" t="e">
        <f t="shared" si="3695"/>
        <v>#REF!</v>
      </c>
      <c r="G2467" s="17">
        <v>6</v>
      </c>
      <c r="H2467" s="17" t="s">
        <v>9</v>
      </c>
      <c r="I2467" s="30" t="s">
        <v>35</v>
      </c>
      <c r="J2467" s="22"/>
      <c r="K2467" s="22"/>
      <c r="L2467" s="8">
        <f t="shared" si="3692"/>
        <v>0</v>
      </c>
      <c r="M2467" s="24">
        <f t="shared" si="3656"/>
        <v>0</v>
      </c>
      <c r="N2467" s="14"/>
    </row>
    <row r="2468" spans="1:14" x14ac:dyDescent="0.25">
      <c r="A2468" s="20">
        <v>44609</v>
      </c>
      <c r="B2468" s="1">
        <f t="shared" ref="B2468" si="3698">B2462</f>
        <v>206</v>
      </c>
      <c r="C2468" s="1" t="s">
        <v>527</v>
      </c>
      <c r="D2468" s="1" t="s">
        <v>298</v>
      </c>
      <c r="E2468" s="26" t="e">
        <f t="shared" si="3695"/>
        <v>#REF!</v>
      </c>
      <c r="F2468" s="26" t="e">
        <f t="shared" si="3695"/>
        <v>#REF!</v>
      </c>
      <c r="G2468" s="17">
        <v>7</v>
      </c>
      <c r="H2468" s="17" t="s">
        <v>9</v>
      </c>
      <c r="I2468" s="30" t="s">
        <v>36</v>
      </c>
      <c r="J2468" s="22"/>
      <c r="K2468" s="22"/>
      <c r="L2468" s="8">
        <f t="shared" si="3692"/>
        <v>0</v>
      </c>
      <c r="M2468" s="24">
        <f t="shared" si="3656"/>
        <v>0</v>
      </c>
      <c r="N2468" s="14"/>
    </row>
    <row r="2469" spans="1:14" x14ac:dyDescent="0.25">
      <c r="A2469" s="20">
        <v>44609</v>
      </c>
      <c r="B2469" s="1">
        <f t="shared" ref="B2469" si="3699">B2462</f>
        <v>206</v>
      </c>
      <c r="C2469" s="1" t="s">
        <v>527</v>
      </c>
      <c r="D2469" s="1" t="s">
        <v>298</v>
      </c>
      <c r="E2469" s="26" t="e">
        <f>+E2468</f>
        <v>#REF!</v>
      </c>
      <c r="F2469" s="26" t="e">
        <f>+F2468</f>
        <v>#REF!</v>
      </c>
      <c r="G2469" s="17">
        <v>8</v>
      </c>
      <c r="H2469" s="17" t="s">
        <v>9</v>
      </c>
      <c r="I2469" s="30" t="s">
        <v>59</v>
      </c>
      <c r="J2469" s="22">
        <f>6.25</f>
        <v>6.25</v>
      </c>
      <c r="K2469" s="22">
        <f>0.55*2</f>
        <v>1.1000000000000001</v>
      </c>
      <c r="L2469" s="8">
        <f t="shared" si="3692"/>
        <v>5.15</v>
      </c>
      <c r="M2469" s="24">
        <f t="shared" si="3656"/>
        <v>0.25121951219512195</v>
      </c>
      <c r="N2469" s="14"/>
    </row>
    <row r="2470" spans="1:14" x14ac:dyDescent="0.25">
      <c r="A2470" s="20">
        <v>44609</v>
      </c>
      <c r="B2470" s="1">
        <f t="shared" ref="B2470" si="3700">B2462</f>
        <v>206</v>
      </c>
      <c r="C2470" s="1" t="s">
        <v>527</v>
      </c>
      <c r="D2470" s="1" t="s">
        <v>298</v>
      </c>
      <c r="E2470" s="26" t="e">
        <f t="shared" ref="E2470:F2473" si="3701">+E2469</f>
        <v>#REF!</v>
      </c>
      <c r="F2470" s="26" t="e">
        <f t="shared" si="3701"/>
        <v>#REF!</v>
      </c>
      <c r="G2470" s="17">
        <v>9</v>
      </c>
      <c r="H2470" s="17" t="s">
        <v>9</v>
      </c>
      <c r="I2470" s="30" t="s">
        <v>38</v>
      </c>
      <c r="J2470" s="22"/>
      <c r="K2470" s="22"/>
      <c r="L2470" s="8">
        <f t="shared" si="3692"/>
        <v>0</v>
      </c>
      <c r="M2470" s="24">
        <f t="shared" si="3656"/>
        <v>0</v>
      </c>
      <c r="N2470" s="14"/>
    </row>
    <row r="2471" spans="1:14" x14ac:dyDescent="0.25">
      <c r="A2471" s="20">
        <v>44609</v>
      </c>
      <c r="B2471" s="1">
        <f t="shared" ref="B2471" si="3702">B2462</f>
        <v>206</v>
      </c>
      <c r="C2471" s="1" t="s">
        <v>527</v>
      </c>
      <c r="D2471" s="1" t="s">
        <v>298</v>
      </c>
      <c r="E2471" s="26" t="e">
        <f t="shared" si="3701"/>
        <v>#REF!</v>
      </c>
      <c r="F2471" s="26" t="e">
        <f t="shared" si="3701"/>
        <v>#REF!</v>
      </c>
      <c r="G2471" s="17">
        <v>10</v>
      </c>
      <c r="H2471" s="17" t="s">
        <v>9</v>
      </c>
      <c r="I2471" s="30" t="s">
        <v>23</v>
      </c>
      <c r="J2471" s="22">
        <f>13.85</f>
        <v>13.85</v>
      </c>
      <c r="K2471" s="22">
        <f>8.55</f>
        <v>8.5500000000000007</v>
      </c>
      <c r="L2471" s="8">
        <f t="shared" si="3692"/>
        <v>5.2999999999999989</v>
      </c>
      <c r="M2471" s="24">
        <f t="shared" si="3656"/>
        <v>0.25853658536585361</v>
      </c>
      <c r="N2471" s="14"/>
    </row>
    <row r="2472" spans="1:14" x14ac:dyDescent="0.25">
      <c r="A2472" s="20">
        <v>44609</v>
      </c>
      <c r="B2472" s="1">
        <f t="shared" ref="B2472" si="3703">B2462</f>
        <v>206</v>
      </c>
      <c r="C2472" s="1" t="s">
        <v>527</v>
      </c>
      <c r="D2472" s="1" t="s">
        <v>298</v>
      </c>
      <c r="E2472" s="26" t="e">
        <f t="shared" si="3701"/>
        <v>#REF!</v>
      </c>
      <c r="F2472" s="26" t="e">
        <f t="shared" si="3701"/>
        <v>#REF!</v>
      </c>
      <c r="G2472" s="17">
        <v>11</v>
      </c>
      <c r="H2472" s="17" t="s">
        <v>9</v>
      </c>
      <c r="I2472" s="30" t="s">
        <v>60</v>
      </c>
      <c r="J2472" s="22">
        <f>0.75</f>
        <v>0.75</v>
      </c>
      <c r="K2472" s="22">
        <f>0.55</f>
        <v>0.55000000000000004</v>
      </c>
      <c r="L2472" s="8">
        <f t="shared" si="3692"/>
        <v>0.19999999999999996</v>
      </c>
      <c r="M2472" s="24">
        <f t="shared" si="3656"/>
        <v>9.756097560975608E-3</v>
      </c>
      <c r="N2472" s="14"/>
    </row>
    <row r="2473" spans="1:14" ht="15.75" thickBot="1" x14ac:dyDescent="0.3">
      <c r="A2473" s="20">
        <v>44609</v>
      </c>
      <c r="B2473" s="57">
        <f t="shared" ref="B2473" si="3704">B2462</f>
        <v>206</v>
      </c>
      <c r="C2473" s="1" t="s">
        <v>527</v>
      </c>
      <c r="D2473" s="57" t="s">
        <v>298</v>
      </c>
      <c r="E2473" s="26" t="e">
        <f t="shared" si="3701"/>
        <v>#REF!</v>
      </c>
      <c r="F2473" s="26" t="e">
        <f t="shared" si="3701"/>
        <v>#REF!</v>
      </c>
      <c r="G2473" s="18">
        <f>+G2472+1</f>
        <v>12</v>
      </c>
      <c r="H2473" s="18" t="s">
        <v>10</v>
      </c>
      <c r="I2473" s="46" t="s">
        <v>10</v>
      </c>
      <c r="J2473" s="22">
        <f>10.25+11.6</f>
        <v>21.85</v>
      </c>
      <c r="K2473" s="63">
        <f>8.5+8.55</f>
        <v>17.05</v>
      </c>
      <c r="L2473" s="8">
        <f t="shared" si="3692"/>
        <v>4.8000000000000007</v>
      </c>
      <c r="M2473" s="24">
        <f t="shared" si="3656"/>
        <v>0.23414634146341468</v>
      </c>
      <c r="N2473" s="14"/>
    </row>
    <row r="2474" spans="1:14" x14ac:dyDescent="0.25">
      <c r="A2474" s="19">
        <v>44609</v>
      </c>
      <c r="B2474" s="15">
        <f t="shared" ref="B2474" si="3705">B2462+1</f>
        <v>207</v>
      </c>
      <c r="C2474" s="15" t="s">
        <v>528</v>
      </c>
      <c r="D2474" s="15" t="s">
        <v>295</v>
      </c>
      <c r="E2474" s="25">
        <f>38.2-1.2</f>
        <v>37</v>
      </c>
      <c r="F2474" s="25">
        <f>+SUM(L2474:L2485)</f>
        <v>37</v>
      </c>
      <c r="G2474" s="16">
        <v>1</v>
      </c>
      <c r="H2474" s="16" t="s">
        <v>9</v>
      </c>
      <c r="I2474" s="59" t="s">
        <v>56</v>
      </c>
      <c r="J2474" s="21">
        <f>0.9</f>
        <v>0.9</v>
      </c>
      <c r="K2474" s="21">
        <f>0.55</f>
        <v>0.55000000000000004</v>
      </c>
      <c r="L2474" s="12">
        <f>+J2474-K2474</f>
        <v>0.35</v>
      </c>
      <c r="M2474" s="23">
        <f t="shared" si="3656"/>
        <v>9.4594594594594582E-3</v>
      </c>
      <c r="N2474" s="13"/>
    </row>
    <row r="2475" spans="1:14" x14ac:dyDescent="0.25">
      <c r="A2475" s="20">
        <v>44609</v>
      </c>
      <c r="B2475" s="1">
        <f t="shared" ref="B2475" si="3706">B2474</f>
        <v>207</v>
      </c>
      <c r="C2475" s="1" t="s">
        <v>528</v>
      </c>
      <c r="D2475" s="1" t="s">
        <v>295</v>
      </c>
      <c r="E2475" s="26">
        <f>+E2474</f>
        <v>37</v>
      </c>
      <c r="F2475" s="28">
        <f>+(F2474-E2474)/E2474</f>
        <v>0</v>
      </c>
      <c r="G2475" s="17">
        <v>2</v>
      </c>
      <c r="H2475" s="17" t="s">
        <v>9</v>
      </c>
      <c r="I2475" s="30" t="s">
        <v>57</v>
      </c>
      <c r="J2475" s="22">
        <f>10.55</f>
        <v>10.55</v>
      </c>
      <c r="K2475" s="22">
        <f>8.55</f>
        <v>8.5500000000000007</v>
      </c>
      <c r="L2475" s="8">
        <f t="shared" ref="L2475:L2485" si="3707">+J2475-K2475</f>
        <v>2</v>
      </c>
      <c r="M2475" s="24">
        <f t="shared" si="3656"/>
        <v>5.4054054054054057E-2</v>
      </c>
      <c r="N2475" s="14"/>
    </row>
    <row r="2476" spans="1:14" x14ac:dyDescent="0.25">
      <c r="A2476" s="20">
        <v>44609</v>
      </c>
      <c r="B2476" s="1">
        <f t="shared" ref="B2476" si="3708">B2474</f>
        <v>207</v>
      </c>
      <c r="C2476" s="1" t="s">
        <v>528</v>
      </c>
      <c r="D2476" s="1" t="s">
        <v>295</v>
      </c>
      <c r="E2476" s="26" t="e">
        <f>+#REF!</f>
        <v>#REF!</v>
      </c>
      <c r="F2476" s="26" t="e">
        <f>+#REF!</f>
        <v>#REF!</v>
      </c>
      <c r="G2476" s="17">
        <v>3</v>
      </c>
      <c r="H2476" s="17" t="s">
        <v>9</v>
      </c>
      <c r="I2476" s="30" t="s">
        <v>58</v>
      </c>
      <c r="J2476" s="22">
        <f>14+10.45+14.1+11.3+12.8+14.65</f>
        <v>77.3</v>
      </c>
      <c r="K2476" s="22">
        <f>8.55+8.55+8.55+8.5+8.55+8.55</f>
        <v>51.25</v>
      </c>
      <c r="L2476" s="8">
        <f t="shared" si="3707"/>
        <v>26.049999999999997</v>
      </c>
      <c r="M2476" s="24">
        <f t="shared" si="3656"/>
        <v>0.70405405405405397</v>
      </c>
      <c r="N2476" s="14"/>
    </row>
    <row r="2477" spans="1:14" x14ac:dyDescent="0.25">
      <c r="A2477" s="20">
        <v>44609</v>
      </c>
      <c r="B2477" s="1">
        <f t="shared" ref="B2477" si="3709">B2474</f>
        <v>207</v>
      </c>
      <c r="C2477" s="1" t="s">
        <v>528</v>
      </c>
      <c r="D2477" s="1" t="s">
        <v>295</v>
      </c>
      <c r="E2477" s="26" t="e">
        <f t="shared" ref="E2477:F2480" si="3710">+E2476</f>
        <v>#REF!</v>
      </c>
      <c r="F2477" s="26" t="e">
        <f t="shared" si="3710"/>
        <v>#REF!</v>
      </c>
      <c r="G2477" s="17">
        <v>4</v>
      </c>
      <c r="H2477" s="17" t="s">
        <v>9</v>
      </c>
      <c r="I2477" s="30" t="s">
        <v>22</v>
      </c>
      <c r="J2477" s="22">
        <f>1.5</f>
        <v>1.5</v>
      </c>
      <c r="K2477" s="22">
        <f>0.55</f>
        <v>0.55000000000000004</v>
      </c>
      <c r="L2477" s="8">
        <f t="shared" si="3707"/>
        <v>0.95</v>
      </c>
      <c r="M2477" s="24">
        <f t="shared" si="3656"/>
        <v>2.5675675675675674E-2</v>
      </c>
      <c r="N2477" s="14"/>
    </row>
    <row r="2478" spans="1:14" x14ac:dyDescent="0.25">
      <c r="A2478" s="20">
        <v>44609</v>
      </c>
      <c r="B2478" s="1">
        <f t="shared" ref="B2478" si="3711">B2474</f>
        <v>207</v>
      </c>
      <c r="C2478" s="1" t="s">
        <v>528</v>
      </c>
      <c r="D2478" s="1" t="s">
        <v>295</v>
      </c>
      <c r="E2478" s="26" t="e">
        <f t="shared" si="3710"/>
        <v>#REF!</v>
      </c>
      <c r="F2478" s="26" t="e">
        <f t="shared" si="3710"/>
        <v>#REF!</v>
      </c>
      <c r="G2478" s="17">
        <v>5</v>
      </c>
      <c r="H2478" s="17" t="s">
        <v>9</v>
      </c>
      <c r="I2478" s="30" t="s">
        <v>34</v>
      </c>
      <c r="J2478" s="22">
        <v>0.7</v>
      </c>
      <c r="K2478" s="63">
        <v>0.55000000000000004</v>
      </c>
      <c r="L2478" s="8">
        <f t="shared" si="3707"/>
        <v>0.14999999999999991</v>
      </c>
      <c r="M2478" s="24">
        <f t="shared" si="3656"/>
        <v>4.0540540540540517E-3</v>
      </c>
      <c r="N2478" s="14"/>
    </row>
    <row r="2479" spans="1:14" x14ac:dyDescent="0.25">
      <c r="A2479" s="20">
        <v>44609</v>
      </c>
      <c r="B2479" s="1">
        <f t="shared" ref="B2479" si="3712">B2474</f>
        <v>207</v>
      </c>
      <c r="C2479" s="1" t="s">
        <v>528</v>
      </c>
      <c r="D2479" s="1" t="s">
        <v>295</v>
      </c>
      <c r="E2479" s="26" t="e">
        <f t="shared" si="3710"/>
        <v>#REF!</v>
      </c>
      <c r="F2479" s="26" t="e">
        <f t="shared" si="3710"/>
        <v>#REF!</v>
      </c>
      <c r="G2479" s="17">
        <v>6</v>
      </c>
      <c r="H2479" s="17" t="s">
        <v>9</v>
      </c>
      <c r="I2479" s="30" t="s">
        <v>35</v>
      </c>
      <c r="J2479" s="22"/>
      <c r="K2479" s="22"/>
      <c r="L2479" s="8">
        <f t="shared" si="3707"/>
        <v>0</v>
      </c>
      <c r="M2479" s="24">
        <f t="shared" si="3656"/>
        <v>0</v>
      </c>
      <c r="N2479" s="14"/>
    </row>
    <row r="2480" spans="1:14" x14ac:dyDescent="0.25">
      <c r="A2480" s="20">
        <v>44609</v>
      </c>
      <c r="B2480" s="1">
        <f t="shared" ref="B2480" si="3713">B2474</f>
        <v>207</v>
      </c>
      <c r="C2480" s="1" t="s">
        <v>528</v>
      </c>
      <c r="D2480" s="1" t="s">
        <v>295</v>
      </c>
      <c r="E2480" s="26" t="e">
        <f t="shared" si="3710"/>
        <v>#REF!</v>
      </c>
      <c r="F2480" s="26" t="e">
        <f t="shared" si="3710"/>
        <v>#REF!</v>
      </c>
      <c r="G2480" s="17">
        <v>7</v>
      </c>
      <c r="H2480" s="17" t="s">
        <v>9</v>
      </c>
      <c r="I2480" s="30" t="s">
        <v>36</v>
      </c>
      <c r="J2480" s="22"/>
      <c r="K2480" s="22"/>
      <c r="L2480" s="8">
        <f t="shared" si="3707"/>
        <v>0</v>
      </c>
      <c r="M2480" s="24">
        <f t="shared" si="3656"/>
        <v>0</v>
      </c>
      <c r="N2480" s="14"/>
    </row>
    <row r="2481" spans="1:14" x14ac:dyDescent="0.25">
      <c r="A2481" s="20">
        <v>44609</v>
      </c>
      <c r="B2481" s="1">
        <f t="shared" ref="B2481" si="3714">B2474</f>
        <v>207</v>
      </c>
      <c r="C2481" s="1" t="s">
        <v>528</v>
      </c>
      <c r="D2481" s="1" t="s">
        <v>295</v>
      </c>
      <c r="E2481" s="26" t="e">
        <f>+E2480</f>
        <v>#REF!</v>
      </c>
      <c r="F2481" s="26" t="e">
        <f>+F2480</f>
        <v>#REF!</v>
      </c>
      <c r="G2481" s="17">
        <v>8</v>
      </c>
      <c r="H2481" s="17" t="s">
        <v>9</v>
      </c>
      <c r="I2481" s="30" t="s">
        <v>59</v>
      </c>
      <c r="J2481" s="22">
        <f>0.9</f>
        <v>0.9</v>
      </c>
      <c r="K2481" s="22">
        <v>0.55000000000000004</v>
      </c>
      <c r="L2481" s="8">
        <f t="shared" si="3707"/>
        <v>0.35</v>
      </c>
      <c r="M2481" s="24">
        <f t="shared" si="3656"/>
        <v>9.4594594594594582E-3</v>
      </c>
      <c r="N2481" s="14"/>
    </row>
    <row r="2482" spans="1:14" x14ac:dyDescent="0.25">
      <c r="A2482" s="20">
        <v>44609</v>
      </c>
      <c r="B2482" s="1">
        <f t="shared" ref="B2482" si="3715">B2474</f>
        <v>207</v>
      </c>
      <c r="C2482" s="1" t="s">
        <v>528</v>
      </c>
      <c r="D2482" s="1" t="s">
        <v>295</v>
      </c>
      <c r="E2482" s="26" t="e">
        <f t="shared" ref="E2482:F2485" si="3716">+E2481</f>
        <v>#REF!</v>
      </c>
      <c r="F2482" s="26" t="e">
        <f t="shared" si="3716"/>
        <v>#REF!</v>
      </c>
      <c r="G2482" s="17">
        <v>9</v>
      </c>
      <c r="H2482" s="17" t="s">
        <v>9</v>
      </c>
      <c r="I2482" s="30" t="s">
        <v>38</v>
      </c>
      <c r="J2482" s="22"/>
      <c r="K2482" s="22"/>
      <c r="L2482" s="8">
        <f t="shared" si="3707"/>
        <v>0</v>
      </c>
      <c r="M2482" s="24">
        <f t="shared" si="3656"/>
        <v>0</v>
      </c>
      <c r="N2482" s="14"/>
    </row>
    <row r="2483" spans="1:14" x14ac:dyDescent="0.25">
      <c r="A2483" s="20">
        <v>44609</v>
      </c>
      <c r="B2483" s="1">
        <f t="shared" ref="B2483" si="3717">B2474</f>
        <v>207</v>
      </c>
      <c r="C2483" s="1" t="s">
        <v>528</v>
      </c>
      <c r="D2483" s="1" t="s">
        <v>295</v>
      </c>
      <c r="E2483" s="26" t="e">
        <f t="shared" si="3716"/>
        <v>#REF!</v>
      </c>
      <c r="F2483" s="26" t="e">
        <f t="shared" si="3716"/>
        <v>#REF!</v>
      </c>
      <c r="G2483" s="17">
        <v>10</v>
      </c>
      <c r="H2483" s="17" t="s">
        <v>9</v>
      </c>
      <c r="I2483" s="30" t="s">
        <v>23</v>
      </c>
      <c r="J2483" s="22">
        <f>1.5</f>
        <v>1.5</v>
      </c>
      <c r="K2483" s="22">
        <f>0.55</f>
        <v>0.55000000000000004</v>
      </c>
      <c r="L2483" s="8">
        <f t="shared" si="3707"/>
        <v>0.95</v>
      </c>
      <c r="M2483" s="24">
        <f t="shared" si="3656"/>
        <v>2.5675675675675674E-2</v>
      </c>
      <c r="N2483" s="14"/>
    </row>
    <row r="2484" spans="1:14" x14ac:dyDescent="0.25">
      <c r="A2484" s="20">
        <v>44609</v>
      </c>
      <c r="B2484" s="1">
        <f t="shared" ref="B2484" si="3718">B2474</f>
        <v>207</v>
      </c>
      <c r="C2484" s="1" t="s">
        <v>528</v>
      </c>
      <c r="D2484" s="1" t="s">
        <v>295</v>
      </c>
      <c r="E2484" s="26" t="e">
        <f t="shared" si="3716"/>
        <v>#REF!</v>
      </c>
      <c r="F2484" s="26" t="e">
        <f t="shared" si="3716"/>
        <v>#REF!</v>
      </c>
      <c r="G2484" s="17">
        <v>11</v>
      </c>
      <c r="H2484" s="17" t="s">
        <v>9</v>
      </c>
      <c r="I2484" s="30" t="s">
        <v>60</v>
      </c>
      <c r="J2484" s="22">
        <f>1.6</f>
        <v>1.6</v>
      </c>
      <c r="K2484" s="22">
        <f>0.55</f>
        <v>0.55000000000000004</v>
      </c>
      <c r="L2484" s="8">
        <f t="shared" si="3707"/>
        <v>1.05</v>
      </c>
      <c r="M2484" s="24">
        <f t="shared" si="3656"/>
        <v>2.837837837837838E-2</v>
      </c>
      <c r="N2484" s="14"/>
    </row>
    <row r="2485" spans="1:14" ht="15.75" thickBot="1" x14ac:dyDescent="0.3">
      <c r="A2485" s="20">
        <v>44609</v>
      </c>
      <c r="B2485" s="57">
        <f t="shared" ref="B2485" si="3719">B2474</f>
        <v>207</v>
      </c>
      <c r="C2485" s="1" t="s">
        <v>528</v>
      </c>
      <c r="D2485" s="57" t="s">
        <v>295</v>
      </c>
      <c r="E2485" s="26" t="e">
        <f t="shared" si="3716"/>
        <v>#REF!</v>
      </c>
      <c r="F2485" s="26" t="e">
        <f t="shared" si="3716"/>
        <v>#REF!</v>
      </c>
      <c r="G2485" s="18">
        <f>+G2484+1</f>
        <v>12</v>
      </c>
      <c r="H2485" s="18" t="s">
        <v>10</v>
      </c>
      <c r="I2485" s="46" t="s">
        <v>10</v>
      </c>
      <c r="J2485" s="22">
        <f>11.25+11</f>
        <v>22.25</v>
      </c>
      <c r="K2485" s="63">
        <f>8.55+8.55</f>
        <v>17.100000000000001</v>
      </c>
      <c r="L2485" s="8">
        <f t="shared" si="3707"/>
        <v>5.1499999999999986</v>
      </c>
      <c r="M2485" s="24">
        <f t="shared" si="3656"/>
        <v>0.13918918918918916</v>
      </c>
      <c r="N2485" s="14"/>
    </row>
    <row r="2486" spans="1:14" x14ac:dyDescent="0.25">
      <c r="A2486" s="19">
        <v>44609</v>
      </c>
      <c r="B2486" s="15">
        <f t="shared" ref="B2486" si="3720">B2474+1</f>
        <v>208</v>
      </c>
      <c r="C2486" s="15" t="s">
        <v>529</v>
      </c>
      <c r="D2486" s="15" t="s">
        <v>284</v>
      </c>
      <c r="E2486" s="25">
        <f>34.8-1.2</f>
        <v>33.599999999999994</v>
      </c>
      <c r="F2486" s="25">
        <f>+SUM(L2486:L2497)</f>
        <v>32.649999999999991</v>
      </c>
      <c r="G2486" s="16">
        <v>1</v>
      </c>
      <c r="H2486" s="16" t="s">
        <v>9</v>
      </c>
      <c r="I2486" s="59" t="s">
        <v>56</v>
      </c>
      <c r="J2486" s="21">
        <v>0.7</v>
      </c>
      <c r="K2486" s="21">
        <v>0.55000000000000004</v>
      </c>
      <c r="L2486" s="12">
        <f>+J2486-K2486</f>
        <v>0.14999999999999991</v>
      </c>
      <c r="M2486" s="23">
        <f t="shared" si="3656"/>
        <v>4.59418070444104E-3</v>
      </c>
      <c r="N2486" s="13"/>
    </row>
    <row r="2487" spans="1:14" x14ac:dyDescent="0.25">
      <c r="A2487" s="20">
        <v>44609</v>
      </c>
      <c r="B2487" s="1">
        <f t="shared" ref="B2487" si="3721">B2486</f>
        <v>208</v>
      </c>
      <c r="C2487" s="1" t="s">
        <v>529</v>
      </c>
      <c r="D2487" s="1" t="s">
        <v>284</v>
      </c>
      <c r="E2487" s="26">
        <f>+E2486</f>
        <v>33.599999999999994</v>
      </c>
      <c r="F2487" s="28">
        <f>+(F2486-E2486)/E2486</f>
        <v>-2.8273809523809614E-2</v>
      </c>
      <c r="G2487" s="17">
        <v>2</v>
      </c>
      <c r="H2487" s="17" t="s">
        <v>9</v>
      </c>
      <c r="I2487" s="30" t="s">
        <v>57</v>
      </c>
      <c r="J2487" s="22">
        <f>1.3</f>
        <v>1.3</v>
      </c>
      <c r="K2487" s="22">
        <f>0.5</f>
        <v>0.5</v>
      </c>
      <c r="L2487" s="8">
        <f t="shared" ref="L2487:L2497" si="3722">+J2487-K2487</f>
        <v>0.8</v>
      </c>
      <c r="M2487" s="24">
        <f t="shared" si="3656"/>
        <v>2.4502297090352228E-2</v>
      </c>
      <c r="N2487" s="14"/>
    </row>
    <row r="2488" spans="1:14" x14ac:dyDescent="0.25">
      <c r="A2488" s="20">
        <v>44609</v>
      </c>
      <c r="B2488" s="1">
        <f t="shared" ref="B2488" si="3723">B2486</f>
        <v>208</v>
      </c>
      <c r="C2488" s="1" t="s">
        <v>529</v>
      </c>
      <c r="D2488" s="1" t="s">
        <v>284</v>
      </c>
      <c r="E2488" s="26" t="e">
        <f>+#REF!</f>
        <v>#REF!</v>
      </c>
      <c r="F2488" s="26" t="e">
        <f>+#REF!</f>
        <v>#REF!</v>
      </c>
      <c r="G2488" s="17">
        <v>3</v>
      </c>
      <c r="H2488" s="17" t="s">
        <v>9</v>
      </c>
      <c r="I2488" s="30" t="s">
        <v>58</v>
      </c>
      <c r="J2488" s="22">
        <f>10.95+10.1</f>
        <v>21.049999999999997</v>
      </c>
      <c r="K2488" s="22">
        <f>8.55+8.55</f>
        <v>17.100000000000001</v>
      </c>
      <c r="L2488" s="8">
        <f t="shared" si="3722"/>
        <v>3.9499999999999957</v>
      </c>
      <c r="M2488" s="24">
        <f t="shared" si="3656"/>
        <v>0.12098009188361399</v>
      </c>
      <c r="N2488" s="14"/>
    </row>
    <row r="2489" spans="1:14" x14ac:dyDescent="0.25">
      <c r="A2489" s="20">
        <v>44609</v>
      </c>
      <c r="B2489" s="1">
        <f t="shared" ref="B2489" si="3724">B2486</f>
        <v>208</v>
      </c>
      <c r="C2489" s="1" t="s">
        <v>529</v>
      </c>
      <c r="D2489" s="1" t="s">
        <v>284</v>
      </c>
      <c r="E2489" s="26" t="e">
        <f t="shared" ref="E2489:F2492" si="3725">+E2488</f>
        <v>#REF!</v>
      </c>
      <c r="F2489" s="26" t="e">
        <f t="shared" si="3725"/>
        <v>#REF!</v>
      </c>
      <c r="G2489" s="17">
        <v>4</v>
      </c>
      <c r="H2489" s="17" t="s">
        <v>9</v>
      </c>
      <c r="I2489" s="30" t="s">
        <v>22</v>
      </c>
      <c r="J2489" s="22">
        <f>11.45+18.1+14.05</f>
        <v>43.6</v>
      </c>
      <c r="K2489" s="22">
        <f>8.55+8.3+8.55</f>
        <v>25.400000000000002</v>
      </c>
      <c r="L2489" s="8">
        <f t="shared" si="3722"/>
        <v>18.2</v>
      </c>
      <c r="M2489" s="24">
        <f t="shared" si="3656"/>
        <v>0.55742725880551314</v>
      </c>
      <c r="N2489" s="14"/>
    </row>
    <row r="2490" spans="1:14" x14ac:dyDescent="0.25">
      <c r="A2490" s="20">
        <v>44609</v>
      </c>
      <c r="B2490" s="1">
        <f t="shared" ref="B2490" si="3726">B2486</f>
        <v>208</v>
      </c>
      <c r="C2490" s="1" t="s">
        <v>529</v>
      </c>
      <c r="D2490" s="1" t="s">
        <v>284</v>
      </c>
      <c r="E2490" s="26" t="e">
        <f t="shared" si="3725"/>
        <v>#REF!</v>
      </c>
      <c r="F2490" s="26" t="e">
        <f t="shared" si="3725"/>
        <v>#REF!</v>
      </c>
      <c r="G2490" s="17">
        <v>5</v>
      </c>
      <c r="H2490" s="17" t="s">
        <v>9</v>
      </c>
      <c r="I2490" s="30" t="s">
        <v>34</v>
      </c>
      <c r="J2490" s="22">
        <v>0.65</v>
      </c>
      <c r="K2490" s="63">
        <v>0.55000000000000004</v>
      </c>
      <c r="L2490" s="8">
        <f t="shared" si="3722"/>
        <v>9.9999999999999978E-2</v>
      </c>
      <c r="M2490" s="24">
        <f t="shared" si="3656"/>
        <v>3.0627871362940277E-3</v>
      </c>
      <c r="N2490" s="14"/>
    </row>
    <row r="2491" spans="1:14" x14ac:dyDescent="0.25">
      <c r="A2491" s="20">
        <v>44609</v>
      </c>
      <c r="B2491" s="1">
        <f t="shared" ref="B2491" si="3727">B2486</f>
        <v>208</v>
      </c>
      <c r="C2491" s="1" t="s">
        <v>529</v>
      </c>
      <c r="D2491" s="1" t="s">
        <v>284</v>
      </c>
      <c r="E2491" s="26" t="e">
        <f t="shared" si="3725"/>
        <v>#REF!</v>
      </c>
      <c r="F2491" s="26" t="e">
        <f t="shared" si="3725"/>
        <v>#REF!</v>
      </c>
      <c r="G2491" s="17">
        <v>6</v>
      </c>
      <c r="H2491" s="17" t="s">
        <v>9</v>
      </c>
      <c r="I2491" s="30" t="s">
        <v>35</v>
      </c>
      <c r="J2491" s="22"/>
      <c r="K2491" s="22"/>
      <c r="L2491" s="8">
        <f t="shared" si="3722"/>
        <v>0</v>
      </c>
      <c r="M2491" s="24">
        <f t="shared" si="3656"/>
        <v>0</v>
      </c>
      <c r="N2491" s="14"/>
    </row>
    <row r="2492" spans="1:14" x14ac:dyDescent="0.25">
      <c r="A2492" s="20">
        <v>44609</v>
      </c>
      <c r="B2492" s="1">
        <f t="shared" ref="B2492" si="3728">B2486</f>
        <v>208</v>
      </c>
      <c r="C2492" s="1" t="s">
        <v>529</v>
      </c>
      <c r="D2492" s="1" t="s">
        <v>284</v>
      </c>
      <c r="E2492" s="26" t="e">
        <f t="shared" si="3725"/>
        <v>#REF!</v>
      </c>
      <c r="F2492" s="26" t="e">
        <f t="shared" si="3725"/>
        <v>#REF!</v>
      </c>
      <c r="G2492" s="17">
        <v>7</v>
      </c>
      <c r="H2492" s="17" t="s">
        <v>9</v>
      </c>
      <c r="I2492" s="30" t="s">
        <v>36</v>
      </c>
      <c r="J2492" s="22"/>
      <c r="K2492" s="22"/>
      <c r="L2492" s="8">
        <f t="shared" si="3722"/>
        <v>0</v>
      </c>
      <c r="M2492" s="24">
        <f t="shared" si="3656"/>
        <v>0</v>
      </c>
      <c r="N2492" s="14"/>
    </row>
    <row r="2493" spans="1:14" x14ac:dyDescent="0.25">
      <c r="A2493" s="20">
        <v>44609</v>
      </c>
      <c r="B2493" s="1">
        <f t="shared" ref="B2493" si="3729">B2486</f>
        <v>208</v>
      </c>
      <c r="C2493" s="1" t="s">
        <v>529</v>
      </c>
      <c r="D2493" s="1" t="s">
        <v>284</v>
      </c>
      <c r="E2493" s="26" t="e">
        <f>+E2492</f>
        <v>#REF!</v>
      </c>
      <c r="F2493" s="26" t="e">
        <f>+F2492</f>
        <v>#REF!</v>
      </c>
      <c r="G2493" s="17">
        <v>8</v>
      </c>
      <c r="H2493" s="17" t="s">
        <v>9</v>
      </c>
      <c r="I2493" s="30" t="s">
        <v>59</v>
      </c>
      <c r="J2493" s="22">
        <f>2.25</f>
        <v>2.25</v>
      </c>
      <c r="K2493" s="22">
        <f>0.55</f>
        <v>0.55000000000000004</v>
      </c>
      <c r="L2493" s="8">
        <f t="shared" si="3722"/>
        <v>1.7</v>
      </c>
      <c r="M2493" s="24">
        <f t="shared" si="3656"/>
        <v>5.2067381316998479E-2</v>
      </c>
      <c r="N2493" s="14"/>
    </row>
    <row r="2494" spans="1:14" x14ac:dyDescent="0.25">
      <c r="A2494" s="20">
        <v>44609</v>
      </c>
      <c r="B2494" s="1">
        <f t="shared" ref="B2494" si="3730">B2486</f>
        <v>208</v>
      </c>
      <c r="C2494" s="1" t="s">
        <v>529</v>
      </c>
      <c r="D2494" s="1" t="s">
        <v>284</v>
      </c>
      <c r="E2494" s="26" t="e">
        <f t="shared" ref="E2494:F2497" si="3731">+E2493</f>
        <v>#REF!</v>
      </c>
      <c r="F2494" s="26" t="e">
        <f t="shared" si="3731"/>
        <v>#REF!</v>
      </c>
      <c r="G2494" s="17">
        <v>9</v>
      </c>
      <c r="H2494" s="17" t="s">
        <v>9</v>
      </c>
      <c r="I2494" s="30" t="s">
        <v>38</v>
      </c>
      <c r="J2494" s="22"/>
      <c r="K2494" s="22"/>
      <c r="L2494" s="8">
        <f t="shared" si="3722"/>
        <v>0</v>
      </c>
      <c r="M2494" s="24">
        <f t="shared" si="3656"/>
        <v>0</v>
      </c>
      <c r="N2494" s="14"/>
    </row>
    <row r="2495" spans="1:14" x14ac:dyDescent="0.25">
      <c r="A2495" s="20">
        <v>44609</v>
      </c>
      <c r="B2495" s="1">
        <f t="shared" ref="B2495" si="3732">B2486</f>
        <v>208</v>
      </c>
      <c r="C2495" s="1" t="s">
        <v>529</v>
      </c>
      <c r="D2495" s="1" t="s">
        <v>284</v>
      </c>
      <c r="E2495" s="26" t="e">
        <f t="shared" si="3731"/>
        <v>#REF!</v>
      </c>
      <c r="F2495" s="26" t="e">
        <f t="shared" si="3731"/>
        <v>#REF!</v>
      </c>
      <c r="G2495" s="17">
        <v>10</v>
      </c>
      <c r="H2495" s="17" t="s">
        <v>9</v>
      </c>
      <c r="I2495" s="30" t="s">
        <v>23</v>
      </c>
      <c r="J2495" s="22">
        <f>11.15</f>
        <v>11.15</v>
      </c>
      <c r="K2495" s="22">
        <f>8.3</f>
        <v>8.3000000000000007</v>
      </c>
      <c r="L2495" s="8">
        <f t="shared" si="3722"/>
        <v>2.8499999999999996</v>
      </c>
      <c r="M2495" s="24">
        <f t="shared" si="3656"/>
        <v>8.7289433384379791E-2</v>
      </c>
      <c r="N2495" s="14"/>
    </row>
    <row r="2496" spans="1:14" x14ac:dyDescent="0.25">
      <c r="A2496" s="20">
        <v>44609</v>
      </c>
      <c r="B2496" s="1">
        <f t="shared" ref="B2496" si="3733">B2486</f>
        <v>208</v>
      </c>
      <c r="C2496" s="1" t="s">
        <v>529</v>
      </c>
      <c r="D2496" s="1" t="s">
        <v>284</v>
      </c>
      <c r="E2496" s="26" t="e">
        <f t="shared" si="3731"/>
        <v>#REF!</v>
      </c>
      <c r="F2496" s="26" t="e">
        <f t="shared" si="3731"/>
        <v>#REF!</v>
      </c>
      <c r="G2496" s="17">
        <v>11</v>
      </c>
      <c r="H2496" s="17" t="s">
        <v>9</v>
      </c>
      <c r="I2496" s="30" t="s">
        <v>60</v>
      </c>
      <c r="J2496" s="22"/>
      <c r="K2496" s="22"/>
      <c r="L2496" s="8">
        <f t="shared" si="3722"/>
        <v>0</v>
      </c>
      <c r="M2496" s="24">
        <f t="shared" si="3656"/>
        <v>0</v>
      </c>
      <c r="N2496" s="14"/>
    </row>
    <row r="2497" spans="1:14" ht="15.75" thickBot="1" x14ac:dyDescent="0.3">
      <c r="A2497" s="20">
        <v>44609</v>
      </c>
      <c r="B2497" s="57">
        <f t="shared" ref="B2497" si="3734">B2486</f>
        <v>208</v>
      </c>
      <c r="C2497" s="1" t="s">
        <v>529</v>
      </c>
      <c r="D2497" s="57" t="s">
        <v>284</v>
      </c>
      <c r="E2497" s="26" t="e">
        <f t="shared" si="3731"/>
        <v>#REF!</v>
      </c>
      <c r="F2497" s="26" t="e">
        <f t="shared" si="3731"/>
        <v>#REF!</v>
      </c>
      <c r="G2497" s="18">
        <f>+G2496+1</f>
        <v>12</v>
      </c>
      <c r="H2497" s="18" t="s">
        <v>10</v>
      </c>
      <c r="I2497" s="46" t="s">
        <v>10</v>
      </c>
      <c r="J2497" s="22">
        <f>9.1+11+10.45</f>
        <v>30.55</v>
      </c>
      <c r="K2497" s="63">
        <f>8.55+8.55+8.55</f>
        <v>25.650000000000002</v>
      </c>
      <c r="L2497" s="8">
        <f t="shared" si="3722"/>
        <v>4.8999999999999986</v>
      </c>
      <c r="M2497" s="24">
        <f t="shared" si="3656"/>
        <v>0.15007656967840735</v>
      </c>
      <c r="N2497" s="14"/>
    </row>
    <row r="2498" spans="1:14" x14ac:dyDescent="0.25">
      <c r="A2498" s="19">
        <v>44609</v>
      </c>
      <c r="B2498" s="15">
        <f t="shared" ref="B2498" si="3735">B2486+1</f>
        <v>209</v>
      </c>
      <c r="C2498" s="15" t="s">
        <v>530</v>
      </c>
      <c r="D2498" s="15" t="s">
        <v>271</v>
      </c>
      <c r="E2498" s="25">
        <f>14.8-1.2</f>
        <v>13.600000000000001</v>
      </c>
      <c r="F2498" s="25">
        <f>+SUM(L2498:L2509)</f>
        <v>15.799999999999994</v>
      </c>
      <c r="G2498" s="16">
        <v>1</v>
      </c>
      <c r="H2498" s="16" t="s">
        <v>9</v>
      </c>
      <c r="I2498" s="59" t="s">
        <v>56</v>
      </c>
      <c r="J2498" s="21">
        <f>3.05</f>
        <v>3.05</v>
      </c>
      <c r="K2498" s="21">
        <f>0.55*2</f>
        <v>1.1000000000000001</v>
      </c>
      <c r="L2498" s="12">
        <f>+J2498-K2498</f>
        <v>1.9499999999999997</v>
      </c>
      <c r="M2498" s="23">
        <f t="shared" ref="M2498:M2561" si="3736">+L2498/SUMIF(C:C,C2498,L:L)</f>
        <v>0.12341772151898737</v>
      </c>
      <c r="N2498" s="13"/>
    </row>
    <row r="2499" spans="1:14" x14ac:dyDescent="0.25">
      <c r="A2499" s="20">
        <v>44609</v>
      </c>
      <c r="B2499" s="1">
        <f t="shared" ref="B2499" si="3737">B2498</f>
        <v>209</v>
      </c>
      <c r="C2499" s="1" t="s">
        <v>530</v>
      </c>
      <c r="D2499" s="1" t="s">
        <v>271</v>
      </c>
      <c r="E2499" s="26">
        <f>+E2498</f>
        <v>13.600000000000001</v>
      </c>
      <c r="F2499" s="28">
        <f>+(F2498-E2498)/E2498</f>
        <v>0.16176470588235234</v>
      </c>
      <c r="G2499" s="17">
        <v>2</v>
      </c>
      <c r="H2499" s="17" t="s">
        <v>9</v>
      </c>
      <c r="I2499" s="30" t="s">
        <v>57</v>
      </c>
      <c r="J2499" s="22">
        <f>10.85</f>
        <v>10.85</v>
      </c>
      <c r="K2499" s="22">
        <f>8.3</f>
        <v>8.3000000000000007</v>
      </c>
      <c r="L2499" s="8">
        <f t="shared" ref="L2499:L2509" si="3738">+J2499-K2499</f>
        <v>2.5499999999999989</v>
      </c>
      <c r="M2499" s="24">
        <f t="shared" si="3736"/>
        <v>0.16139240506329114</v>
      </c>
      <c r="N2499" s="14"/>
    </row>
    <row r="2500" spans="1:14" x14ac:dyDescent="0.25">
      <c r="A2500" s="20">
        <v>44609</v>
      </c>
      <c r="B2500" s="1">
        <f t="shared" ref="B2500" si="3739">B2498</f>
        <v>209</v>
      </c>
      <c r="C2500" s="1" t="s">
        <v>530</v>
      </c>
      <c r="D2500" s="1" t="s">
        <v>271</v>
      </c>
      <c r="E2500" s="26" t="e">
        <f>+#REF!</f>
        <v>#REF!</v>
      </c>
      <c r="F2500" s="26" t="e">
        <f>+#REF!</f>
        <v>#REF!</v>
      </c>
      <c r="G2500" s="17">
        <v>3</v>
      </c>
      <c r="H2500" s="17" t="s">
        <v>9</v>
      </c>
      <c r="I2500" s="30" t="s">
        <v>58</v>
      </c>
      <c r="J2500" s="22">
        <f>10.35+10.7+9.1</f>
        <v>30.15</v>
      </c>
      <c r="K2500" s="22">
        <f>8.55+8.55+8.55</f>
        <v>25.650000000000002</v>
      </c>
      <c r="L2500" s="8">
        <f t="shared" si="3738"/>
        <v>4.4999999999999964</v>
      </c>
      <c r="M2500" s="24">
        <f t="shared" si="3736"/>
        <v>0.28481012658227839</v>
      </c>
      <c r="N2500" s="14"/>
    </row>
    <row r="2501" spans="1:14" x14ac:dyDescent="0.25">
      <c r="A2501" s="20">
        <v>44609</v>
      </c>
      <c r="B2501" s="1">
        <f t="shared" ref="B2501" si="3740">B2498</f>
        <v>209</v>
      </c>
      <c r="C2501" s="1" t="s">
        <v>530</v>
      </c>
      <c r="D2501" s="1" t="s">
        <v>271</v>
      </c>
      <c r="E2501" s="26" t="e">
        <f t="shared" ref="E2501:F2504" si="3741">+E2500</f>
        <v>#REF!</v>
      </c>
      <c r="F2501" s="26" t="e">
        <f t="shared" si="3741"/>
        <v>#REF!</v>
      </c>
      <c r="G2501" s="17">
        <v>4</v>
      </c>
      <c r="H2501" s="17" t="s">
        <v>9</v>
      </c>
      <c r="I2501" s="30" t="s">
        <v>22</v>
      </c>
      <c r="J2501" s="22">
        <f>1.8</f>
        <v>1.8</v>
      </c>
      <c r="K2501" s="22">
        <f>0.55</f>
        <v>0.55000000000000004</v>
      </c>
      <c r="L2501" s="8">
        <f t="shared" si="3738"/>
        <v>1.25</v>
      </c>
      <c r="M2501" s="24">
        <f t="shared" si="3736"/>
        <v>7.9113924050632944E-2</v>
      </c>
      <c r="N2501" s="14"/>
    </row>
    <row r="2502" spans="1:14" x14ac:dyDescent="0.25">
      <c r="A2502" s="20">
        <v>44609</v>
      </c>
      <c r="B2502" s="1">
        <f t="shared" ref="B2502" si="3742">B2498</f>
        <v>209</v>
      </c>
      <c r="C2502" s="1" t="s">
        <v>530</v>
      </c>
      <c r="D2502" s="1" t="s">
        <v>271</v>
      </c>
      <c r="E2502" s="26" t="e">
        <f t="shared" si="3741"/>
        <v>#REF!</v>
      </c>
      <c r="F2502" s="26" t="e">
        <f t="shared" si="3741"/>
        <v>#REF!</v>
      </c>
      <c r="G2502" s="17">
        <v>5</v>
      </c>
      <c r="H2502" s="17" t="s">
        <v>9</v>
      </c>
      <c r="I2502" s="30" t="s">
        <v>34</v>
      </c>
      <c r="J2502" s="22">
        <v>0.65</v>
      </c>
      <c r="K2502" s="63">
        <v>0.55000000000000004</v>
      </c>
      <c r="L2502" s="8">
        <f t="shared" si="3738"/>
        <v>9.9999999999999978E-2</v>
      </c>
      <c r="M2502" s="24">
        <f t="shared" si="3736"/>
        <v>6.3291139240506337E-3</v>
      </c>
      <c r="N2502" s="14"/>
    </row>
    <row r="2503" spans="1:14" x14ac:dyDescent="0.25">
      <c r="A2503" s="20">
        <v>44609</v>
      </c>
      <c r="B2503" s="1">
        <f t="shared" ref="B2503" si="3743">B2498</f>
        <v>209</v>
      </c>
      <c r="C2503" s="1" t="s">
        <v>530</v>
      </c>
      <c r="D2503" s="1" t="s">
        <v>271</v>
      </c>
      <c r="E2503" s="26" t="e">
        <f t="shared" si="3741"/>
        <v>#REF!</v>
      </c>
      <c r="F2503" s="26" t="e">
        <f t="shared" si="3741"/>
        <v>#REF!</v>
      </c>
      <c r="G2503" s="17">
        <v>6</v>
      </c>
      <c r="H2503" s="17" t="s">
        <v>9</v>
      </c>
      <c r="I2503" s="30" t="s">
        <v>35</v>
      </c>
      <c r="J2503" s="22"/>
      <c r="K2503" s="22"/>
      <c r="L2503" s="8">
        <f t="shared" si="3738"/>
        <v>0</v>
      </c>
      <c r="M2503" s="24">
        <f t="shared" si="3736"/>
        <v>0</v>
      </c>
      <c r="N2503" s="14"/>
    </row>
    <row r="2504" spans="1:14" x14ac:dyDescent="0.25">
      <c r="A2504" s="20">
        <v>44609</v>
      </c>
      <c r="B2504" s="1">
        <f t="shared" ref="B2504" si="3744">B2498</f>
        <v>209</v>
      </c>
      <c r="C2504" s="1" t="s">
        <v>530</v>
      </c>
      <c r="D2504" s="1" t="s">
        <v>271</v>
      </c>
      <c r="E2504" s="26" t="e">
        <f t="shared" si="3741"/>
        <v>#REF!</v>
      </c>
      <c r="F2504" s="26" t="e">
        <f t="shared" si="3741"/>
        <v>#REF!</v>
      </c>
      <c r="G2504" s="17">
        <v>7</v>
      </c>
      <c r="H2504" s="17" t="s">
        <v>9</v>
      </c>
      <c r="I2504" s="30" t="s">
        <v>36</v>
      </c>
      <c r="J2504" s="22"/>
      <c r="K2504" s="22"/>
      <c r="L2504" s="8">
        <f t="shared" si="3738"/>
        <v>0</v>
      </c>
      <c r="M2504" s="24">
        <f t="shared" si="3736"/>
        <v>0</v>
      </c>
      <c r="N2504" s="14"/>
    </row>
    <row r="2505" spans="1:14" x14ac:dyDescent="0.25">
      <c r="A2505" s="20">
        <v>44609</v>
      </c>
      <c r="B2505" s="1">
        <f t="shared" ref="B2505" si="3745">B2498</f>
        <v>209</v>
      </c>
      <c r="C2505" s="1" t="s">
        <v>530</v>
      </c>
      <c r="D2505" s="1" t="s">
        <v>271</v>
      </c>
      <c r="E2505" s="26" t="e">
        <f>+E2504</f>
        <v>#REF!</v>
      </c>
      <c r="F2505" s="26" t="e">
        <f>+F2504</f>
        <v>#REF!</v>
      </c>
      <c r="G2505" s="17">
        <v>8</v>
      </c>
      <c r="H2505" s="17" t="s">
        <v>9</v>
      </c>
      <c r="I2505" s="30" t="s">
        <v>59</v>
      </c>
      <c r="J2505" s="22">
        <v>1.55</v>
      </c>
      <c r="K2505" s="22">
        <f>0.55*2</f>
        <v>1.1000000000000001</v>
      </c>
      <c r="L2505" s="8">
        <f t="shared" si="3738"/>
        <v>0.44999999999999996</v>
      </c>
      <c r="M2505" s="24">
        <f t="shared" si="3736"/>
        <v>2.8481012658227858E-2</v>
      </c>
      <c r="N2505" s="14"/>
    </row>
    <row r="2506" spans="1:14" x14ac:dyDescent="0.25">
      <c r="A2506" s="20">
        <v>44609</v>
      </c>
      <c r="B2506" s="1">
        <f t="shared" ref="B2506" si="3746">B2498</f>
        <v>209</v>
      </c>
      <c r="C2506" s="1" t="s">
        <v>530</v>
      </c>
      <c r="D2506" s="1" t="s">
        <v>271</v>
      </c>
      <c r="E2506" s="26" t="e">
        <f t="shared" ref="E2506:F2509" si="3747">+E2505</f>
        <v>#REF!</v>
      </c>
      <c r="F2506" s="26" t="e">
        <f t="shared" si="3747"/>
        <v>#REF!</v>
      </c>
      <c r="G2506" s="17">
        <v>9</v>
      </c>
      <c r="H2506" s="17" t="s">
        <v>9</v>
      </c>
      <c r="I2506" s="30" t="s">
        <v>38</v>
      </c>
      <c r="J2506" s="22"/>
      <c r="K2506" s="22"/>
      <c r="L2506" s="8">
        <f t="shared" si="3738"/>
        <v>0</v>
      </c>
      <c r="M2506" s="24">
        <f t="shared" si="3736"/>
        <v>0</v>
      </c>
      <c r="N2506" s="14"/>
    </row>
    <row r="2507" spans="1:14" x14ac:dyDescent="0.25">
      <c r="A2507" s="20">
        <v>44609</v>
      </c>
      <c r="B2507" s="1">
        <f t="shared" ref="B2507" si="3748">B2498</f>
        <v>209</v>
      </c>
      <c r="C2507" s="1" t="s">
        <v>530</v>
      </c>
      <c r="D2507" s="1" t="s">
        <v>271</v>
      </c>
      <c r="E2507" s="26" t="e">
        <f t="shared" si="3747"/>
        <v>#REF!</v>
      </c>
      <c r="F2507" s="26" t="e">
        <f t="shared" si="3747"/>
        <v>#REF!</v>
      </c>
      <c r="G2507" s="17">
        <v>10</v>
      </c>
      <c r="H2507" s="17" t="s">
        <v>9</v>
      </c>
      <c r="I2507" s="30" t="s">
        <v>23</v>
      </c>
      <c r="J2507" s="22">
        <f>0.85</f>
        <v>0.85</v>
      </c>
      <c r="K2507" s="22">
        <f>0.55</f>
        <v>0.55000000000000004</v>
      </c>
      <c r="L2507" s="8">
        <f t="shared" si="3738"/>
        <v>0.29999999999999993</v>
      </c>
      <c r="M2507" s="24">
        <f t="shared" si="3736"/>
        <v>1.8987341772151903E-2</v>
      </c>
      <c r="N2507" s="14"/>
    </row>
    <row r="2508" spans="1:14" x14ac:dyDescent="0.25">
      <c r="A2508" s="20">
        <v>44609</v>
      </c>
      <c r="B2508" s="1">
        <f t="shared" ref="B2508" si="3749">B2498</f>
        <v>209</v>
      </c>
      <c r="C2508" s="1" t="s">
        <v>530</v>
      </c>
      <c r="D2508" s="1" t="s">
        <v>271</v>
      </c>
      <c r="E2508" s="26" t="e">
        <f t="shared" si="3747"/>
        <v>#REF!</v>
      </c>
      <c r="F2508" s="26" t="e">
        <f t="shared" si="3747"/>
        <v>#REF!</v>
      </c>
      <c r="G2508" s="17">
        <v>11</v>
      </c>
      <c r="H2508" s="17" t="s">
        <v>9</v>
      </c>
      <c r="I2508" s="30" t="s">
        <v>60</v>
      </c>
      <c r="J2508" s="22">
        <f>1.05+9.3</f>
        <v>10.350000000000001</v>
      </c>
      <c r="K2508" s="22">
        <f>0.5+8.55</f>
        <v>9.0500000000000007</v>
      </c>
      <c r="L2508" s="8">
        <f t="shared" si="3738"/>
        <v>1.3000000000000007</v>
      </c>
      <c r="M2508" s="24">
        <f t="shared" si="3736"/>
        <v>8.2278481012658305E-2</v>
      </c>
      <c r="N2508" s="14"/>
    </row>
    <row r="2509" spans="1:14" ht="15.75" thickBot="1" x14ac:dyDescent="0.3">
      <c r="A2509" s="20">
        <v>44609</v>
      </c>
      <c r="B2509" s="57">
        <f t="shared" ref="B2509" si="3750">B2498</f>
        <v>209</v>
      </c>
      <c r="C2509" s="1" t="s">
        <v>530</v>
      </c>
      <c r="D2509" s="57" t="s">
        <v>271</v>
      </c>
      <c r="E2509" s="26" t="e">
        <f t="shared" si="3747"/>
        <v>#REF!</v>
      </c>
      <c r="F2509" s="26" t="e">
        <f t="shared" si="3747"/>
        <v>#REF!</v>
      </c>
      <c r="G2509" s="18">
        <f>+G2508+1</f>
        <v>12</v>
      </c>
      <c r="H2509" s="18" t="s">
        <v>10</v>
      </c>
      <c r="I2509" s="46" t="s">
        <v>10</v>
      </c>
      <c r="J2509" s="22">
        <f>10.1*2+8.8</f>
        <v>29</v>
      </c>
      <c r="K2509" s="63">
        <f>8.55*2+8.5</f>
        <v>25.6</v>
      </c>
      <c r="L2509" s="8">
        <f t="shared" si="3738"/>
        <v>3.3999999999999986</v>
      </c>
      <c r="M2509" s="24">
        <f t="shared" si="3736"/>
        <v>0.21518987341772153</v>
      </c>
      <c r="N2509" s="14"/>
    </row>
    <row r="2510" spans="1:14" x14ac:dyDescent="0.25">
      <c r="A2510" s="19">
        <v>44609</v>
      </c>
      <c r="B2510" s="15">
        <f t="shared" ref="B2510" si="3751">B2498+1</f>
        <v>210</v>
      </c>
      <c r="C2510" s="15" t="s">
        <v>531</v>
      </c>
      <c r="D2510" s="15" t="s">
        <v>274</v>
      </c>
      <c r="E2510" s="25">
        <f>35-1.2</f>
        <v>33.799999999999997</v>
      </c>
      <c r="F2510" s="25">
        <f>+SUM(L2510:L2521)</f>
        <v>33.199999999999996</v>
      </c>
      <c r="G2510" s="16">
        <v>1</v>
      </c>
      <c r="H2510" s="16" t="s">
        <v>9</v>
      </c>
      <c r="I2510" s="59" t="s">
        <v>56</v>
      </c>
      <c r="J2510" s="21">
        <f>0.7</f>
        <v>0.7</v>
      </c>
      <c r="K2510" s="21">
        <f>0.55</f>
        <v>0.55000000000000004</v>
      </c>
      <c r="L2510" s="12">
        <f>+J2510-K2510</f>
        <v>0.14999999999999991</v>
      </c>
      <c r="M2510" s="23">
        <f t="shared" si="3736"/>
        <v>4.5180722891566246E-3</v>
      </c>
      <c r="N2510" s="13"/>
    </row>
    <row r="2511" spans="1:14" x14ac:dyDescent="0.25">
      <c r="A2511" s="20">
        <v>44609</v>
      </c>
      <c r="B2511" s="1">
        <f t="shared" ref="B2511" si="3752">B2510</f>
        <v>210</v>
      </c>
      <c r="C2511" s="1" t="s">
        <v>531</v>
      </c>
      <c r="D2511" s="1" t="s">
        <v>274</v>
      </c>
      <c r="E2511" s="26">
        <f>+E2510</f>
        <v>33.799999999999997</v>
      </c>
      <c r="F2511" s="28">
        <f>+(F2510-E2510)/E2510</f>
        <v>-1.775147928994087E-2</v>
      </c>
      <c r="G2511" s="17">
        <v>2</v>
      </c>
      <c r="H2511" s="17" t="s">
        <v>9</v>
      </c>
      <c r="I2511" s="30" t="s">
        <v>57</v>
      </c>
      <c r="J2511" s="22">
        <v>0.9</v>
      </c>
      <c r="K2511" s="22">
        <v>0.55000000000000004</v>
      </c>
      <c r="L2511" s="8">
        <f t="shared" ref="L2511:L2521" si="3753">+J2511-K2511</f>
        <v>0.35</v>
      </c>
      <c r="M2511" s="24">
        <f t="shared" si="3736"/>
        <v>1.0542168674698796E-2</v>
      </c>
      <c r="N2511" s="14"/>
    </row>
    <row r="2512" spans="1:14" x14ac:dyDescent="0.25">
      <c r="A2512" s="20">
        <v>44609</v>
      </c>
      <c r="B2512" s="1">
        <f t="shared" ref="B2512" si="3754">B2510</f>
        <v>210</v>
      </c>
      <c r="C2512" s="1" t="s">
        <v>531</v>
      </c>
      <c r="D2512" s="1" t="s">
        <v>274</v>
      </c>
      <c r="E2512" s="26" t="e">
        <f>+#REF!</f>
        <v>#REF!</v>
      </c>
      <c r="F2512" s="26" t="e">
        <f>+#REF!</f>
        <v>#REF!</v>
      </c>
      <c r="G2512" s="17">
        <v>3</v>
      </c>
      <c r="H2512" s="17" t="s">
        <v>9</v>
      </c>
      <c r="I2512" s="30" t="s">
        <v>58</v>
      </c>
      <c r="J2512" s="22">
        <v>1.1000000000000001</v>
      </c>
      <c r="K2512" s="22">
        <v>0.55000000000000004</v>
      </c>
      <c r="L2512" s="8">
        <f t="shared" si="3753"/>
        <v>0.55000000000000004</v>
      </c>
      <c r="M2512" s="24">
        <f t="shared" si="3736"/>
        <v>1.6566265060240969E-2</v>
      </c>
      <c r="N2512" s="14"/>
    </row>
    <row r="2513" spans="1:14" x14ac:dyDescent="0.25">
      <c r="A2513" s="20">
        <v>44609</v>
      </c>
      <c r="B2513" s="1">
        <f t="shared" ref="B2513" si="3755">B2510</f>
        <v>210</v>
      </c>
      <c r="C2513" s="1" t="s">
        <v>531</v>
      </c>
      <c r="D2513" s="1" t="s">
        <v>274</v>
      </c>
      <c r="E2513" s="26" t="e">
        <f t="shared" ref="E2513:F2516" si="3756">+E2512</f>
        <v>#REF!</v>
      </c>
      <c r="F2513" s="26" t="e">
        <f t="shared" si="3756"/>
        <v>#REF!</v>
      </c>
      <c r="G2513" s="17">
        <v>4</v>
      </c>
      <c r="H2513" s="17" t="s">
        <v>9</v>
      </c>
      <c r="I2513" s="30" t="s">
        <v>22</v>
      </c>
      <c r="J2513" s="22">
        <f>0.75</f>
        <v>0.75</v>
      </c>
      <c r="K2513" s="22">
        <f>0.55</f>
        <v>0.55000000000000004</v>
      </c>
      <c r="L2513" s="8">
        <f t="shared" si="3753"/>
        <v>0.19999999999999996</v>
      </c>
      <c r="M2513" s="24">
        <f t="shared" si="3736"/>
        <v>6.0240963855421681E-3</v>
      </c>
      <c r="N2513" s="14"/>
    </row>
    <row r="2514" spans="1:14" x14ac:dyDescent="0.25">
      <c r="A2514" s="20">
        <v>44609</v>
      </c>
      <c r="B2514" s="1">
        <f t="shared" ref="B2514" si="3757">B2510</f>
        <v>210</v>
      </c>
      <c r="C2514" s="1" t="s">
        <v>531</v>
      </c>
      <c r="D2514" s="1" t="s">
        <v>274</v>
      </c>
      <c r="E2514" s="26" t="e">
        <f t="shared" si="3756"/>
        <v>#REF!</v>
      </c>
      <c r="F2514" s="26" t="e">
        <f t="shared" si="3756"/>
        <v>#REF!</v>
      </c>
      <c r="G2514" s="17">
        <v>5</v>
      </c>
      <c r="H2514" s="17" t="s">
        <v>9</v>
      </c>
      <c r="I2514" s="30" t="s">
        <v>34</v>
      </c>
      <c r="J2514" s="22">
        <v>0.85</v>
      </c>
      <c r="K2514" s="63">
        <v>0.5</v>
      </c>
      <c r="L2514" s="8">
        <f t="shared" si="3753"/>
        <v>0.35</v>
      </c>
      <c r="M2514" s="24">
        <f t="shared" si="3736"/>
        <v>1.0542168674698796E-2</v>
      </c>
      <c r="N2514" s="14"/>
    </row>
    <row r="2515" spans="1:14" x14ac:dyDescent="0.25">
      <c r="A2515" s="20">
        <v>44609</v>
      </c>
      <c r="B2515" s="1">
        <f t="shared" ref="B2515" si="3758">B2510</f>
        <v>210</v>
      </c>
      <c r="C2515" s="1" t="s">
        <v>531</v>
      </c>
      <c r="D2515" s="1" t="s">
        <v>274</v>
      </c>
      <c r="E2515" s="26" t="e">
        <f t="shared" si="3756"/>
        <v>#REF!</v>
      </c>
      <c r="F2515" s="26" t="e">
        <f t="shared" si="3756"/>
        <v>#REF!</v>
      </c>
      <c r="G2515" s="17">
        <v>6</v>
      </c>
      <c r="H2515" s="17" t="s">
        <v>9</v>
      </c>
      <c r="I2515" s="30" t="s">
        <v>35</v>
      </c>
      <c r="J2515" s="22"/>
      <c r="K2515" s="22"/>
      <c r="L2515" s="8">
        <f t="shared" si="3753"/>
        <v>0</v>
      </c>
      <c r="M2515" s="24">
        <f t="shared" si="3736"/>
        <v>0</v>
      </c>
      <c r="N2515" s="14"/>
    </row>
    <row r="2516" spans="1:14" x14ac:dyDescent="0.25">
      <c r="A2516" s="20">
        <v>44609</v>
      </c>
      <c r="B2516" s="1">
        <f t="shared" ref="B2516" si="3759">B2510</f>
        <v>210</v>
      </c>
      <c r="C2516" s="1" t="s">
        <v>531</v>
      </c>
      <c r="D2516" s="1" t="s">
        <v>274</v>
      </c>
      <c r="E2516" s="26" t="e">
        <f t="shared" si="3756"/>
        <v>#REF!</v>
      </c>
      <c r="F2516" s="26" t="e">
        <f t="shared" si="3756"/>
        <v>#REF!</v>
      </c>
      <c r="G2516" s="17">
        <v>7</v>
      </c>
      <c r="H2516" s="17" t="s">
        <v>9</v>
      </c>
      <c r="I2516" s="30" t="s">
        <v>36</v>
      </c>
      <c r="J2516" s="22"/>
      <c r="K2516" s="22"/>
      <c r="L2516" s="8">
        <f t="shared" si="3753"/>
        <v>0</v>
      </c>
      <c r="M2516" s="24">
        <f t="shared" si="3736"/>
        <v>0</v>
      </c>
      <c r="N2516" s="14"/>
    </row>
    <row r="2517" spans="1:14" x14ac:dyDescent="0.25">
      <c r="A2517" s="20">
        <v>44609</v>
      </c>
      <c r="B2517" s="1">
        <f t="shared" ref="B2517" si="3760">B2510</f>
        <v>210</v>
      </c>
      <c r="C2517" s="1" t="s">
        <v>531</v>
      </c>
      <c r="D2517" s="1" t="s">
        <v>274</v>
      </c>
      <c r="E2517" s="26" t="e">
        <f>+E2516</f>
        <v>#REF!</v>
      </c>
      <c r="F2517" s="26" t="e">
        <f>+F2516</f>
        <v>#REF!</v>
      </c>
      <c r="G2517" s="17">
        <v>8</v>
      </c>
      <c r="H2517" s="17" t="s">
        <v>9</v>
      </c>
      <c r="I2517" s="30" t="s">
        <v>59</v>
      </c>
      <c r="J2517" s="22">
        <f>12.45+16.1</f>
        <v>28.55</v>
      </c>
      <c r="K2517" s="22">
        <f>8.55+8.55</f>
        <v>17.100000000000001</v>
      </c>
      <c r="L2517" s="8">
        <f t="shared" si="3753"/>
        <v>11.45</v>
      </c>
      <c r="M2517" s="24">
        <f t="shared" si="3736"/>
        <v>0.34487951807228917</v>
      </c>
      <c r="N2517" s="14"/>
    </row>
    <row r="2518" spans="1:14" x14ac:dyDescent="0.25">
      <c r="A2518" s="20">
        <v>44609</v>
      </c>
      <c r="B2518" s="1">
        <f t="shared" ref="B2518" si="3761">B2510</f>
        <v>210</v>
      </c>
      <c r="C2518" s="1" t="s">
        <v>531</v>
      </c>
      <c r="D2518" s="1" t="s">
        <v>274</v>
      </c>
      <c r="E2518" s="26" t="e">
        <f t="shared" ref="E2518:F2521" si="3762">+E2517</f>
        <v>#REF!</v>
      </c>
      <c r="F2518" s="26" t="e">
        <f t="shared" si="3762"/>
        <v>#REF!</v>
      </c>
      <c r="G2518" s="17">
        <v>9</v>
      </c>
      <c r="H2518" s="17" t="s">
        <v>9</v>
      </c>
      <c r="I2518" s="30" t="s">
        <v>38</v>
      </c>
      <c r="J2518" s="22"/>
      <c r="K2518" s="22"/>
      <c r="L2518" s="8">
        <f t="shared" si="3753"/>
        <v>0</v>
      </c>
      <c r="M2518" s="24">
        <f t="shared" si="3736"/>
        <v>0</v>
      </c>
      <c r="N2518" s="14"/>
    </row>
    <row r="2519" spans="1:14" x14ac:dyDescent="0.25">
      <c r="A2519" s="20">
        <v>44609</v>
      </c>
      <c r="B2519" s="1">
        <f t="shared" ref="B2519" si="3763">B2510</f>
        <v>210</v>
      </c>
      <c r="C2519" s="1" t="s">
        <v>531</v>
      </c>
      <c r="D2519" s="1" t="s">
        <v>274</v>
      </c>
      <c r="E2519" s="26" t="e">
        <f t="shared" si="3762"/>
        <v>#REF!</v>
      </c>
      <c r="F2519" s="26" t="e">
        <f t="shared" si="3762"/>
        <v>#REF!</v>
      </c>
      <c r="G2519" s="17">
        <v>10</v>
      </c>
      <c r="H2519" s="17" t="s">
        <v>9</v>
      </c>
      <c r="I2519" s="30" t="s">
        <v>23</v>
      </c>
      <c r="J2519" s="22">
        <f>13.95+14.45+13.95</f>
        <v>42.349999999999994</v>
      </c>
      <c r="K2519" s="22">
        <f>8.55+8.55+8.55</f>
        <v>25.650000000000002</v>
      </c>
      <c r="L2519" s="8">
        <f t="shared" si="3753"/>
        <v>16.699999999999992</v>
      </c>
      <c r="M2519" s="24">
        <f t="shared" si="3736"/>
        <v>0.5030120481927709</v>
      </c>
      <c r="N2519" s="14"/>
    </row>
    <row r="2520" spans="1:14" x14ac:dyDescent="0.25">
      <c r="A2520" s="20">
        <v>44609</v>
      </c>
      <c r="B2520" s="1">
        <f t="shared" ref="B2520" si="3764">B2510</f>
        <v>210</v>
      </c>
      <c r="C2520" s="1" t="s">
        <v>531</v>
      </c>
      <c r="D2520" s="1" t="s">
        <v>274</v>
      </c>
      <c r="E2520" s="26" t="e">
        <f t="shared" si="3762"/>
        <v>#REF!</v>
      </c>
      <c r="F2520" s="26" t="e">
        <f t="shared" si="3762"/>
        <v>#REF!</v>
      </c>
      <c r="G2520" s="17">
        <v>11</v>
      </c>
      <c r="H2520" s="17" t="s">
        <v>9</v>
      </c>
      <c r="I2520" s="30" t="s">
        <v>60</v>
      </c>
      <c r="J2520" s="22">
        <f>0.85</f>
        <v>0.85</v>
      </c>
      <c r="K2520" s="22">
        <f>0.5</f>
        <v>0.5</v>
      </c>
      <c r="L2520" s="8">
        <f t="shared" si="3753"/>
        <v>0.35</v>
      </c>
      <c r="M2520" s="24">
        <f t="shared" si="3736"/>
        <v>1.0542168674698796E-2</v>
      </c>
      <c r="N2520" s="14"/>
    </row>
    <row r="2521" spans="1:14" ht="15.75" thickBot="1" x14ac:dyDescent="0.3">
      <c r="A2521" s="20">
        <v>44609</v>
      </c>
      <c r="B2521" s="57">
        <f t="shared" ref="B2521" si="3765">B2510</f>
        <v>210</v>
      </c>
      <c r="C2521" s="1" t="s">
        <v>531</v>
      </c>
      <c r="D2521" s="57" t="s">
        <v>274</v>
      </c>
      <c r="E2521" s="26" t="e">
        <f t="shared" si="3762"/>
        <v>#REF!</v>
      </c>
      <c r="F2521" s="26" t="e">
        <f t="shared" si="3762"/>
        <v>#REF!</v>
      </c>
      <c r="G2521" s="18">
        <f>+G2520+1</f>
        <v>12</v>
      </c>
      <c r="H2521" s="18" t="s">
        <v>10</v>
      </c>
      <c r="I2521" s="46" t="s">
        <v>10</v>
      </c>
      <c r="J2521" s="22">
        <f>10.05+10.15</f>
        <v>20.200000000000003</v>
      </c>
      <c r="K2521" s="63">
        <f>8.55+8.55</f>
        <v>17.100000000000001</v>
      </c>
      <c r="L2521" s="8">
        <f t="shared" si="3753"/>
        <v>3.1000000000000014</v>
      </c>
      <c r="M2521" s="24">
        <f t="shared" si="3736"/>
        <v>9.3373493975903665E-2</v>
      </c>
      <c r="N2521" s="14"/>
    </row>
    <row r="2522" spans="1:14" x14ac:dyDescent="0.25">
      <c r="A2522" s="19">
        <v>44609</v>
      </c>
      <c r="B2522" s="15">
        <f t="shared" ref="B2522" si="3766">B2510+1</f>
        <v>211</v>
      </c>
      <c r="C2522" s="15" t="s">
        <v>532</v>
      </c>
      <c r="D2522" s="15" t="s">
        <v>250</v>
      </c>
      <c r="E2522" s="25">
        <f>24.4-1.2</f>
        <v>23.2</v>
      </c>
      <c r="F2522" s="25">
        <f>+SUM(L2522:L2533)</f>
        <v>22.600000000000005</v>
      </c>
      <c r="G2522" s="16">
        <v>1</v>
      </c>
      <c r="H2522" s="16" t="s">
        <v>9</v>
      </c>
      <c r="I2522" s="59" t="s">
        <v>56</v>
      </c>
      <c r="J2522" s="21">
        <v>0.6</v>
      </c>
      <c r="K2522" s="21">
        <v>0.55000000000000004</v>
      </c>
      <c r="L2522" s="12">
        <f>+J2522-K2522</f>
        <v>4.9999999999999933E-2</v>
      </c>
      <c r="M2522" s="23">
        <f t="shared" si="3736"/>
        <v>2.21238938053097E-3</v>
      </c>
      <c r="N2522" s="13"/>
    </row>
    <row r="2523" spans="1:14" x14ac:dyDescent="0.25">
      <c r="A2523" s="20">
        <v>44609</v>
      </c>
      <c r="B2523" s="1">
        <f t="shared" ref="B2523" si="3767">B2522</f>
        <v>211</v>
      </c>
      <c r="C2523" s="1" t="s">
        <v>532</v>
      </c>
      <c r="D2523" s="1" t="s">
        <v>250</v>
      </c>
      <c r="E2523" s="26">
        <f>+E2522</f>
        <v>23.2</v>
      </c>
      <c r="F2523" s="28">
        <f>+(F2522-E2522)/E2522</f>
        <v>-2.5862068965516998E-2</v>
      </c>
      <c r="G2523" s="17">
        <v>2</v>
      </c>
      <c r="H2523" s="17" t="s">
        <v>9</v>
      </c>
      <c r="I2523" s="30" t="s">
        <v>57</v>
      </c>
      <c r="J2523" s="22">
        <v>10.35</v>
      </c>
      <c r="K2523" s="22">
        <v>8.5500000000000007</v>
      </c>
      <c r="L2523" s="8">
        <f t="shared" ref="L2523:L2533" si="3768">+J2523-K2523</f>
        <v>1.7999999999999989</v>
      </c>
      <c r="M2523" s="24">
        <f t="shared" si="3736"/>
        <v>7.9646017699114974E-2</v>
      </c>
      <c r="N2523" s="14"/>
    </row>
    <row r="2524" spans="1:14" x14ac:dyDescent="0.25">
      <c r="A2524" s="20">
        <v>44609</v>
      </c>
      <c r="B2524" s="1">
        <f t="shared" ref="B2524" si="3769">B2522</f>
        <v>211</v>
      </c>
      <c r="C2524" s="1" t="s">
        <v>532</v>
      </c>
      <c r="D2524" s="1" t="s">
        <v>250</v>
      </c>
      <c r="E2524" s="26" t="e">
        <f>+#REF!</f>
        <v>#REF!</v>
      </c>
      <c r="F2524" s="26" t="e">
        <f>+#REF!</f>
        <v>#REF!</v>
      </c>
      <c r="G2524" s="17">
        <v>3</v>
      </c>
      <c r="H2524" s="17" t="s">
        <v>9</v>
      </c>
      <c r="I2524" s="30" t="s">
        <v>58</v>
      </c>
      <c r="J2524" s="22">
        <v>1.3</v>
      </c>
      <c r="K2524" s="22">
        <v>0.55000000000000004</v>
      </c>
      <c r="L2524" s="8">
        <f t="shared" si="3768"/>
        <v>0.75</v>
      </c>
      <c r="M2524" s="24">
        <f t="shared" si="3736"/>
        <v>3.3185840707964598E-2</v>
      </c>
      <c r="N2524" s="14"/>
    </row>
    <row r="2525" spans="1:14" x14ac:dyDescent="0.25">
      <c r="A2525" s="20">
        <v>44609</v>
      </c>
      <c r="B2525" s="1">
        <f t="shared" ref="B2525" si="3770">B2522</f>
        <v>211</v>
      </c>
      <c r="C2525" s="1" t="s">
        <v>532</v>
      </c>
      <c r="D2525" s="1" t="s">
        <v>250</v>
      </c>
      <c r="E2525" s="26" t="e">
        <f t="shared" ref="E2525:F2528" si="3771">+E2524</f>
        <v>#REF!</v>
      </c>
      <c r="F2525" s="26" t="e">
        <f t="shared" si="3771"/>
        <v>#REF!</v>
      </c>
      <c r="G2525" s="17">
        <v>4</v>
      </c>
      <c r="H2525" s="17" t="s">
        <v>9</v>
      </c>
      <c r="I2525" s="30" t="s">
        <v>22</v>
      </c>
      <c r="J2525" s="22">
        <v>0.6</v>
      </c>
      <c r="K2525" s="22">
        <v>0.55000000000000004</v>
      </c>
      <c r="L2525" s="8">
        <f t="shared" si="3768"/>
        <v>4.9999999999999933E-2</v>
      </c>
      <c r="M2525" s="24">
        <f t="shared" si="3736"/>
        <v>2.21238938053097E-3</v>
      </c>
      <c r="N2525" s="14"/>
    </row>
    <row r="2526" spans="1:14" x14ac:dyDescent="0.25">
      <c r="A2526" s="20">
        <v>44609</v>
      </c>
      <c r="B2526" s="1">
        <f t="shared" ref="B2526" si="3772">B2522</f>
        <v>211</v>
      </c>
      <c r="C2526" s="1" t="s">
        <v>532</v>
      </c>
      <c r="D2526" s="1" t="s">
        <v>250</v>
      </c>
      <c r="E2526" s="26" t="e">
        <f t="shared" si="3771"/>
        <v>#REF!</v>
      </c>
      <c r="F2526" s="26" t="e">
        <f t="shared" si="3771"/>
        <v>#REF!</v>
      </c>
      <c r="G2526" s="17">
        <v>5</v>
      </c>
      <c r="H2526" s="17" t="s">
        <v>9</v>
      </c>
      <c r="I2526" s="30" t="s">
        <v>34</v>
      </c>
      <c r="J2526" s="22">
        <v>0.6</v>
      </c>
      <c r="K2526" s="63">
        <v>0.55000000000000004</v>
      </c>
      <c r="L2526" s="8">
        <f t="shared" si="3768"/>
        <v>4.9999999999999933E-2</v>
      </c>
      <c r="M2526" s="24">
        <f t="shared" si="3736"/>
        <v>2.21238938053097E-3</v>
      </c>
      <c r="N2526" s="14"/>
    </row>
    <row r="2527" spans="1:14" x14ac:dyDescent="0.25">
      <c r="A2527" s="20">
        <v>44609</v>
      </c>
      <c r="B2527" s="1">
        <f t="shared" ref="B2527" si="3773">B2522</f>
        <v>211</v>
      </c>
      <c r="C2527" s="1" t="s">
        <v>532</v>
      </c>
      <c r="D2527" s="1" t="s">
        <v>250</v>
      </c>
      <c r="E2527" s="26" t="e">
        <f t="shared" si="3771"/>
        <v>#REF!</v>
      </c>
      <c r="F2527" s="26" t="e">
        <f t="shared" si="3771"/>
        <v>#REF!</v>
      </c>
      <c r="G2527" s="17">
        <v>6</v>
      </c>
      <c r="H2527" s="17" t="s">
        <v>9</v>
      </c>
      <c r="I2527" s="30" t="s">
        <v>35</v>
      </c>
      <c r="J2527" s="22"/>
      <c r="K2527" s="22"/>
      <c r="L2527" s="8">
        <f t="shared" si="3768"/>
        <v>0</v>
      </c>
      <c r="M2527" s="24">
        <f t="shared" si="3736"/>
        <v>0</v>
      </c>
      <c r="N2527" s="14"/>
    </row>
    <row r="2528" spans="1:14" x14ac:dyDescent="0.25">
      <c r="A2528" s="20">
        <v>44609</v>
      </c>
      <c r="B2528" s="1">
        <f t="shared" ref="B2528" si="3774">B2522</f>
        <v>211</v>
      </c>
      <c r="C2528" s="1" t="s">
        <v>532</v>
      </c>
      <c r="D2528" s="1" t="s">
        <v>250</v>
      </c>
      <c r="E2528" s="26" t="e">
        <f t="shared" si="3771"/>
        <v>#REF!</v>
      </c>
      <c r="F2528" s="26" t="e">
        <f t="shared" si="3771"/>
        <v>#REF!</v>
      </c>
      <c r="G2528" s="17">
        <v>7</v>
      </c>
      <c r="H2528" s="17" t="s">
        <v>9</v>
      </c>
      <c r="I2528" s="30" t="s">
        <v>36</v>
      </c>
      <c r="J2528" s="22"/>
      <c r="K2528" s="22"/>
      <c r="L2528" s="8">
        <f t="shared" si="3768"/>
        <v>0</v>
      </c>
      <c r="M2528" s="24">
        <f t="shared" si="3736"/>
        <v>0</v>
      </c>
      <c r="N2528" s="14"/>
    </row>
    <row r="2529" spans="1:14" x14ac:dyDescent="0.25">
      <c r="A2529" s="20">
        <v>44609</v>
      </c>
      <c r="B2529" s="1">
        <f t="shared" ref="B2529" si="3775">B2522</f>
        <v>211</v>
      </c>
      <c r="C2529" s="1" t="s">
        <v>532</v>
      </c>
      <c r="D2529" s="1" t="s">
        <v>250</v>
      </c>
      <c r="E2529" s="26" t="e">
        <f>+E2528</f>
        <v>#REF!</v>
      </c>
      <c r="F2529" s="26" t="e">
        <f>+F2528</f>
        <v>#REF!</v>
      </c>
      <c r="G2529" s="17">
        <v>8</v>
      </c>
      <c r="H2529" s="17" t="s">
        <v>9</v>
      </c>
      <c r="I2529" s="30" t="s">
        <v>59</v>
      </c>
      <c r="J2529" s="22">
        <v>1</v>
      </c>
      <c r="K2529" s="22">
        <v>0.55000000000000004</v>
      </c>
      <c r="L2529" s="8">
        <f t="shared" si="3768"/>
        <v>0.44999999999999996</v>
      </c>
      <c r="M2529" s="24">
        <f t="shared" si="3736"/>
        <v>1.9911504424778754E-2</v>
      </c>
      <c r="N2529" s="14"/>
    </row>
    <row r="2530" spans="1:14" x14ac:dyDescent="0.25">
      <c r="A2530" s="20">
        <v>44609</v>
      </c>
      <c r="B2530" s="1">
        <f t="shared" ref="B2530" si="3776">B2522</f>
        <v>211</v>
      </c>
      <c r="C2530" s="1" t="s">
        <v>532</v>
      </c>
      <c r="D2530" s="1" t="s">
        <v>250</v>
      </c>
      <c r="E2530" s="26" t="e">
        <f t="shared" ref="E2530:F2533" si="3777">+E2529</f>
        <v>#REF!</v>
      </c>
      <c r="F2530" s="26" t="e">
        <f t="shared" si="3777"/>
        <v>#REF!</v>
      </c>
      <c r="G2530" s="17">
        <v>9</v>
      </c>
      <c r="H2530" s="17" t="s">
        <v>9</v>
      </c>
      <c r="I2530" s="30" t="s">
        <v>38</v>
      </c>
      <c r="J2530" s="22"/>
      <c r="K2530" s="22"/>
      <c r="L2530" s="8">
        <f t="shared" si="3768"/>
        <v>0</v>
      </c>
      <c r="M2530" s="24">
        <f t="shared" si="3736"/>
        <v>0</v>
      </c>
      <c r="N2530" s="14"/>
    </row>
    <row r="2531" spans="1:14" x14ac:dyDescent="0.25">
      <c r="A2531" s="20">
        <v>44609</v>
      </c>
      <c r="B2531" s="1">
        <f t="shared" ref="B2531" si="3778">B2522</f>
        <v>211</v>
      </c>
      <c r="C2531" s="1" t="s">
        <v>532</v>
      </c>
      <c r="D2531" s="1" t="s">
        <v>250</v>
      </c>
      <c r="E2531" s="26" t="e">
        <f t="shared" si="3777"/>
        <v>#REF!</v>
      </c>
      <c r="F2531" s="26" t="e">
        <f t="shared" si="3777"/>
        <v>#REF!</v>
      </c>
      <c r="G2531" s="17">
        <v>10</v>
      </c>
      <c r="H2531" s="17" t="s">
        <v>9</v>
      </c>
      <c r="I2531" s="30" t="s">
        <v>23</v>
      </c>
      <c r="J2531" s="22">
        <v>1.1499999999999999</v>
      </c>
      <c r="K2531" s="22">
        <v>0.55000000000000004</v>
      </c>
      <c r="L2531" s="8">
        <f t="shared" si="3768"/>
        <v>0.59999999999999987</v>
      </c>
      <c r="M2531" s="24">
        <f t="shared" si="3736"/>
        <v>2.6548672566371671E-2</v>
      </c>
      <c r="N2531" s="14"/>
    </row>
    <row r="2532" spans="1:14" x14ac:dyDescent="0.25">
      <c r="A2532" s="20">
        <v>44609</v>
      </c>
      <c r="B2532" s="1">
        <f t="shared" ref="B2532" si="3779">B2522</f>
        <v>211</v>
      </c>
      <c r="C2532" s="1" t="s">
        <v>532</v>
      </c>
      <c r="D2532" s="1" t="s">
        <v>250</v>
      </c>
      <c r="E2532" s="26" t="e">
        <f t="shared" si="3777"/>
        <v>#REF!</v>
      </c>
      <c r="F2532" s="26" t="e">
        <f t="shared" si="3777"/>
        <v>#REF!</v>
      </c>
      <c r="G2532" s="17">
        <v>11</v>
      </c>
      <c r="H2532" s="17" t="s">
        <v>9</v>
      </c>
      <c r="I2532" s="30" t="s">
        <v>60</v>
      </c>
      <c r="J2532" s="22">
        <f>12.75+11.65+10.15+9.5+9.65+11.6+9.4</f>
        <v>74.7</v>
      </c>
      <c r="K2532" s="22">
        <f>8.55+8.55+8.55+8.55+8.55+8.3+8.55</f>
        <v>59.599999999999994</v>
      </c>
      <c r="L2532" s="8">
        <f t="shared" si="3768"/>
        <v>15.100000000000009</v>
      </c>
      <c r="M2532" s="24">
        <f t="shared" si="3736"/>
        <v>0.66814159292035424</v>
      </c>
      <c r="N2532" s="14"/>
    </row>
    <row r="2533" spans="1:14" ht="15.75" thickBot="1" x14ac:dyDescent="0.3">
      <c r="A2533" s="20">
        <v>44609</v>
      </c>
      <c r="B2533" s="57">
        <f t="shared" ref="B2533" si="3780">B2522</f>
        <v>211</v>
      </c>
      <c r="C2533" s="1" t="s">
        <v>532</v>
      </c>
      <c r="D2533" s="57" t="s">
        <v>250</v>
      </c>
      <c r="E2533" s="26" t="e">
        <f t="shared" si="3777"/>
        <v>#REF!</v>
      </c>
      <c r="F2533" s="26" t="e">
        <f t="shared" si="3777"/>
        <v>#REF!</v>
      </c>
      <c r="G2533" s="18">
        <f>+G2532+1</f>
        <v>12</v>
      </c>
      <c r="H2533" s="18" t="s">
        <v>10</v>
      </c>
      <c r="I2533" s="46" t="s">
        <v>10</v>
      </c>
      <c r="J2533" s="22">
        <f>10.6+10.2</f>
        <v>20.799999999999997</v>
      </c>
      <c r="K2533" s="63">
        <f>8.55+8.5</f>
        <v>17.05</v>
      </c>
      <c r="L2533" s="8">
        <f t="shared" si="3768"/>
        <v>3.7499999999999964</v>
      </c>
      <c r="M2533" s="24">
        <f t="shared" si="3736"/>
        <v>0.16592920353982282</v>
      </c>
      <c r="N2533" s="14"/>
    </row>
    <row r="2534" spans="1:14" x14ac:dyDescent="0.25">
      <c r="A2534" s="19">
        <v>44610</v>
      </c>
      <c r="B2534" s="15">
        <f t="shared" ref="B2534" si="3781">B2522+1</f>
        <v>212</v>
      </c>
      <c r="C2534" s="15" t="s">
        <v>533</v>
      </c>
      <c r="D2534" s="15" t="s">
        <v>263</v>
      </c>
      <c r="E2534" s="25">
        <f>20-1.2</f>
        <v>18.8</v>
      </c>
      <c r="F2534" s="25">
        <f>+SUM(L2534:L2545)</f>
        <v>18.540000000000003</v>
      </c>
      <c r="G2534" s="16">
        <v>1</v>
      </c>
      <c r="H2534" s="16" t="s">
        <v>9</v>
      </c>
      <c r="I2534" s="59" t="s">
        <v>56</v>
      </c>
      <c r="J2534" s="21">
        <f>12.5+13.6+12.8+12.55</f>
        <v>51.45</v>
      </c>
      <c r="K2534" s="21">
        <f>8.3+8.55+8.55+8.55</f>
        <v>33.950000000000003</v>
      </c>
      <c r="L2534" s="12">
        <f>+J2534-K2534</f>
        <v>17.5</v>
      </c>
      <c r="M2534" s="23">
        <f t="shared" si="3736"/>
        <v>0.9439050701186622</v>
      </c>
      <c r="N2534" s="13"/>
    </row>
    <row r="2535" spans="1:14" x14ac:dyDescent="0.25">
      <c r="A2535" s="20">
        <v>44610</v>
      </c>
      <c r="B2535" s="1">
        <f t="shared" ref="B2535" si="3782">B2534</f>
        <v>212</v>
      </c>
      <c r="C2535" s="1" t="s">
        <v>533</v>
      </c>
      <c r="D2535" s="1" t="s">
        <v>263</v>
      </c>
      <c r="E2535" s="26">
        <f>+E2534</f>
        <v>18.8</v>
      </c>
      <c r="F2535" s="28">
        <f>+(F2534-E2534)/E2534</f>
        <v>-1.3829787234042447E-2</v>
      </c>
      <c r="G2535" s="17">
        <v>2</v>
      </c>
      <c r="H2535" s="17" t="s">
        <v>9</v>
      </c>
      <c r="I2535" s="30" t="s">
        <v>57</v>
      </c>
      <c r="J2535" s="22">
        <v>0.8</v>
      </c>
      <c r="K2535" s="22">
        <v>0.5</v>
      </c>
      <c r="L2535" s="8">
        <f t="shared" ref="L2535:L2545" si="3783">+J2535-K2535</f>
        <v>0.30000000000000004</v>
      </c>
      <c r="M2535" s="24">
        <f t="shared" si="3736"/>
        <v>1.6181229773462782E-2</v>
      </c>
      <c r="N2535" s="14"/>
    </row>
    <row r="2536" spans="1:14" x14ac:dyDescent="0.25">
      <c r="A2536" s="20">
        <v>44610</v>
      </c>
      <c r="B2536" s="1">
        <f t="shared" ref="B2536" si="3784">B2534</f>
        <v>212</v>
      </c>
      <c r="C2536" s="1" t="s">
        <v>533</v>
      </c>
      <c r="D2536" s="1" t="s">
        <v>263</v>
      </c>
      <c r="E2536" s="26" t="e">
        <f>+#REF!</f>
        <v>#REF!</v>
      </c>
      <c r="F2536" s="26" t="e">
        <f>+#REF!</f>
        <v>#REF!</v>
      </c>
      <c r="G2536" s="17">
        <v>3</v>
      </c>
      <c r="H2536" s="17" t="s">
        <v>9</v>
      </c>
      <c r="I2536" s="30" t="s">
        <v>58</v>
      </c>
      <c r="J2536" s="22">
        <v>0.6</v>
      </c>
      <c r="K2536" s="22">
        <v>0.55000000000000004</v>
      </c>
      <c r="L2536" s="8">
        <f t="shared" si="3783"/>
        <v>4.9999999999999933E-2</v>
      </c>
      <c r="M2536" s="24">
        <f t="shared" si="3736"/>
        <v>2.6968716289104597E-3</v>
      </c>
      <c r="N2536" s="14"/>
    </row>
    <row r="2537" spans="1:14" x14ac:dyDescent="0.25">
      <c r="A2537" s="20">
        <v>44610</v>
      </c>
      <c r="B2537" s="1">
        <f t="shared" ref="B2537" si="3785">B2534</f>
        <v>212</v>
      </c>
      <c r="C2537" s="1" t="s">
        <v>533</v>
      </c>
      <c r="D2537" s="1" t="s">
        <v>263</v>
      </c>
      <c r="E2537" s="26" t="e">
        <f t="shared" ref="E2537:F2540" si="3786">+E2536</f>
        <v>#REF!</v>
      </c>
      <c r="F2537" s="26" t="e">
        <f t="shared" si="3786"/>
        <v>#REF!</v>
      </c>
      <c r="G2537" s="17">
        <v>4</v>
      </c>
      <c r="H2537" s="17" t="s">
        <v>9</v>
      </c>
      <c r="I2537" s="30" t="s">
        <v>22</v>
      </c>
      <c r="J2537" s="22"/>
      <c r="K2537" s="22"/>
      <c r="L2537" s="8">
        <f t="shared" si="3783"/>
        <v>0</v>
      </c>
      <c r="M2537" s="24">
        <f t="shared" si="3736"/>
        <v>0</v>
      </c>
      <c r="N2537" s="14"/>
    </row>
    <row r="2538" spans="1:14" x14ac:dyDescent="0.25">
      <c r="A2538" s="20">
        <v>44610</v>
      </c>
      <c r="B2538" s="1">
        <f t="shared" ref="B2538" si="3787">B2534</f>
        <v>212</v>
      </c>
      <c r="C2538" s="1" t="s">
        <v>533</v>
      </c>
      <c r="D2538" s="1" t="s">
        <v>263</v>
      </c>
      <c r="E2538" s="26" t="e">
        <f t="shared" si="3786"/>
        <v>#REF!</v>
      </c>
      <c r="F2538" s="26" t="e">
        <f t="shared" si="3786"/>
        <v>#REF!</v>
      </c>
      <c r="G2538" s="17">
        <v>5</v>
      </c>
      <c r="H2538" s="17" t="s">
        <v>9</v>
      </c>
      <c r="I2538" s="30" t="s">
        <v>34</v>
      </c>
      <c r="J2538" s="22">
        <v>0.56999999999999995</v>
      </c>
      <c r="K2538" s="63">
        <v>0.55000000000000004</v>
      </c>
      <c r="L2538" s="8">
        <f t="shared" si="3783"/>
        <v>1.9999999999999907E-2</v>
      </c>
      <c r="M2538" s="24">
        <f t="shared" si="3736"/>
        <v>1.0787486515641805E-3</v>
      </c>
      <c r="N2538" s="14"/>
    </row>
    <row r="2539" spans="1:14" x14ac:dyDescent="0.25">
      <c r="A2539" s="20">
        <v>44610</v>
      </c>
      <c r="B2539" s="1">
        <f t="shared" ref="B2539" si="3788">B2534</f>
        <v>212</v>
      </c>
      <c r="C2539" s="1" t="s">
        <v>533</v>
      </c>
      <c r="D2539" s="1" t="s">
        <v>263</v>
      </c>
      <c r="E2539" s="26" t="e">
        <f t="shared" si="3786"/>
        <v>#REF!</v>
      </c>
      <c r="F2539" s="26" t="e">
        <f t="shared" si="3786"/>
        <v>#REF!</v>
      </c>
      <c r="G2539" s="17">
        <v>6</v>
      </c>
      <c r="H2539" s="17" t="s">
        <v>9</v>
      </c>
      <c r="I2539" s="30" t="s">
        <v>35</v>
      </c>
      <c r="J2539" s="22"/>
      <c r="K2539" s="22"/>
      <c r="L2539" s="8">
        <f t="shared" si="3783"/>
        <v>0</v>
      </c>
      <c r="M2539" s="24">
        <f t="shared" si="3736"/>
        <v>0</v>
      </c>
      <c r="N2539" s="14"/>
    </row>
    <row r="2540" spans="1:14" x14ac:dyDescent="0.25">
      <c r="A2540" s="20">
        <v>44610</v>
      </c>
      <c r="B2540" s="1">
        <f t="shared" ref="B2540" si="3789">B2534</f>
        <v>212</v>
      </c>
      <c r="C2540" s="1" t="s">
        <v>533</v>
      </c>
      <c r="D2540" s="1" t="s">
        <v>263</v>
      </c>
      <c r="E2540" s="26" t="e">
        <f t="shared" si="3786"/>
        <v>#REF!</v>
      </c>
      <c r="F2540" s="26" t="e">
        <f t="shared" si="3786"/>
        <v>#REF!</v>
      </c>
      <c r="G2540" s="17">
        <v>7</v>
      </c>
      <c r="H2540" s="17" t="s">
        <v>9</v>
      </c>
      <c r="I2540" s="30" t="s">
        <v>36</v>
      </c>
      <c r="J2540" s="22"/>
      <c r="K2540" s="22"/>
      <c r="L2540" s="8">
        <f t="shared" si="3783"/>
        <v>0</v>
      </c>
      <c r="M2540" s="24">
        <f t="shared" si="3736"/>
        <v>0</v>
      </c>
      <c r="N2540" s="14"/>
    </row>
    <row r="2541" spans="1:14" x14ac:dyDescent="0.25">
      <c r="A2541" s="20">
        <v>44610</v>
      </c>
      <c r="B2541" s="1">
        <f t="shared" ref="B2541" si="3790">B2534</f>
        <v>212</v>
      </c>
      <c r="C2541" s="1" t="s">
        <v>533</v>
      </c>
      <c r="D2541" s="1" t="s">
        <v>263</v>
      </c>
      <c r="E2541" s="26" t="e">
        <f>+E2540</f>
        <v>#REF!</v>
      </c>
      <c r="F2541" s="26" t="e">
        <f>+F2540</f>
        <v>#REF!</v>
      </c>
      <c r="G2541" s="17">
        <v>8</v>
      </c>
      <c r="H2541" s="17" t="s">
        <v>9</v>
      </c>
      <c r="I2541" s="30" t="s">
        <v>59</v>
      </c>
      <c r="J2541" s="22">
        <v>0.6</v>
      </c>
      <c r="K2541" s="22">
        <v>0.55000000000000004</v>
      </c>
      <c r="L2541" s="8">
        <f t="shared" si="3783"/>
        <v>4.9999999999999933E-2</v>
      </c>
      <c r="M2541" s="24">
        <f t="shared" si="3736"/>
        <v>2.6968716289104597E-3</v>
      </c>
      <c r="N2541" s="14"/>
    </row>
    <row r="2542" spans="1:14" x14ac:dyDescent="0.25">
      <c r="A2542" s="20">
        <v>44610</v>
      </c>
      <c r="B2542" s="1">
        <f t="shared" ref="B2542" si="3791">B2534</f>
        <v>212</v>
      </c>
      <c r="C2542" s="1" t="s">
        <v>533</v>
      </c>
      <c r="D2542" s="1" t="s">
        <v>263</v>
      </c>
      <c r="E2542" s="26" t="e">
        <f t="shared" ref="E2542:F2545" si="3792">+E2541</f>
        <v>#REF!</v>
      </c>
      <c r="F2542" s="26" t="e">
        <f t="shared" si="3792"/>
        <v>#REF!</v>
      </c>
      <c r="G2542" s="17">
        <v>9</v>
      </c>
      <c r="H2542" s="17" t="s">
        <v>9</v>
      </c>
      <c r="I2542" s="30" t="s">
        <v>38</v>
      </c>
      <c r="J2542" s="22"/>
      <c r="K2542" s="22"/>
      <c r="L2542" s="8">
        <f t="shared" si="3783"/>
        <v>0</v>
      </c>
      <c r="M2542" s="24">
        <f t="shared" si="3736"/>
        <v>0</v>
      </c>
      <c r="N2542" s="14"/>
    </row>
    <row r="2543" spans="1:14" x14ac:dyDescent="0.25">
      <c r="A2543" s="20">
        <v>44610</v>
      </c>
      <c r="B2543" s="1">
        <f t="shared" ref="B2543" si="3793">B2534</f>
        <v>212</v>
      </c>
      <c r="C2543" s="1" t="s">
        <v>533</v>
      </c>
      <c r="D2543" s="1" t="s">
        <v>263</v>
      </c>
      <c r="E2543" s="26" t="e">
        <f t="shared" si="3792"/>
        <v>#REF!</v>
      </c>
      <c r="F2543" s="26" t="e">
        <f t="shared" si="3792"/>
        <v>#REF!</v>
      </c>
      <c r="G2543" s="17">
        <v>10</v>
      </c>
      <c r="H2543" s="17" t="s">
        <v>9</v>
      </c>
      <c r="I2543" s="30" t="s">
        <v>23</v>
      </c>
      <c r="J2543" s="22">
        <v>0.65</v>
      </c>
      <c r="K2543" s="22">
        <v>0.55000000000000004</v>
      </c>
      <c r="L2543" s="8">
        <f t="shared" si="3783"/>
        <v>9.9999999999999978E-2</v>
      </c>
      <c r="M2543" s="24">
        <f t="shared" si="3736"/>
        <v>5.3937432578209255E-3</v>
      </c>
      <c r="N2543" s="14"/>
    </row>
    <row r="2544" spans="1:14" x14ac:dyDescent="0.25">
      <c r="A2544" s="20">
        <v>44610</v>
      </c>
      <c r="B2544" s="1">
        <f t="shared" ref="B2544" si="3794">B2534</f>
        <v>212</v>
      </c>
      <c r="C2544" s="1" t="s">
        <v>533</v>
      </c>
      <c r="D2544" s="1" t="s">
        <v>263</v>
      </c>
      <c r="E2544" s="26" t="e">
        <f t="shared" si="3792"/>
        <v>#REF!</v>
      </c>
      <c r="F2544" s="26" t="e">
        <f t="shared" si="3792"/>
        <v>#REF!</v>
      </c>
      <c r="G2544" s="17">
        <v>11</v>
      </c>
      <c r="H2544" s="17" t="s">
        <v>9</v>
      </c>
      <c r="I2544" s="30" t="s">
        <v>60</v>
      </c>
      <c r="J2544" s="22">
        <v>0.56999999999999995</v>
      </c>
      <c r="K2544" s="22">
        <v>0.55000000000000004</v>
      </c>
      <c r="L2544" s="8">
        <f t="shared" si="3783"/>
        <v>1.9999999999999907E-2</v>
      </c>
      <c r="M2544" s="24">
        <f t="shared" si="3736"/>
        <v>1.0787486515641805E-3</v>
      </c>
      <c r="N2544" s="14"/>
    </row>
    <row r="2545" spans="1:14" ht="15.75" thickBot="1" x14ac:dyDescent="0.3">
      <c r="A2545" s="20">
        <v>44610</v>
      </c>
      <c r="B2545" s="57">
        <f t="shared" ref="B2545" si="3795">B2534</f>
        <v>212</v>
      </c>
      <c r="C2545" s="1" t="s">
        <v>533</v>
      </c>
      <c r="D2545" s="57" t="s">
        <v>263</v>
      </c>
      <c r="E2545" s="26" t="e">
        <f t="shared" si="3792"/>
        <v>#REF!</v>
      </c>
      <c r="F2545" s="26" t="e">
        <f t="shared" si="3792"/>
        <v>#REF!</v>
      </c>
      <c r="G2545" s="18">
        <f>+G2544+1</f>
        <v>12</v>
      </c>
      <c r="H2545" s="18" t="s">
        <v>10</v>
      </c>
      <c r="I2545" s="46" t="s">
        <v>10</v>
      </c>
      <c r="J2545" s="22">
        <f>1.05</f>
        <v>1.05</v>
      </c>
      <c r="K2545" s="63">
        <f>0.55</f>
        <v>0.55000000000000004</v>
      </c>
      <c r="L2545" s="8">
        <f t="shared" si="3783"/>
        <v>0.5</v>
      </c>
      <c r="M2545" s="24">
        <f t="shared" si="3736"/>
        <v>2.6968716289104636E-2</v>
      </c>
      <c r="N2545" s="14"/>
    </row>
    <row r="2546" spans="1:14" x14ac:dyDescent="0.25">
      <c r="A2546" s="19">
        <v>44610</v>
      </c>
      <c r="B2546" s="15">
        <f t="shared" ref="B2546" si="3796">B2534+1</f>
        <v>213</v>
      </c>
      <c r="C2546" s="15" t="s">
        <v>534</v>
      </c>
      <c r="D2546" s="15" t="s">
        <v>261</v>
      </c>
      <c r="E2546" s="25">
        <f>22.4-1.2</f>
        <v>21.2</v>
      </c>
      <c r="F2546" s="25">
        <f>+SUM(L2546:L2557)</f>
        <v>21.049999999999997</v>
      </c>
      <c r="G2546" s="16">
        <v>1</v>
      </c>
      <c r="H2546" s="16" t="s">
        <v>9</v>
      </c>
      <c r="I2546" s="59" t="s">
        <v>56</v>
      </c>
      <c r="J2546" s="21">
        <v>0.8</v>
      </c>
      <c r="K2546" s="21">
        <v>0.55000000000000004</v>
      </c>
      <c r="L2546" s="12">
        <f>+J2546-K2546</f>
        <v>0.25</v>
      </c>
      <c r="M2546" s="23">
        <f t="shared" si="3736"/>
        <v>1.1876484560570073E-2</v>
      </c>
      <c r="N2546" s="13"/>
    </row>
    <row r="2547" spans="1:14" x14ac:dyDescent="0.25">
      <c r="A2547" s="20">
        <v>44610</v>
      </c>
      <c r="B2547" s="1">
        <f t="shared" ref="B2547" si="3797">B2546</f>
        <v>213</v>
      </c>
      <c r="C2547" s="1" t="s">
        <v>534</v>
      </c>
      <c r="D2547" s="1" t="s">
        <v>261</v>
      </c>
      <c r="E2547" s="26">
        <f>+E2546</f>
        <v>21.2</v>
      </c>
      <c r="F2547" s="28">
        <f>+(F2546-E2546)/E2546</f>
        <v>-7.0754716981133083E-3</v>
      </c>
      <c r="G2547" s="17">
        <v>2</v>
      </c>
      <c r="H2547" s="17" t="s">
        <v>9</v>
      </c>
      <c r="I2547" s="30" t="s">
        <v>57</v>
      </c>
      <c r="J2547" s="22">
        <v>2.0499999999999998</v>
      </c>
      <c r="K2547" s="22">
        <v>1.1000000000000001</v>
      </c>
      <c r="L2547" s="8">
        <f t="shared" ref="L2547:L2557" si="3798">+J2547-K2547</f>
        <v>0.94999999999999973</v>
      </c>
      <c r="M2547" s="24">
        <f t="shared" si="3736"/>
        <v>4.5130641330166262E-2</v>
      </c>
      <c r="N2547" s="14"/>
    </row>
    <row r="2548" spans="1:14" x14ac:dyDescent="0.25">
      <c r="A2548" s="20">
        <v>44610</v>
      </c>
      <c r="B2548" s="1">
        <f t="shared" ref="B2548" si="3799">B2546</f>
        <v>213</v>
      </c>
      <c r="C2548" s="1" t="s">
        <v>534</v>
      </c>
      <c r="D2548" s="1" t="s">
        <v>261</v>
      </c>
      <c r="E2548" s="26" t="e">
        <f>+#REF!</f>
        <v>#REF!</v>
      </c>
      <c r="F2548" s="26" t="e">
        <f>+#REF!</f>
        <v>#REF!</v>
      </c>
      <c r="G2548" s="17">
        <v>3</v>
      </c>
      <c r="H2548" s="17" t="s">
        <v>9</v>
      </c>
      <c r="I2548" s="30" t="s">
        <v>58</v>
      </c>
      <c r="J2548" s="22">
        <f>14.05+12.75</f>
        <v>26.8</v>
      </c>
      <c r="K2548" s="22">
        <f>8.55+8.55</f>
        <v>17.100000000000001</v>
      </c>
      <c r="L2548" s="8">
        <f t="shared" si="3798"/>
        <v>9.6999999999999993</v>
      </c>
      <c r="M2548" s="24">
        <f t="shared" si="3736"/>
        <v>0.4608076009501188</v>
      </c>
      <c r="N2548" s="14"/>
    </row>
    <row r="2549" spans="1:14" x14ac:dyDescent="0.25">
      <c r="A2549" s="20">
        <v>44610</v>
      </c>
      <c r="B2549" s="1">
        <f t="shared" ref="B2549" si="3800">B2546</f>
        <v>213</v>
      </c>
      <c r="C2549" s="1" t="s">
        <v>534</v>
      </c>
      <c r="D2549" s="1" t="s">
        <v>261</v>
      </c>
      <c r="E2549" s="26" t="e">
        <f t="shared" ref="E2549:F2552" si="3801">+E2548</f>
        <v>#REF!</v>
      </c>
      <c r="F2549" s="26" t="e">
        <f t="shared" si="3801"/>
        <v>#REF!</v>
      </c>
      <c r="G2549" s="17">
        <v>4</v>
      </c>
      <c r="H2549" s="17" t="s">
        <v>9</v>
      </c>
      <c r="I2549" s="30" t="s">
        <v>22</v>
      </c>
      <c r="J2549" s="22">
        <v>4.25</v>
      </c>
      <c r="K2549" s="22">
        <f>1.05</f>
        <v>1.05</v>
      </c>
      <c r="L2549" s="8">
        <f t="shared" si="3798"/>
        <v>3.2</v>
      </c>
      <c r="M2549" s="24">
        <f t="shared" si="3736"/>
        <v>0.15201900237529695</v>
      </c>
      <c r="N2549" s="14"/>
    </row>
    <row r="2550" spans="1:14" x14ac:dyDescent="0.25">
      <c r="A2550" s="20">
        <v>44610</v>
      </c>
      <c r="B2550" s="1">
        <f t="shared" ref="B2550" si="3802">B2546</f>
        <v>213</v>
      </c>
      <c r="C2550" s="1" t="s">
        <v>534</v>
      </c>
      <c r="D2550" s="1" t="s">
        <v>261</v>
      </c>
      <c r="E2550" s="26" t="e">
        <f t="shared" si="3801"/>
        <v>#REF!</v>
      </c>
      <c r="F2550" s="26" t="e">
        <f t="shared" si="3801"/>
        <v>#REF!</v>
      </c>
      <c r="G2550" s="17">
        <v>5</v>
      </c>
      <c r="H2550" s="17" t="s">
        <v>9</v>
      </c>
      <c r="I2550" s="30" t="s">
        <v>34</v>
      </c>
      <c r="J2550" s="22">
        <v>0.7</v>
      </c>
      <c r="K2550" s="63">
        <v>0.55000000000000004</v>
      </c>
      <c r="L2550" s="8">
        <f t="shared" si="3798"/>
        <v>0.14999999999999991</v>
      </c>
      <c r="M2550" s="24">
        <f t="shared" si="3736"/>
        <v>7.1258907363420396E-3</v>
      </c>
      <c r="N2550" s="14"/>
    </row>
    <row r="2551" spans="1:14" x14ac:dyDescent="0.25">
      <c r="A2551" s="20">
        <v>44610</v>
      </c>
      <c r="B2551" s="1">
        <f t="shared" ref="B2551" si="3803">B2546</f>
        <v>213</v>
      </c>
      <c r="C2551" s="1" t="s">
        <v>534</v>
      </c>
      <c r="D2551" s="1" t="s">
        <v>261</v>
      </c>
      <c r="E2551" s="26" t="e">
        <f t="shared" si="3801"/>
        <v>#REF!</v>
      </c>
      <c r="F2551" s="26" t="e">
        <f t="shared" si="3801"/>
        <v>#REF!</v>
      </c>
      <c r="G2551" s="17">
        <v>6</v>
      </c>
      <c r="H2551" s="17" t="s">
        <v>9</v>
      </c>
      <c r="I2551" s="30" t="s">
        <v>35</v>
      </c>
      <c r="J2551" s="22"/>
      <c r="K2551" s="22"/>
      <c r="L2551" s="8">
        <f t="shared" si="3798"/>
        <v>0</v>
      </c>
      <c r="M2551" s="24">
        <f t="shared" si="3736"/>
        <v>0</v>
      </c>
      <c r="N2551" s="14"/>
    </row>
    <row r="2552" spans="1:14" x14ac:dyDescent="0.25">
      <c r="A2552" s="20">
        <v>44610</v>
      </c>
      <c r="B2552" s="1">
        <f t="shared" ref="B2552" si="3804">B2546</f>
        <v>213</v>
      </c>
      <c r="C2552" s="1" t="s">
        <v>534</v>
      </c>
      <c r="D2552" s="1" t="s">
        <v>261</v>
      </c>
      <c r="E2552" s="26" t="e">
        <f t="shared" si="3801"/>
        <v>#REF!</v>
      </c>
      <c r="F2552" s="26" t="e">
        <f t="shared" si="3801"/>
        <v>#REF!</v>
      </c>
      <c r="G2552" s="17">
        <v>7</v>
      </c>
      <c r="H2552" s="17" t="s">
        <v>9</v>
      </c>
      <c r="I2552" s="30" t="s">
        <v>36</v>
      </c>
      <c r="J2552" s="22"/>
      <c r="K2552" s="22"/>
      <c r="L2552" s="8">
        <f t="shared" si="3798"/>
        <v>0</v>
      </c>
      <c r="M2552" s="24">
        <f t="shared" si="3736"/>
        <v>0</v>
      </c>
      <c r="N2552" s="14"/>
    </row>
    <row r="2553" spans="1:14" x14ac:dyDescent="0.25">
      <c r="A2553" s="20">
        <v>44610</v>
      </c>
      <c r="B2553" s="1">
        <f t="shared" ref="B2553" si="3805">B2546</f>
        <v>213</v>
      </c>
      <c r="C2553" s="1" t="s">
        <v>534</v>
      </c>
      <c r="D2553" s="1" t="s">
        <v>261</v>
      </c>
      <c r="E2553" s="26" t="e">
        <f>+E2552</f>
        <v>#REF!</v>
      </c>
      <c r="F2553" s="26" t="e">
        <f>+F2552</f>
        <v>#REF!</v>
      </c>
      <c r="G2553" s="17">
        <v>8</v>
      </c>
      <c r="H2553" s="17" t="s">
        <v>9</v>
      </c>
      <c r="I2553" s="30" t="s">
        <v>59</v>
      </c>
      <c r="J2553" s="22">
        <v>0.95</v>
      </c>
      <c r="K2553" s="22">
        <v>0.55000000000000004</v>
      </c>
      <c r="L2553" s="8">
        <f t="shared" si="3798"/>
        <v>0.39999999999999991</v>
      </c>
      <c r="M2553" s="24">
        <f t="shared" si="3736"/>
        <v>1.9002375296912111E-2</v>
      </c>
      <c r="N2553" s="14"/>
    </row>
    <row r="2554" spans="1:14" x14ac:dyDescent="0.25">
      <c r="A2554" s="20">
        <v>44610</v>
      </c>
      <c r="B2554" s="1">
        <f t="shared" ref="B2554" si="3806">B2546</f>
        <v>213</v>
      </c>
      <c r="C2554" s="1" t="s">
        <v>534</v>
      </c>
      <c r="D2554" s="1" t="s">
        <v>261</v>
      </c>
      <c r="E2554" s="26" t="e">
        <f t="shared" ref="E2554:F2557" si="3807">+E2553</f>
        <v>#REF!</v>
      </c>
      <c r="F2554" s="26" t="e">
        <f t="shared" si="3807"/>
        <v>#REF!</v>
      </c>
      <c r="G2554" s="17">
        <v>9</v>
      </c>
      <c r="H2554" s="17" t="s">
        <v>9</v>
      </c>
      <c r="I2554" s="30" t="s">
        <v>38</v>
      </c>
      <c r="J2554" s="22"/>
      <c r="K2554" s="22"/>
      <c r="L2554" s="8">
        <f t="shared" si="3798"/>
        <v>0</v>
      </c>
      <c r="M2554" s="24">
        <f t="shared" si="3736"/>
        <v>0</v>
      </c>
      <c r="N2554" s="14"/>
    </row>
    <row r="2555" spans="1:14" x14ac:dyDescent="0.25">
      <c r="A2555" s="20">
        <v>44610</v>
      </c>
      <c r="B2555" s="1">
        <f t="shared" ref="B2555" si="3808">B2546</f>
        <v>213</v>
      </c>
      <c r="C2555" s="1" t="s">
        <v>534</v>
      </c>
      <c r="D2555" s="1" t="s">
        <v>261</v>
      </c>
      <c r="E2555" s="26" t="e">
        <f t="shared" si="3807"/>
        <v>#REF!</v>
      </c>
      <c r="F2555" s="26" t="e">
        <f t="shared" si="3807"/>
        <v>#REF!</v>
      </c>
      <c r="G2555" s="17">
        <v>10</v>
      </c>
      <c r="H2555" s="17" t="s">
        <v>9</v>
      </c>
      <c r="I2555" s="30" t="s">
        <v>23</v>
      </c>
      <c r="J2555" s="22">
        <v>9.8000000000000007</v>
      </c>
      <c r="K2555" s="22">
        <v>8.5500000000000007</v>
      </c>
      <c r="L2555" s="8">
        <f t="shared" si="3798"/>
        <v>1.25</v>
      </c>
      <c r="M2555" s="24">
        <f t="shared" si="3736"/>
        <v>5.9382422802850367E-2</v>
      </c>
      <c r="N2555" s="14"/>
    </row>
    <row r="2556" spans="1:14" x14ac:dyDescent="0.25">
      <c r="A2556" s="20">
        <v>44610</v>
      </c>
      <c r="B2556" s="1">
        <f t="shared" ref="B2556" si="3809">B2546</f>
        <v>213</v>
      </c>
      <c r="C2556" s="1" t="s">
        <v>534</v>
      </c>
      <c r="D2556" s="1" t="s">
        <v>261</v>
      </c>
      <c r="E2556" s="26" t="e">
        <f t="shared" si="3807"/>
        <v>#REF!</v>
      </c>
      <c r="F2556" s="26" t="e">
        <f t="shared" si="3807"/>
        <v>#REF!</v>
      </c>
      <c r="G2556" s="17">
        <v>11</v>
      </c>
      <c r="H2556" s="17" t="s">
        <v>9</v>
      </c>
      <c r="I2556" s="30" t="s">
        <v>60</v>
      </c>
      <c r="J2556" s="22">
        <v>2.2999999999999998</v>
      </c>
      <c r="K2556" s="22">
        <f>1.05</f>
        <v>1.05</v>
      </c>
      <c r="L2556" s="8">
        <f t="shared" si="3798"/>
        <v>1.2499999999999998</v>
      </c>
      <c r="M2556" s="24">
        <f t="shared" si="3736"/>
        <v>5.9382422802850353E-2</v>
      </c>
      <c r="N2556" s="14"/>
    </row>
    <row r="2557" spans="1:14" ht="15.75" thickBot="1" x14ac:dyDescent="0.3">
      <c r="A2557" s="20">
        <v>44610</v>
      </c>
      <c r="B2557" s="57">
        <f t="shared" ref="B2557" si="3810">B2546</f>
        <v>213</v>
      </c>
      <c r="C2557" s="1" t="s">
        <v>534</v>
      </c>
      <c r="D2557" s="57" t="s">
        <v>261</v>
      </c>
      <c r="E2557" s="26" t="e">
        <f t="shared" si="3807"/>
        <v>#REF!</v>
      </c>
      <c r="F2557" s="26" t="e">
        <f t="shared" si="3807"/>
        <v>#REF!</v>
      </c>
      <c r="G2557" s="18">
        <f>+G2556+1</f>
        <v>12</v>
      </c>
      <c r="H2557" s="18" t="s">
        <v>10</v>
      </c>
      <c r="I2557" s="46" t="s">
        <v>10</v>
      </c>
      <c r="J2557" s="22">
        <f>10+10.75</f>
        <v>20.75</v>
      </c>
      <c r="K2557" s="63">
        <f>8.55+8.3</f>
        <v>16.850000000000001</v>
      </c>
      <c r="L2557" s="8">
        <f t="shared" si="3798"/>
        <v>3.8999999999999986</v>
      </c>
      <c r="M2557" s="24">
        <f t="shared" si="3736"/>
        <v>0.18527315914489306</v>
      </c>
      <c r="N2557" s="14"/>
    </row>
    <row r="2558" spans="1:14" x14ac:dyDescent="0.25">
      <c r="A2558" s="19">
        <v>44610</v>
      </c>
      <c r="B2558" s="15">
        <f t="shared" ref="B2558" si="3811">B2546+1</f>
        <v>214</v>
      </c>
      <c r="C2558" s="15" t="s">
        <v>535</v>
      </c>
      <c r="D2558" s="15" t="s">
        <v>267</v>
      </c>
      <c r="E2558" s="25">
        <f>32.4-1.2</f>
        <v>31.2</v>
      </c>
      <c r="F2558" s="25">
        <f>+SUM(L2558:L2569)</f>
        <v>30.75</v>
      </c>
      <c r="G2558" s="16">
        <v>1</v>
      </c>
      <c r="H2558" s="16" t="s">
        <v>9</v>
      </c>
      <c r="I2558" s="59" t="s">
        <v>56</v>
      </c>
      <c r="J2558" s="21">
        <v>14.4</v>
      </c>
      <c r="K2558" s="21">
        <v>8.5500000000000007</v>
      </c>
      <c r="L2558" s="12">
        <f>+J2558-K2558</f>
        <v>5.85</v>
      </c>
      <c r="M2558" s="23">
        <f t="shared" si="3736"/>
        <v>0.19024390243902436</v>
      </c>
      <c r="N2558" s="13"/>
    </row>
    <row r="2559" spans="1:14" x14ac:dyDescent="0.25">
      <c r="A2559" s="20">
        <v>44610</v>
      </c>
      <c r="B2559" s="1">
        <f t="shared" ref="B2559" si="3812">B2558</f>
        <v>214</v>
      </c>
      <c r="C2559" s="1" t="s">
        <v>535</v>
      </c>
      <c r="D2559" s="1" t="s">
        <v>267</v>
      </c>
      <c r="E2559" s="26">
        <f>+E2558</f>
        <v>31.2</v>
      </c>
      <c r="F2559" s="28">
        <f>+(F2558-E2558)/E2558</f>
        <v>-1.4423076923076901E-2</v>
      </c>
      <c r="G2559" s="17">
        <v>2</v>
      </c>
      <c r="H2559" s="17" t="s">
        <v>9</v>
      </c>
      <c r="I2559" s="30" t="s">
        <v>57</v>
      </c>
      <c r="J2559" s="22">
        <v>15.05</v>
      </c>
      <c r="K2559" s="22">
        <v>8.5500000000000007</v>
      </c>
      <c r="L2559" s="8">
        <f t="shared" ref="L2559:L2569" si="3813">+J2559-K2559</f>
        <v>6.5</v>
      </c>
      <c r="M2559" s="24">
        <f t="shared" si="3736"/>
        <v>0.21138211382113822</v>
      </c>
      <c r="N2559" s="14"/>
    </row>
    <row r="2560" spans="1:14" x14ac:dyDescent="0.25">
      <c r="A2560" s="20">
        <v>44610</v>
      </c>
      <c r="B2560" s="1">
        <f t="shared" ref="B2560" si="3814">B2558</f>
        <v>214</v>
      </c>
      <c r="C2560" s="1" t="s">
        <v>535</v>
      </c>
      <c r="D2560" s="1" t="s">
        <v>267</v>
      </c>
      <c r="E2560" s="26" t="e">
        <f>+#REF!</f>
        <v>#REF!</v>
      </c>
      <c r="F2560" s="26" t="e">
        <f>+#REF!</f>
        <v>#REF!</v>
      </c>
      <c r="G2560" s="17">
        <v>3</v>
      </c>
      <c r="H2560" s="17" t="s">
        <v>9</v>
      </c>
      <c r="I2560" s="30" t="s">
        <v>58</v>
      </c>
      <c r="J2560" s="22">
        <v>13.05</v>
      </c>
      <c r="K2560" s="22">
        <f>8.55</f>
        <v>8.5500000000000007</v>
      </c>
      <c r="L2560" s="8">
        <f t="shared" si="3813"/>
        <v>4.5</v>
      </c>
      <c r="M2560" s="24">
        <f t="shared" si="3736"/>
        <v>0.14634146341463414</v>
      </c>
      <c r="N2560" s="14"/>
    </row>
    <row r="2561" spans="1:14" x14ac:dyDescent="0.25">
      <c r="A2561" s="20">
        <v>44610</v>
      </c>
      <c r="B2561" s="1">
        <f t="shared" ref="B2561" si="3815">B2558</f>
        <v>214</v>
      </c>
      <c r="C2561" s="1" t="s">
        <v>535</v>
      </c>
      <c r="D2561" s="1" t="s">
        <v>267</v>
      </c>
      <c r="E2561" s="26" t="e">
        <f t="shared" ref="E2561:F2564" si="3816">+E2560</f>
        <v>#REF!</v>
      </c>
      <c r="F2561" s="26" t="e">
        <f t="shared" si="3816"/>
        <v>#REF!</v>
      </c>
      <c r="G2561" s="17">
        <v>4</v>
      </c>
      <c r="H2561" s="17" t="s">
        <v>9</v>
      </c>
      <c r="I2561" s="30" t="s">
        <v>22</v>
      </c>
      <c r="J2561" s="22">
        <f>1.25</f>
        <v>1.25</v>
      </c>
      <c r="K2561" s="22">
        <f>0.55</f>
        <v>0.55000000000000004</v>
      </c>
      <c r="L2561" s="8">
        <f t="shared" si="3813"/>
        <v>0.7</v>
      </c>
      <c r="M2561" s="24">
        <f t="shared" si="3736"/>
        <v>2.2764227642276421E-2</v>
      </c>
      <c r="N2561" s="14"/>
    </row>
    <row r="2562" spans="1:14" x14ac:dyDescent="0.25">
      <c r="A2562" s="20">
        <v>44610</v>
      </c>
      <c r="B2562" s="1">
        <f t="shared" ref="B2562" si="3817">B2558</f>
        <v>214</v>
      </c>
      <c r="C2562" s="1" t="s">
        <v>535</v>
      </c>
      <c r="D2562" s="1" t="s">
        <v>267</v>
      </c>
      <c r="E2562" s="26" t="e">
        <f t="shared" si="3816"/>
        <v>#REF!</v>
      </c>
      <c r="F2562" s="26" t="e">
        <f t="shared" si="3816"/>
        <v>#REF!</v>
      </c>
      <c r="G2562" s="17">
        <v>5</v>
      </c>
      <c r="H2562" s="17" t="s">
        <v>9</v>
      </c>
      <c r="I2562" s="30" t="s">
        <v>34</v>
      </c>
      <c r="J2562" s="22">
        <f>1.2</f>
        <v>1.2</v>
      </c>
      <c r="K2562" s="63">
        <f>0.55</f>
        <v>0.55000000000000004</v>
      </c>
      <c r="L2562" s="8">
        <f t="shared" si="3813"/>
        <v>0.64999999999999991</v>
      </c>
      <c r="M2562" s="24">
        <f t="shared" ref="M2562:M2605" si="3818">+L2562/SUMIF(C:C,C2562,L:L)</f>
        <v>2.1138211382113817E-2</v>
      </c>
      <c r="N2562" s="14"/>
    </row>
    <row r="2563" spans="1:14" x14ac:dyDescent="0.25">
      <c r="A2563" s="20">
        <v>44610</v>
      </c>
      <c r="B2563" s="1">
        <f t="shared" ref="B2563" si="3819">B2558</f>
        <v>214</v>
      </c>
      <c r="C2563" s="1" t="s">
        <v>535</v>
      </c>
      <c r="D2563" s="1" t="s">
        <v>267</v>
      </c>
      <c r="E2563" s="26" t="e">
        <f t="shared" si="3816"/>
        <v>#REF!</v>
      </c>
      <c r="F2563" s="26" t="e">
        <f t="shared" si="3816"/>
        <v>#REF!</v>
      </c>
      <c r="G2563" s="17">
        <v>6</v>
      </c>
      <c r="H2563" s="17" t="s">
        <v>9</v>
      </c>
      <c r="I2563" s="30" t="s">
        <v>35</v>
      </c>
      <c r="J2563" s="22"/>
      <c r="K2563" s="22"/>
      <c r="L2563" s="8">
        <f t="shared" si="3813"/>
        <v>0</v>
      </c>
      <c r="M2563" s="24">
        <f t="shared" si="3818"/>
        <v>0</v>
      </c>
      <c r="N2563" s="14"/>
    </row>
    <row r="2564" spans="1:14" x14ac:dyDescent="0.25">
      <c r="A2564" s="20">
        <v>44610</v>
      </c>
      <c r="B2564" s="1">
        <f t="shared" ref="B2564" si="3820">B2558</f>
        <v>214</v>
      </c>
      <c r="C2564" s="1" t="s">
        <v>535</v>
      </c>
      <c r="D2564" s="1" t="s">
        <v>267</v>
      </c>
      <c r="E2564" s="26" t="e">
        <f t="shared" si="3816"/>
        <v>#REF!</v>
      </c>
      <c r="F2564" s="26" t="e">
        <f t="shared" si="3816"/>
        <v>#REF!</v>
      </c>
      <c r="G2564" s="17">
        <v>7</v>
      </c>
      <c r="H2564" s="17" t="s">
        <v>9</v>
      </c>
      <c r="I2564" s="30" t="s">
        <v>36</v>
      </c>
      <c r="J2564" s="22"/>
      <c r="K2564" s="22"/>
      <c r="L2564" s="8">
        <f t="shared" si="3813"/>
        <v>0</v>
      </c>
      <c r="M2564" s="24">
        <f t="shared" si="3818"/>
        <v>0</v>
      </c>
      <c r="N2564" s="14"/>
    </row>
    <row r="2565" spans="1:14" x14ac:dyDescent="0.25">
      <c r="A2565" s="20">
        <v>44610</v>
      </c>
      <c r="B2565" s="1">
        <f t="shared" ref="B2565" si="3821">B2558</f>
        <v>214</v>
      </c>
      <c r="C2565" s="1" t="s">
        <v>535</v>
      </c>
      <c r="D2565" s="1" t="s">
        <v>267</v>
      </c>
      <c r="E2565" s="26" t="e">
        <f>+E2564</f>
        <v>#REF!</v>
      </c>
      <c r="F2565" s="26" t="e">
        <f>+F2564</f>
        <v>#REF!</v>
      </c>
      <c r="G2565" s="17">
        <v>8</v>
      </c>
      <c r="H2565" s="17" t="s">
        <v>9</v>
      </c>
      <c r="I2565" s="30" t="s">
        <v>59</v>
      </c>
      <c r="J2565" s="22">
        <v>2.7</v>
      </c>
      <c r="K2565" s="22">
        <v>0.55000000000000004</v>
      </c>
      <c r="L2565" s="8">
        <f t="shared" si="3813"/>
        <v>2.1500000000000004</v>
      </c>
      <c r="M2565" s="24">
        <f t="shared" si="3818"/>
        <v>6.9918699186991881E-2</v>
      </c>
      <c r="N2565" s="14"/>
    </row>
    <row r="2566" spans="1:14" x14ac:dyDescent="0.25">
      <c r="A2566" s="20">
        <v>44610</v>
      </c>
      <c r="B2566" s="1">
        <f t="shared" ref="B2566" si="3822">B2558</f>
        <v>214</v>
      </c>
      <c r="C2566" s="1" t="s">
        <v>535</v>
      </c>
      <c r="D2566" s="1" t="s">
        <v>267</v>
      </c>
      <c r="E2566" s="26" t="e">
        <f t="shared" ref="E2566:F2569" si="3823">+E2565</f>
        <v>#REF!</v>
      </c>
      <c r="F2566" s="26" t="e">
        <f t="shared" si="3823"/>
        <v>#REF!</v>
      </c>
      <c r="G2566" s="17">
        <v>9</v>
      </c>
      <c r="H2566" s="17" t="s">
        <v>9</v>
      </c>
      <c r="I2566" s="30" t="s">
        <v>38</v>
      </c>
      <c r="J2566" s="22"/>
      <c r="K2566" s="22"/>
      <c r="L2566" s="8">
        <f t="shared" si="3813"/>
        <v>0</v>
      </c>
      <c r="M2566" s="24">
        <f t="shared" si="3818"/>
        <v>0</v>
      </c>
      <c r="N2566" s="14"/>
    </row>
    <row r="2567" spans="1:14" x14ac:dyDescent="0.25">
      <c r="A2567" s="20">
        <v>44610</v>
      </c>
      <c r="B2567" s="1">
        <f t="shared" ref="B2567" si="3824">B2558</f>
        <v>214</v>
      </c>
      <c r="C2567" s="1" t="s">
        <v>535</v>
      </c>
      <c r="D2567" s="1" t="s">
        <v>267</v>
      </c>
      <c r="E2567" s="26" t="e">
        <f t="shared" si="3823"/>
        <v>#REF!</v>
      </c>
      <c r="F2567" s="26" t="e">
        <f t="shared" si="3823"/>
        <v>#REF!</v>
      </c>
      <c r="G2567" s="17">
        <v>10</v>
      </c>
      <c r="H2567" s="17" t="s">
        <v>9</v>
      </c>
      <c r="I2567" s="30" t="s">
        <v>23</v>
      </c>
      <c r="J2567" s="22">
        <f>12.45</f>
        <v>12.45</v>
      </c>
      <c r="K2567" s="22">
        <f>8.55</f>
        <v>8.5500000000000007</v>
      </c>
      <c r="L2567" s="8">
        <f t="shared" si="3813"/>
        <v>3.8999999999999986</v>
      </c>
      <c r="M2567" s="24">
        <f t="shared" si="3818"/>
        <v>0.12682926829268287</v>
      </c>
      <c r="N2567" s="14"/>
    </row>
    <row r="2568" spans="1:14" x14ac:dyDescent="0.25">
      <c r="A2568" s="20">
        <v>44610</v>
      </c>
      <c r="B2568" s="1">
        <f t="shared" ref="B2568" si="3825">B2558</f>
        <v>214</v>
      </c>
      <c r="C2568" s="1" t="s">
        <v>535</v>
      </c>
      <c r="D2568" s="1" t="s">
        <v>267</v>
      </c>
      <c r="E2568" s="26" t="e">
        <f t="shared" si="3823"/>
        <v>#REF!</v>
      </c>
      <c r="F2568" s="26" t="e">
        <f t="shared" si="3823"/>
        <v>#REF!</v>
      </c>
      <c r="G2568" s="17">
        <v>11</v>
      </c>
      <c r="H2568" s="17" t="s">
        <v>9</v>
      </c>
      <c r="I2568" s="30" t="s">
        <v>60</v>
      </c>
      <c r="J2568" s="22">
        <v>9.15</v>
      </c>
      <c r="K2568" s="22">
        <v>8.5500000000000007</v>
      </c>
      <c r="L2568" s="8">
        <f t="shared" si="3813"/>
        <v>0.59999999999999964</v>
      </c>
      <c r="M2568" s="24">
        <f t="shared" si="3818"/>
        <v>1.9512195121951209E-2</v>
      </c>
      <c r="N2568" s="14"/>
    </row>
    <row r="2569" spans="1:14" ht="15.75" thickBot="1" x14ac:dyDescent="0.3">
      <c r="A2569" s="20">
        <v>44610</v>
      </c>
      <c r="B2569" s="57">
        <f t="shared" ref="B2569" si="3826">B2558</f>
        <v>214</v>
      </c>
      <c r="C2569" s="1" t="s">
        <v>535</v>
      </c>
      <c r="D2569" s="57" t="s">
        <v>267</v>
      </c>
      <c r="E2569" s="26" t="e">
        <f t="shared" si="3823"/>
        <v>#REF!</v>
      </c>
      <c r="F2569" s="26" t="e">
        <f t="shared" si="3823"/>
        <v>#REF!</v>
      </c>
      <c r="G2569" s="18">
        <f>+G2568+1</f>
        <v>12</v>
      </c>
      <c r="H2569" s="18" t="s">
        <v>10</v>
      </c>
      <c r="I2569" s="46" t="s">
        <v>10</v>
      </c>
      <c r="J2569" s="22">
        <f>10.8+11.95</f>
        <v>22.75</v>
      </c>
      <c r="K2569" s="63">
        <f>8.3+8.55</f>
        <v>16.850000000000001</v>
      </c>
      <c r="L2569" s="8">
        <f t="shared" si="3813"/>
        <v>5.8999999999999986</v>
      </c>
      <c r="M2569" s="24">
        <f t="shared" si="3818"/>
        <v>0.19186991869918696</v>
      </c>
      <c r="N2569" s="14"/>
    </row>
    <row r="2570" spans="1:14" x14ac:dyDescent="0.25">
      <c r="A2570" s="19">
        <v>44610</v>
      </c>
      <c r="B2570" s="15">
        <f t="shared" ref="B2570" si="3827">B2558+1</f>
        <v>215</v>
      </c>
      <c r="C2570" s="15" t="s">
        <v>536</v>
      </c>
      <c r="D2570" s="15" t="s">
        <v>248</v>
      </c>
      <c r="E2570" s="25">
        <f>23.8-1.2</f>
        <v>22.6</v>
      </c>
      <c r="F2570" s="25">
        <f>+SUM(L2570:L2581)</f>
        <v>22.049999999999994</v>
      </c>
      <c r="G2570" s="16">
        <v>1</v>
      </c>
      <c r="H2570" s="16" t="s">
        <v>9</v>
      </c>
      <c r="I2570" s="59" t="s">
        <v>56</v>
      </c>
      <c r="J2570" s="21">
        <v>10.75</v>
      </c>
      <c r="K2570" s="21">
        <v>8.5500000000000007</v>
      </c>
      <c r="L2570" s="12">
        <f>+J2570-K2570</f>
        <v>2.1999999999999993</v>
      </c>
      <c r="M2570" s="23">
        <f t="shared" si="3818"/>
        <v>9.9773242630385478E-2</v>
      </c>
      <c r="N2570" s="13"/>
    </row>
    <row r="2571" spans="1:14" x14ac:dyDescent="0.25">
      <c r="A2571" s="20">
        <v>44610</v>
      </c>
      <c r="B2571" s="1">
        <f t="shared" ref="B2571" si="3828">B2570</f>
        <v>215</v>
      </c>
      <c r="C2571" s="1" t="s">
        <v>536</v>
      </c>
      <c r="D2571" s="1" t="s">
        <v>248</v>
      </c>
      <c r="E2571" s="26">
        <f>+E2570</f>
        <v>22.6</v>
      </c>
      <c r="F2571" s="28">
        <f>+(F2570-E2570)/E2570</f>
        <v>-2.4336283185841051E-2</v>
      </c>
      <c r="G2571" s="17">
        <v>2</v>
      </c>
      <c r="H2571" s="17" t="s">
        <v>9</v>
      </c>
      <c r="I2571" s="30" t="s">
        <v>57</v>
      </c>
      <c r="J2571" s="22">
        <f>10.75+10.65</f>
        <v>21.4</v>
      </c>
      <c r="K2571" s="22">
        <f>8.55+8.55</f>
        <v>17.100000000000001</v>
      </c>
      <c r="L2571" s="8">
        <f t="shared" ref="L2571:L2581" si="3829">+J2571-K2571</f>
        <v>4.2999999999999972</v>
      </c>
      <c r="M2571" s="24">
        <f t="shared" si="3818"/>
        <v>0.19501133786848066</v>
      </c>
      <c r="N2571" s="14"/>
    </row>
    <row r="2572" spans="1:14" x14ac:dyDescent="0.25">
      <c r="A2572" s="20">
        <v>44610</v>
      </c>
      <c r="B2572" s="1">
        <f t="shared" ref="B2572" si="3830">B2570</f>
        <v>215</v>
      </c>
      <c r="C2572" s="1" t="s">
        <v>536</v>
      </c>
      <c r="D2572" s="1" t="s">
        <v>248</v>
      </c>
      <c r="E2572" s="26" t="e">
        <f>+#REF!</f>
        <v>#REF!</v>
      </c>
      <c r="F2572" s="26" t="e">
        <f>+#REF!</f>
        <v>#REF!</v>
      </c>
      <c r="G2572" s="17">
        <v>3</v>
      </c>
      <c r="H2572" s="17" t="s">
        <v>9</v>
      </c>
      <c r="I2572" s="30" t="s">
        <v>58</v>
      </c>
      <c r="J2572" s="22">
        <f>10.65</f>
        <v>10.65</v>
      </c>
      <c r="K2572" s="22">
        <f>8.3</f>
        <v>8.3000000000000007</v>
      </c>
      <c r="L2572" s="8">
        <f t="shared" si="3829"/>
        <v>2.3499999999999996</v>
      </c>
      <c r="M2572" s="24">
        <f t="shared" si="3818"/>
        <v>0.10657596371882087</v>
      </c>
      <c r="N2572" s="14"/>
    </row>
    <row r="2573" spans="1:14" x14ac:dyDescent="0.25">
      <c r="A2573" s="20">
        <v>44610</v>
      </c>
      <c r="B2573" s="1">
        <f t="shared" ref="B2573" si="3831">B2570</f>
        <v>215</v>
      </c>
      <c r="C2573" s="1" t="s">
        <v>536</v>
      </c>
      <c r="D2573" s="1" t="s">
        <v>248</v>
      </c>
      <c r="E2573" s="26" t="e">
        <f t="shared" ref="E2573:F2576" si="3832">+E2572</f>
        <v>#REF!</v>
      </c>
      <c r="F2573" s="26" t="e">
        <f t="shared" si="3832"/>
        <v>#REF!</v>
      </c>
      <c r="G2573" s="17">
        <v>4</v>
      </c>
      <c r="H2573" s="17" t="s">
        <v>9</v>
      </c>
      <c r="I2573" s="30" t="s">
        <v>22</v>
      </c>
      <c r="J2573" s="22">
        <v>1.65</v>
      </c>
      <c r="K2573" s="22">
        <v>0.65</v>
      </c>
      <c r="L2573" s="8">
        <f t="shared" si="3829"/>
        <v>0.99999999999999989</v>
      </c>
      <c r="M2573" s="24">
        <f t="shared" si="3818"/>
        <v>4.5351473922902501E-2</v>
      </c>
      <c r="N2573" s="14"/>
    </row>
    <row r="2574" spans="1:14" x14ac:dyDescent="0.25">
      <c r="A2574" s="20">
        <v>44610</v>
      </c>
      <c r="B2574" s="1">
        <f t="shared" ref="B2574" si="3833">B2570</f>
        <v>215</v>
      </c>
      <c r="C2574" s="1" t="s">
        <v>536</v>
      </c>
      <c r="D2574" s="1" t="s">
        <v>248</v>
      </c>
      <c r="E2574" s="26" t="e">
        <f t="shared" si="3832"/>
        <v>#REF!</v>
      </c>
      <c r="F2574" s="26" t="e">
        <f t="shared" si="3832"/>
        <v>#REF!</v>
      </c>
      <c r="G2574" s="17">
        <v>5</v>
      </c>
      <c r="H2574" s="17" t="s">
        <v>9</v>
      </c>
      <c r="I2574" s="30" t="s">
        <v>34</v>
      </c>
      <c r="J2574" s="22">
        <v>0.75</v>
      </c>
      <c r="K2574" s="63">
        <v>0.55000000000000004</v>
      </c>
      <c r="L2574" s="8">
        <f t="shared" si="3829"/>
        <v>0.19999999999999996</v>
      </c>
      <c r="M2574" s="24">
        <f t="shared" si="3818"/>
        <v>9.0702947845804991E-3</v>
      </c>
      <c r="N2574" s="14"/>
    </row>
    <row r="2575" spans="1:14" x14ac:dyDescent="0.25">
      <c r="A2575" s="20">
        <v>44610</v>
      </c>
      <c r="B2575" s="1">
        <f t="shared" ref="B2575" si="3834">B2570</f>
        <v>215</v>
      </c>
      <c r="C2575" s="1" t="s">
        <v>536</v>
      </c>
      <c r="D2575" s="1" t="s">
        <v>248</v>
      </c>
      <c r="E2575" s="26" t="e">
        <f t="shared" si="3832"/>
        <v>#REF!</v>
      </c>
      <c r="F2575" s="26" t="e">
        <f t="shared" si="3832"/>
        <v>#REF!</v>
      </c>
      <c r="G2575" s="17">
        <v>6</v>
      </c>
      <c r="H2575" s="17" t="s">
        <v>9</v>
      </c>
      <c r="I2575" s="30" t="s">
        <v>35</v>
      </c>
      <c r="J2575" s="22"/>
      <c r="K2575" s="22"/>
      <c r="L2575" s="8">
        <f t="shared" si="3829"/>
        <v>0</v>
      </c>
      <c r="M2575" s="24">
        <f t="shared" si="3818"/>
        <v>0</v>
      </c>
      <c r="N2575" s="14"/>
    </row>
    <row r="2576" spans="1:14" x14ac:dyDescent="0.25">
      <c r="A2576" s="20">
        <v>44610</v>
      </c>
      <c r="B2576" s="1">
        <f t="shared" ref="B2576" si="3835">B2570</f>
        <v>215</v>
      </c>
      <c r="C2576" s="1" t="s">
        <v>536</v>
      </c>
      <c r="D2576" s="1" t="s">
        <v>248</v>
      </c>
      <c r="E2576" s="26" t="e">
        <f t="shared" si="3832"/>
        <v>#REF!</v>
      </c>
      <c r="F2576" s="26" t="e">
        <f t="shared" si="3832"/>
        <v>#REF!</v>
      </c>
      <c r="G2576" s="17">
        <v>7</v>
      </c>
      <c r="H2576" s="17" t="s">
        <v>9</v>
      </c>
      <c r="I2576" s="30" t="s">
        <v>36</v>
      </c>
      <c r="J2576" s="22"/>
      <c r="K2576" s="22"/>
      <c r="L2576" s="8">
        <f t="shared" si="3829"/>
        <v>0</v>
      </c>
      <c r="M2576" s="24">
        <f t="shared" si="3818"/>
        <v>0</v>
      </c>
      <c r="N2576" s="14"/>
    </row>
    <row r="2577" spans="1:14" x14ac:dyDescent="0.25">
      <c r="A2577" s="20">
        <v>44610</v>
      </c>
      <c r="B2577" s="1">
        <f t="shared" ref="B2577" si="3836">B2570</f>
        <v>215</v>
      </c>
      <c r="C2577" s="1" t="s">
        <v>536</v>
      </c>
      <c r="D2577" s="1" t="s">
        <v>248</v>
      </c>
      <c r="E2577" s="26" t="e">
        <f>+E2576</f>
        <v>#REF!</v>
      </c>
      <c r="F2577" s="26" t="e">
        <f>+F2576</f>
        <v>#REF!</v>
      </c>
      <c r="G2577" s="17">
        <v>8</v>
      </c>
      <c r="H2577" s="17" t="s">
        <v>9</v>
      </c>
      <c r="I2577" s="30" t="s">
        <v>59</v>
      </c>
      <c r="J2577" s="22">
        <v>3.1</v>
      </c>
      <c r="K2577" s="22">
        <v>1.1000000000000001</v>
      </c>
      <c r="L2577" s="8">
        <f t="shared" si="3829"/>
        <v>2</v>
      </c>
      <c r="M2577" s="24">
        <f t="shared" si="3818"/>
        <v>9.0702947845805015E-2</v>
      </c>
      <c r="N2577" s="14"/>
    </row>
    <row r="2578" spans="1:14" x14ac:dyDescent="0.25">
      <c r="A2578" s="20">
        <v>44610</v>
      </c>
      <c r="B2578" s="1">
        <f t="shared" ref="B2578" si="3837">B2570</f>
        <v>215</v>
      </c>
      <c r="C2578" s="1" t="s">
        <v>536</v>
      </c>
      <c r="D2578" s="1" t="s">
        <v>248</v>
      </c>
      <c r="E2578" s="26" t="e">
        <f t="shared" ref="E2578:F2581" si="3838">+E2577</f>
        <v>#REF!</v>
      </c>
      <c r="F2578" s="26" t="e">
        <f t="shared" si="3838"/>
        <v>#REF!</v>
      </c>
      <c r="G2578" s="17">
        <v>9</v>
      </c>
      <c r="H2578" s="17" t="s">
        <v>9</v>
      </c>
      <c r="I2578" s="30" t="s">
        <v>38</v>
      </c>
      <c r="J2578" s="22"/>
      <c r="K2578" s="22"/>
      <c r="L2578" s="8">
        <f t="shared" si="3829"/>
        <v>0</v>
      </c>
      <c r="M2578" s="24">
        <f t="shared" si="3818"/>
        <v>0</v>
      </c>
      <c r="N2578" s="14"/>
    </row>
    <row r="2579" spans="1:14" x14ac:dyDescent="0.25">
      <c r="A2579" s="20">
        <v>44610</v>
      </c>
      <c r="B2579" s="1">
        <f t="shared" ref="B2579" si="3839">B2570</f>
        <v>215</v>
      </c>
      <c r="C2579" s="1" t="s">
        <v>536</v>
      </c>
      <c r="D2579" s="1" t="s">
        <v>248</v>
      </c>
      <c r="E2579" s="26" t="e">
        <f t="shared" si="3838"/>
        <v>#REF!</v>
      </c>
      <c r="F2579" s="26" t="e">
        <f t="shared" si="3838"/>
        <v>#REF!</v>
      </c>
      <c r="G2579" s="17">
        <v>10</v>
      </c>
      <c r="H2579" s="17" t="s">
        <v>9</v>
      </c>
      <c r="I2579" s="30" t="s">
        <v>23</v>
      </c>
      <c r="J2579" s="22">
        <f>10.65</f>
        <v>10.65</v>
      </c>
      <c r="K2579" s="22">
        <f>8.5</f>
        <v>8.5</v>
      </c>
      <c r="L2579" s="8">
        <f t="shared" si="3829"/>
        <v>2.1500000000000004</v>
      </c>
      <c r="M2579" s="24">
        <f t="shared" si="3818"/>
        <v>9.7505668934240411E-2</v>
      </c>
      <c r="N2579" s="14"/>
    </row>
    <row r="2580" spans="1:14" x14ac:dyDescent="0.25">
      <c r="A2580" s="20">
        <v>44610</v>
      </c>
      <c r="B2580" s="1">
        <f t="shared" ref="B2580" si="3840">B2570</f>
        <v>215</v>
      </c>
      <c r="C2580" s="1" t="s">
        <v>536</v>
      </c>
      <c r="D2580" s="1" t="s">
        <v>248</v>
      </c>
      <c r="E2580" s="26" t="e">
        <f t="shared" si="3838"/>
        <v>#REF!</v>
      </c>
      <c r="F2580" s="26" t="e">
        <f t="shared" si="3838"/>
        <v>#REF!</v>
      </c>
      <c r="G2580" s="17">
        <v>11</v>
      </c>
      <c r="H2580" s="17" t="s">
        <v>9</v>
      </c>
      <c r="I2580" s="30" t="s">
        <v>60</v>
      </c>
      <c r="J2580" s="22">
        <f>9.2+9.45</f>
        <v>18.649999999999999</v>
      </c>
      <c r="K2580" s="22">
        <f>8.55+8.55</f>
        <v>17.100000000000001</v>
      </c>
      <c r="L2580" s="8">
        <f t="shared" si="3829"/>
        <v>1.5499999999999972</v>
      </c>
      <c r="M2580" s="24">
        <f t="shared" si="3818"/>
        <v>7.0294784580498759E-2</v>
      </c>
      <c r="N2580" s="14"/>
    </row>
    <row r="2581" spans="1:14" ht="15.75" thickBot="1" x14ac:dyDescent="0.3">
      <c r="A2581" s="20">
        <v>44610</v>
      </c>
      <c r="B2581" s="57">
        <f t="shared" ref="B2581" si="3841">B2570</f>
        <v>215</v>
      </c>
      <c r="C2581" s="1" t="s">
        <v>536</v>
      </c>
      <c r="D2581" s="57" t="s">
        <v>248</v>
      </c>
      <c r="E2581" s="26" t="e">
        <f t="shared" si="3838"/>
        <v>#REF!</v>
      </c>
      <c r="F2581" s="26" t="e">
        <f t="shared" si="3838"/>
        <v>#REF!</v>
      </c>
      <c r="G2581" s="18">
        <f>+G2580+1</f>
        <v>12</v>
      </c>
      <c r="H2581" s="18" t="s">
        <v>10</v>
      </c>
      <c r="I2581" s="46" t="s">
        <v>10</v>
      </c>
      <c r="J2581" s="22">
        <f>11.45+11.9</f>
        <v>23.35</v>
      </c>
      <c r="K2581" s="63">
        <f>8.5+8.55</f>
        <v>17.05</v>
      </c>
      <c r="L2581" s="8">
        <f t="shared" si="3829"/>
        <v>6.3000000000000007</v>
      </c>
      <c r="M2581" s="24">
        <f t="shared" si="3818"/>
        <v>0.28571428571428581</v>
      </c>
      <c r="N2581" s="14"/>
    </row>
    <row r="2582" spans="1:14" x14ac:dyDescent="0.25">
      <c r="A2582" s="19">
        <v>44610</v>
      </c>
      <c r="B2582" s="15">
        <f t="shared" ref="B2582" si="3842">B2570+1</f>
        <v>216</v>
      </c>
      <c r="C2582" s="1" t="s">
        <v>537</v>
      </c>
      <c r="D2582" s="15" t="s">
        <v>246</v>
      </c>
      <c r="E2582" s="25">
        <f>40.4-1.2</f>
        <v>39.199999999999996</v>
      </c>
      <c r="F2582" s="25">
        <f>+SUM(L2582:L2593)</f>
        <v>38.539999999999992</v>
      </c>
      <c r="G2582" s="16">
        <v>1</v>
      </c>
      <c r="H2582" s="16" t="s">
        <v>9</v>
      </c>
      <c r="I2582" s="59" t="s">
        <v>56</v>
      </c>
      <c r="J2582" s="21"/>
      <c r="K2582" s="21"/>
      <c r="L2582" s="12">
        <f>+J2582-K2582</f>
        <v>0</v>
      </c>
      <c r="M2582" s="23">
        <f t="shared" si="3818"/>
        <v>0</v>
      </c>
      <c r="N2582" s="13"/>
    </row>
    <row r="2583" spans="1:14" x14ac:dyDescent="0.25">
      <c r="A2583" s="20">
        <v>44610</v>
      </c>
      <c r="B2583" s="1">
        <f t="shared" ref="B2583" si="3843">B2582</f>
        <v>216</v>
      </c>
      <c r="C2583" s="1" t="s">
        <v>537</v>
      </c>
      <c r="D2583" s="1" t="s">
        <v>246</v>
      </c>
      <c r="E2583" s="26">
        <f>+E2582</f>
        <v>39.199999999999996</v>
      </c>
      <c r="F2583" s="28">
        <f>+(F2582-E2582)/E2582</f>
        <v>-1.6836734693877649E-2</v>
      </c>
      <c r="G2583" s="17">
        <v>2</v>
      </c>
      <c r="H2583" s="17" t="s">
        <v>9</v>
      </c>
      <c r="I2583" s="30" t="s">
        <v>57</v>
      </c>
      <c r="J2583" s="22">
        <v>0.02</v>
      </c>
      <c r="K2583" s="22">
        <v>0</v>
      </c>
      <c r="L2583" s="8">
        <f t="shared" ref="L2583:L2593" si="3844">+J2583-K2583</f>
        <v>0.02</v>
      </c>
      <c r="M2583" s="24">
        <f t="shared" si="3818"/>
        <v>5.189413596263623E-4</v>
      </c>
      <c r="N2583" s="14"/>
    </row>
    <row r="2584" spans="1:14" x14ac:dyDescent="0.25">
      <c r="A2584" s="20">
        <v>44610</v>
      </c>
      <c r="B2584" s="1">
        <f t="shared" ref="B2584" si="3845">B2582</f>
        <v>216</v>
      </c>
      <c r="C2584" s="1" t="s">
        <v>537</v>
      </c>
      <c r="D2584" s="1" t="s">
        <v>246</v>
      </c>
      <c r="E2584" s="26" t="e">
        <f>+#REF!</f>
        <v>#REF!</v>
      </c>
      <c r="F2584" s="26" t="e">
        <f>+#REF!</f>
        <v>#REF!</v>
      </c>
      <c r="G2584" s="17">
        <v>3</v>
      </c>
      <c r="H2584" s="17" t="s">
        <v>9</v>
      </c>
      <c r="I2584" s="30" t="s">
        <v>58</v>
      </c>
      <c r="J2584" s="22">
        <v>0.05</v>
      </c>
      <c r="K2584" s="22">
        <v>0</v>
      </c>
      <c r="L2584" s="8">
        <f t="shared" si="3844"/>
        <v>0.05</v>
      </c>
      <c r="M2584" s="24">
        <f t="shared" si="3818"/>
        <v>1.297353399065906E-3</v>
      </c>
      <c r="N2584" s="14"/>
    </row>
    <row r="2585" spans="1:14" x14ac:dyDescent="0.25">
      <c r="A2585" s="20">
        <v>44610</v>
      </c>
      <c r="B2585" s="1">
        <f t="shared" ref="B2585" si="3846">B2582</f>
        <v>216</v>
      </c>
      <c r="C2585" s="1" t="s">
        <v>537</v>
      </c>
      <c r="D2585" s="1" t="s">
        <v>246</v>
      </c>
      <c r="E2585" s="26" t="e">
        <f t="shared" ref="E2585:F2588" si="3847">+E2584</f>
        <v>#REF!</v>
      </c>
      <c r="F2585" s="26" t="e">
        <f t="shared" si="3847"/>
        <v>#REF!</v>
      </c>
      <c r="G2585" s="17">
        <v>4</v>
      </c>
      <c r="H2585" s="17" t="s">
        <v>9</v>
      </c>
      <c r="I2585" s="30" t="s">
        <v>22</v>
      </c>
      <c r="J2585" s="22">
        <v>0.02</v>
      </c>
      <c r="K2585" s="22">
        <v>0</v>
      </c>
      <c r="L2585" s="8">
        <f t="shared" si="3844"/>
        <v>0.02</v>
      </c>
      <c r="M2585" s="24">
        <f t="shared" si="3818"/>
        <v>5.189413596263623E-4</v>
      </c>
      <c r="N2585" s="14"/>
    </row>
    <row r="2586" spans="1:14" x14ac:dyDescent="0.25">
      <c r="A2586" s="20">
        <v>44610</v>
      </c>
      <c r="B2586" s="1">
        <f t="shared" ref="B2586" si="3848">B2582</f>
        <v>216</v>
      </c>
      <c r="C2586" s="1" t="s">
        <v>537</v>
      </c>
      <c r="D2586" s="1" t="s">
        <v>246</v>
      </c>
      <c r="E2586" s="26" t="e">
        <f t="shared" si="3847"/>
        <v>#REF!</v>
      </c>
      <c r="F2586" s="26" t="e">
        <f t="shared" si="3847"/>
        <v>#REF!</v>
      </c>
      <c r="G2586" s="17">
        <v>5</v>
      </c>
      <c r="H2586" s="17" t="s">
        <v>9</v>
      </c>
      <c r="I2586" s="30" t="s">
        <v>34</v>
      </c>
      <c r="J2586" s="22">
        <v>0.65</v>
      </c>
      <c r="K2586" s="63">
        <v>0.55000000000000004</v>
      </c>
      <c r="L2586" s="8">
        <f t="shared" si="3844"/>
        <v>9.9999999999999978E-2</v>
      </c>
      <c r="M2586" s="24">
        <f t="shared" si="3818"/>
        <v>2.5947067981318111E-3</v>
      </c>
      <c r="N2586" s="14"/>
    </row>
    <row r="2587" spans="1:14" x14ac:dyDescent="0.25">
      <c r="A2587" s="20">
        <v>44610</v>
      </c>
      <c r="B2587" s="1">
        <f t="shared" ref="B2587" si="3849">B2582</f>
        <v>216</v>
      </c>
      <c r="C2587" s="1" t="s">
        <v>537</v>
      </c>
      <c r="D2587" s="1" t="s">
        <v>246</v>
      </c>
      <c r="E2587" s="26" t="e">
        <f t="shared" si="3847"/>
        <v>#REF!</v>
      </c>
      <c r="F2587" s="26" t="e">
        <f t="shared" si="3847"/>
        <v>#REF!</v>
      </c>
      <c r="G2587" s="17">
        <v>6</v>
      </c>
      <c r="H2587" s="17" t="s">
        <v>9</v>
      </c>
      <c r="I2587" s="30" t="s">
        <v>35</v>
      </c>
      <c r="J2587" s="22"/>
      <c r="K2587" s="22"/>
      <c r="L2587" s="8">
        <f t="shared" si="3844"/>
        <v>0</v>
      </c>
      <c r="M2587" s="24">
        <f t="shared" si="3818"/>
        <v>0</v>
      </c>
      <c r="N2587" s="14"/>
    </row>
    <row r="2588" spans="1:14" x14ac:dyDescent="0.25">
      <c r="A2588" s="20">
        <v>44610</v>
      </c>
      <c r="B2588" s="1">
        <f t="shared" ref="B2588" si="3850">B2582</f>
        <v>216</v>
      </c>
      <c r="C2588" s="1" t="s">
        <v>537</v>
      </c>
      <c r="D2588" s="1" t="s">
        <v>246</v>
      </c>
      <c r="E2588" s="26" t="e">
        <f t="shared" si="3847"/>
        <v>#REF!</v>
      </c>
      <c r="F2588" s="26" t="e">
        <f t="shared" si="3847"/>
        <v>#REF!</v>
      </c>
      <c r="G2588" s="17">
        <v>7</v>
      </c>
      <c r="H2588" s="17" t="s">
        <v>9</v>
      </c>
      <c r="I2588" s="30" t="s">
        <v>36</v>
      </c>
      <c r="J2588" s="22"/>
      <c r="K2588" s="22"/>
      <c r="L2588" s="8">
        <f t="shared" si="3844"/>
        <v>0</v>
      </c>
      <c r="M2588" s="24">
        <f t="shared" si="3818"/>
        <v>0</v>
      </c>
      <c r="N2588" s="14"/>
    </row>
    <row r="2589" spans="1:14" x14ac:dyDescent="0.25">
      <c r="A2589" s="20">
        <v>44610</v>
      </c>
      <c r="B2589" s="1">
        <f t="shared" ref="B2589" si="3851">B2582</f>
        <v>216</v>
      </c>
      <c r="C2589" s="1" t="s">
        <v>537</v>
      </c>
      <c r="D2589" s="1" t="s">
        <v>246</v>
      </c>
      <c r="E2589" s="26" t="e">
        <f>+E2588</f>
        <v>#REF!</v>
      </c>
      <c r="F2589" s="26" t="e">
        <f>+F2588</f>
        <v>#REF!</v>
      </c>
      <c r="G2589" s="17">
        <v>8</v>
      </c>
      <c r="H2589" s="17" t="s">
        <v>9</v>
      </c>
      <c r="I2589" s="30" t="s">
        <v>59</v>
      </c>
      <c r="J2589" s="22">
        <f>20.5+18.1+18.75</f>
        <v>57.35</v>
      </c>
      <c r="K2589" s="22">
        <f>8.55+8.55+8.55</f>
        <v>25.650000000000002</v>
      </c>
      <c r="L2589" s="8">
        <f t="shared" si="3844"/>
        <v>31.7</v>
      </c>
      <c r="M2589" s="24">
        <f t="shared" si="3818"/>
        <v>0.8225220550077843</v>
      </c>
      <c r="N2589" s="14"/>
    </row>
    <row r="2590" spans="1:14" x14ac:dyDescent="0.25">
      <c r="A2590" s="20">
        <v>44610</v>
      </c>
      <c r="B2590" s="1">
        <f t="shared" ref="B2590" si="3852">B2582</f>
        <v>216</v>
      </c>
      <c r="C2590" s="1" t="s">
        <v>537</v>
      </c>
      <c r="D2590" s="1" t="s">
        <v>246</v>
      </c>
      <c r="E2590" s="26" t="e">
        <f t="shared" ref="E2590:F2593" si="3853">+E2589</f>
        <v>#REF!</v>
      </c>
      <c r="F2590" s="26" t="e">
        <f t="shared" si="3853"/>
        <v>#REF!</v>
      </c>
      <c r="G2590" s="17">
        <v>9</v>
      </c>
      <c r="H2590" s="17" t="s">
        <v>9</v>
      </c>
      <c r="I2590" s="30" t="s">
        <v>38</v>
      </c>
      <c r="J2590" s="22"/>
      <c r="K2590" s="22"/>
      <c r="L2590" s="8">
        <f t="shared" si="3844"/>
        <v>0</v>
      </c>
      <c r="M2590" s="24">
        <f t="shared" si="3818"/>
        <v>0</v>
      </c>
      <c r="N2590" s="14"/>
    </row>
    <row r="2591" spans="1:14" x14ac:dyDescent="0.25">
      <c r="A2591" s="20">
        <v>44610</v>
      </c>
      <c r="B2591" s="1">
        <f t="shared" ref="B2591" si="3854">B2582</f>
        <v>216</v>
      </c>
      <c r="C2591" s="1" t="s">
        <v>537</v>
      </c>
      <c r="D2591" s="1" t="s">
        <v>246</v>
      </c>
      <c r="E2591" s="26" t="e">
        <f t="shared" si="3853"/>
        <v>#REF!</v>
      </c>
      <c r="F2591" s="26" t="e">
        <f t="shared" si="3853"/>
        <v>#REF!</v>
      </c>
      <c r="G2591" s="17">
        <v>10</v>
      </c>
      <c r="H2591" s="17" t="s">
        <v>9</v>
      </c>
      <c r="I2591" s="30" t="s">
        <v>23</v>
      </c>
      <c r="J2591" s="22">
        <f>11.85+1.4</f>
        <v>13.25</v>
      </c>
      <c r="K2591" s="22">
        <f>8.55+0.55</f>
        <v>9.1000000000000014</v>
      </c>
      <c r="L2591" s="8">
        <f t="shared" si="3844"/>
        <v>4.1499999999999986</v>
      </c>
      <c r="M2591" s="24">
        <f t="shared" si="3818"/>
        <v>0.10768033212247015</v>
      </c>
      <c r="N2591" s="14"/>
    </row>
    <row r="2592" spans="1:14" x14ac:dyDescent="0.25">
      <c r="A2592" s="20">
        <v>44610</v>
      </c>
      <c r="B2592" s="1">
        <f t="shared" ref="B2592" si="3855">B2582</f>
        <v>216</v>
      </c>
      <c r="C2592" s="1" t="s">
        <v>537</v>
      </c>
      <c r="D2592" s="1" t="s">
        <v>246</v>
      </c>
      <c r="E2592" s="26" t="e">
        <f t="shared" si="3853"/>
        <v>#REF!</v>
      </c>
      <c r="F2592" s="26" t="e">
        <f t="shared" si="3853"/>
        <v>#REF!</v>
      </c>
      <c r="G2592" s="17">
        <v>11</v>
      </c>
      <c r="H2592" s="17" t="s">
        <v>9</v>
      </c>
      <c r="I2592" s="30" t="s">
        <v>60</v>
      </c>
      <c r="J2592" s="22">
        <v>0.6</v>
      </c>
      <c r="K2592" s="22">
        <v>0.55000000000000004</v>
      </c>
      <c r="L2592" s="8">
        <f t="shared" si="3844"/>
        <v>4.9999999999999933E-2</v>
      </c>
      <c r="M2592" s="24">
        <f t="shared" si="3818"/>
        <v>1.297353399065904E-3</v>
      </c>
      <c r="N2592" s="14"/>
    </row>
    <row r="2593" spans="1:14" ht="15.75" thickBot="1" x14ac:dyDescent="0.3">
      <c r="A2593" s="20">
        <v>44610</v>
      </c>
      <c r="B2593" s="57">
        <f t="shared" ref="B2593" si="3856">B2582</f>
        <v>216</v>
      </c>
      <c r="C2593" s="1" t="s">
        <v>537</v>
      </c>
      <c r="D2593" s="57" t="s">
        <v>246</v>
      </c>
      <c r="E2593" s="26" t="e">
        <f t="shared" si="3853"/>
        <v>#REF!</v>
      </c>
      <c r="F2593" s="26" t="e">
        <f t="shared" si="3853"/>
        <v>#REF!</v>
      </c>
      <c r="G2593" s="18">
        <f>+G2592+1</f>
        <v>12</v>
      </c>
      <c r="H2593" s="18" t="s">
        <v>10</v>
      </c>
      <c r="I2593" s="46" t="s">
        <v>10</v>
      </c>
      <c r="J2593" s="22">
        <v>10.95</v>
      </c>
      <c r="K2593" s="63">
        <v>8.5</v>
      </c>
      <c r="L2593" s="8">
        <f t="shared" si="3844"/>
        <v>2.4499999999999993</v>
      </c>
      <c r="M2593" s="24">
        <f t="shared" si="3818"/>
        <v>6.3570316554229372E-2</v>
      </c>
      <c r="N2593" s="14"/>
    </row>
    <row r="2594" spans="1:14" x14ac:dyDescent="0.25">
      <c r="A2594" s="19">
        <v>44610</v>
      </c>
      <c r="B2594" s="15">
        <f t="shared" ref="B2594" si="3857">B2582+1</f>
        <v>217</v>
      </c>
      <c r="C2594" s="1" t="s">
        <v>538</v>
      </c>
      <c r="D2594" s="15" t="s">
        <v>244</v>
      </c>
      <c r="E2594" s="25">
        <f>45-1.2</f>
        <v>43.8</v>
      </c>
      <c r="F2594" s="25">
        <f>+SUM(L2594:L2605)</f>
        <v>44.35</v>
      </c>
      <c r="G2594" s="16">
        <v>1</v>
      </c>
      <c r="H2594" s="16" t="s">
        <v>9</v>
      </c>
      <c r="I2594" s="59" t="s">
        <v>56</v>
      </c>
      <c r="J2594" s="21">
        <v>0.05</v>
      </c>
      <c r="K2594" s="21">
        <v>0</v>
      </c>
      <c r="L2594" s="12">
        <f>+J2594-K2594</f>
        <v>0.05</v>
      </c>
      <c r="M2594" s="23">
        <f t="shared" si="3818"/>
        <v>1.1273957158962795E-3</v>
      </c>
      <c r="N2594" s="13"/>
    </row>
    <row r="2595" spans="1:14" x14ac:dyDescent="0.25">
      <c r="A2595" s="20">
        <v>44610</v>
      </c>
      <c r="B2595" s="1">
        <f t="shared" ref="B2595" si="3858">B2594</f>
        <v>217</v>
      </c>
      <c r="C2595" s="1" t="s">
        <v>538</v>
      </c>
      <c r="D2595" s="1" t="s">
        <v>244</v>
      </c>
      <c r="E2595" s="26">
        <f>+E2594</f>
        <v>43.8</v>
      </c>
      <c r="F2595" s="28">
        <f>+(F2594-E2594)/E2594</f>
        <v>1.2557077625570874E-2</v>
      </c>
      <c r="G2595" s="17">
        <v>2</v>
      </c>
      <c r="H2595" s="17" t="s">
        <v>9</v>
      </c>
      <c r="I2595" s="30" t="s">
        <v>57</v>
      </c>
      <c r="J2595" s="22">
        <v>0.7</v>
      </c>
      <c r="K2595" s="22">
        <v>0.55000000000000004</v>
      </c>
      <c r="L2595" s="8">
        <f t="shared" ref="L2595:L2605" si="3859">+J2595-K2595</f>
        <v>0.14999999999999991</v>
      </c>
      <c r="M2595" s="24">
        <f t="shared" si="3818"/>
        <v>3.3821871476888365E-3</v>
      </c>
      <c r="N2595" s="14"/>
    </row>
    <row r="2596" spans="1:14" x14ac:dyDescent="0.25">
      <c r="A2596" s="20">
        <v>44610</v>
      </c>
      <c r="B2596" s="1">
        <f t="shared" ref="B2596" si="3860">B2594</f>
        <v>217</v>
      </c>
      <c r="C2596" s="1" t="s">
        <v>538</v>
      </c>
      <c r="D2596" s="1" t="s">
        <v>244</v>
      </c>
      <c r="E2596" s="26" t="e">
        <f>+#REF!</f>
        <v>#REF!</v>
      </c>
      <c r="F2596" s="26" t="e">
        <f>+#REF!</f>
        <v>#REF!</v>
      </c>
      <c r="G2596" s="17">
        <v>3</v>
      </c>
      <c r="H2596" s="17" t="s">
        <v>9</v>
      </c>
      <c r="I2596" s="30" t="s">
        <v>58</v>
      </c>
      <c r="J2596" s="22">
        <v>0.75</v>
      </c>
      <c r="K2596" s="22">
        <v>0.55000000000000004</v>
      </c>
      <c r="L2596" s="8">
        <f t="shared" si="3859"/>
        <v>0.19999999999999996</v>
      </c>
      <c r="M2596" s="24">
        <f t="shared" si="3818"/>
        <v>4.5095828635851173E-3</v>
      </c>
      <c r="N2596" s="14"/>
    </row>
    <row r="2597" spans="1:14" x14ac:dyDescent="0.25">
      <c r="A2597" s="20">
        <v>44610</v>
      </c>
      <c r="B2597" s="1">
        <f t="shared" ref="B2597" si="3861">B2594</f>
        <v>217</v>
      </c>
      <c r="C2597" s="1" t="s">
        <v>538</v>
      </c>
      <c r="D2597" s="1" t="s">
        <v>244</v>
      </c>
      <c r="E2597" s="26" t="e">
        <f t="shared" ref="E2597:F2600" si="3862">+E2596</f>
        <v>#REF!</v>
      </c>
      <c r="F2597" s="26" t="e">
        <f t="shared" si="3862"/>
        <v>#REF!</v>
      </c>
      <c r="G2597" s="17">
        <v>4</v>
      </c>
      <c r="H2597" s="17" t="s">
        <v>9</v>
      </c>
      <c r="I2597" s="30" t="s">
        <v>22</v>
      </c>
      <c r="J2597" s="22">
        <v>0.8</v>
      </c>
      <c r="K2597" s="22">
        <v>0.5</v>
      </c>
      <c r="L2597" s="8">
        <f t="shared" si="3859"/>
        <v>0.30000000000000004</v>
      </c>
      <c r="M2597" s="24">
        <f t="shared" si="3818"/>
        <v>6.7643742953776781E-3</v>
      </c>
      <c r="N2597" s="14"/>
    </row>
    <row r="2598" spans="1:14" x14ac:dyDescent="0.25">
      <c r="A2598" s="20">
        <v>44610</v>
      </c>
      <c r="B2598" s="1">
        <f t="shared" ref="B2598" si="3863">B2594</f>
        <v>217</v>
      </c>
      <c r="C2598" s="1" t="s">
        <v>538</v>
      </c>
      <c r="D2598" s="1" t="s">
        <v>244</v>
      </c>
      <c r="E2598" s="26" t="e">
        <f t="shared" si="3862"/>
        <v>#REF!</v>
      </c>
      <c r="F2598" s="26" t="e">
        <f t="shared" si="3862"/>
        <v>#REF!</v>
      </c>
      <c r="G2598" s="17">
        <v>5</v>
      </c>
      <c r="H2598" s="17" t="s">
        <v>9</v>
      </c>
      <c r="I2598" s="30" t="s">
        <v>34</v>
      </c>
      <c r="J2598" s="22">
        <v>0.05</v>
      </c>
      <c r="K2598" s="63">
        <v>0</v>
      </c>
      <c r="L2598" s="8">
        <f t="shared" si="3859"/>
        <v>0.05</v>
      </c>
      <c r="M2598" s="24">
        <f t="shared" si="3818"/>
        <v>1.1273957158962795E-3</v>
      </c>
      <c r="N2598" s="14"/>
    </row>
    <row r="2599" spans="1:14" x14ac:dyDescent="0.25">
      <c r="A2599" s="20">
        <v>44610</v>
      </c>
      <c r="B2599" s="1">
        <f t="shared" ref="B2599" si="3864">B2594</f>
        <v>217</v>
      </c>
      <c r="C2599" s="1" t="s">
        <v>538</v>
      </c>
      <c r="D2599" s="1" t="s">
        <v>244</v>
      </c>
      <c r="E2599" s="26" t="e">
        <f t="shared" si="3862"/>
        <v>#REF!</v>
      </c>
      <c r="F2599" s="26" t="e">
        <f t="shared" si="3862"/>
        <v>#REF!</v>
      </c>
      <c r="G2599" s="17">
        <v>6</v>
      </c>
      <c r="H2599" s="17" t="s">
        <v>9</v>
      </c>
      <c r="I2599" s="30" t="s">
        <v>35</v>
      </c>
      <c r="J2599" s="22"/>
      <c r="K2599" s="22"/>
      <c r="L2599" s="8">
        <f t="shared" si="3859"/>
        <v>0</v>
      </c>
      <c r="M2599" s="24">
        <f t="shared" si="3818"/>
        <v>0</v>
      </c>
      <c r="N2599" s="14"/>
    </row>
    <row r="2600" spans="1:14" x14ac:dyDescent="0.25">
      <c r="A2600" s="20">
        <v>44610</v>
      </c>
      <c r="B2600" s="1">
        <f t="shared" ref="B2600" si="3865">B2594</f>
        <v>217</v>
      </c>
      <c r="C2600" s="1" t="s">
        <v>538</v>
      </c>
      <c r="D2600" s="1" t="s">
        <v>244</v>
      </c>
      <c r="E2600" s="26" t="e">
        <f t="shared" si="3862"/>
        <v>#REF!</v>
      </c>
      <c r="F2600" s="26" t="e">
        <f t="shared" si="3862"/>
        <v>#REF!</v>
      </c>
      <c r="G2600" s="17">
        <v>7</v>
      </c>
      <c r="H2600" s="17" t="s">
        <v>9</v>
      </c>
      <c r="I2600" s="30" t="s">
        <v>36</v>
      </c>
      <c r="J2600" s="22"/>
      <c r="K2600" s="22"/>
      <c r="L2600" s="8">
        <f t="shared" si="3859"/>
        <v>0</v>
      </c>
      <c r="M2600" s="24">
        <f t="shared" si="3818"/>
        <v>0</v>
      </c>
      <c r="N2600" s="14"/>
    </row>
    <row r="2601" spans="1:14" x14ac:dyDescent="0.25">
      <c r="A2601" s="20">
        <v>44610</v>
      </c>
      <c r="B2601" s="1">
        <f t="shared" ref="B2601" si="3866">B2594</f>
        <v>217</v>
      </c>
      <c r="C2601" s="1" t="s">
        <v>538</v>
      </c>
      <c r="D2601" s="1" t="s">
        <v>244</v>
      </c>
      <c r="E2601" s="26" t="e">
        <f>+E2600</f>
        <v>#REF!</v>
      </c>
      <c r="F2601" s="26" t="e">
        <f>+F2600</f>
        <v>#REF!</v>
      </c>
      <c r="G2601" s="17">
        <v>8</v>
      </c>
      <c r="H2601" s="17" t="s">
        <v>9</v>
      </c>
      <c r="I2601" s="30" t="s">
        <v>59</v>
      </c>
      <c r="J2601" s="22">
        <f>14.7+10.6+15.85</f>
        <v>41.15</v>
      </c>
      <c r="K2601" s="22">
        <f>8.55+8.55+8.55</f>
        <v>25.650000000000002</v>
      </c>
      <c r="L2601" s="8">
        <f t="shared" si="3859"/>
        <v>15.499999999999996</v>
      </c>
      <c r="M2601" s="24">
        <f t="shared" si="3818"/>
        <v>0.34949267192784661</v>
      </c>
      <c r="N2601" s="14"/>
    </row>
    <row r="2602" spans="1:14" x14ac:dyDescent="0.25">
      <c r="A2602" s="20">
        <v>44610</v>
      </c>
      <c r="B2602" s="1">
        <f t="shared" ref="B2602" si="3867">B2594</f>
        <v>217</v>
      </c>
      <c r="C2602" s="1" t="s">
        <v>538</v>
      </c>
      <c r="D2602" s="1" t="s">
        <v>244</v>
      </c>
      <c r="E2602" s="26" t="e">
        <f t="shared" ref="E2602:F2605" si="3868">+E2601</f>
        <v>#REF!</v>
      </c>
      <c r="F2602" s="26" t="e">
        <f t="shared" si="3868"/>
        <v>#REF!</v>
      </c>
      <c r="G2602" s="17">
        <v>9</v>
      </c>
      <c r="H2602" s="17" t="s">
        <v>9</v>
      </c>
      <c r="I2602" s="30" t="s">
        <v>38</v>
      </c>
      <c r="J2602" s="22"/>
      <c r="K2602" s="22"/>
      <c r="L2602" s="8">
        <f t="shared" si="3859"/>
        <v>0</v>
      </c>
      <c r="M2602" s="24">
        <f t="shared" si="3818"/>
        <v>0</v>
      </c>
      <c r="N2602" s="14"/>
    </row>
    <row r="2603" spans="1:14" x14ac:dyDescent="0.25">
      <c r="A2603" s="20">
        <v>44610</v>
      </c>
      <c r="B2603" s="1">
        <f t="shared" ref="B2603" si="3869">B2594</f>
        <v>217</v>
      </c>
      <c r="C2603" s="1" t="s">
        <v>538</v>
      </c>
      <c r="D2603" s="1" t="s">
        <v>244</v>
      </c>
      <c r="E2603" s="26" t="e">
        <f t="shared" si="3868"/>
        <v>#REF!</v>
      </c>
      <c r="F2603" s="26" t="e">
        <f t="shared" si="3868"/>
        <v>#REF!</v>
      </c>
      <c r="G2603" s="17">
        <v>10</v>
      </c>
      <c r="H2603" s="17" t="s">
        <v>9</v>
      </c>
      <c r="I2603" s="30" t="s">
        <v>23</v>
      </c>
      <c r="J2603" s="22">
        <f>16.6+16.1+11.95+13.7</f>
        <v>58.350000000000009</v>
      </c>
      <c r="K2603" s="22">
        <f>8.5+8.55+8.55+8.3</f>
        <v>33.900000000000006</v>
      </c>
      <c r="L2603" s="8">
        <f t="shared" si="3859"/>
        <v>24.450000000000003</v>
      </c>
      <c r="M2603" s="24">
        <f t="shared" si="3818"/>
        <v>0.55129650507328076</v>
      </c>
      <c r="N2603" s="14"/>
    </row>
    <row r="2604" spans="1:14" x14ac:dyDescent="0.25">
      <c r="A2604" s="20">
        <v>44610</v>
      </c>
      <c r="B2604" s="1">
        <f t="shared" ref="B2604" si="3870">B2594</f>
        <v>217</v>
      </c>
      <c r="C2604" s="1" t="s">
        <v>538</v>
      </c>
      <c r="D2604" s="1" t="s">
        <v>244</v>
      </c>
      <c r="E2604" s="26" t="e">
        <f t="shared" si="3868"/>
        <v>#REF!</v>
      </c>
      <c r="F2604" s="26" t="e">
        <f t="shared" si="3868"/>
        <v>#REF!</v>
      </c>
      <c r="G2604" s="17">
        <v>11</v>
      </c>
      <c r="H2604" s="17" t="s">
        <v>9</v>
      </c>
      <c r="I2604" s="30" t="s">
        <v>60</v>
      </c>
      <c r="J2604" s="22">
        <v>8.9499999999999993</v>
      </c>
      <c r="K2604" s="22">
        <v>8.5500000000000007</v>
      </c>
      <c r="L2604" s="8">
        <f t="shared" si="3859"/>
        <v>0.39999999999999858</v>
      </c>
      <c r="M2604" s="24">
        <f t="shared" si="3818"/>
        <v>9.0191657271702051E-3</v>
      </c>
      <c r="N2604" s="14"/>
    </row>
    <row r="2605" spans="1:14" ht="15.75" thickBot="1" x14ac:dyDescent="0.3">
      <c r="A2605" s="20">
        <v>44610</v>
      </c>
      <c r="B2605" s="57">
        <f t="shared" ref="B2605" si="3871">B2594</f>
        <v>217</v>
      </c>
      <c r="C2605" s="1" t="s">
        <v>538</v>
      </c>
      <c r="D2605" s="57" t="s">
        <v>244</v>
      </c>
      <c r="E2605" s="26" t="e">
        <f t="shared" si="3868"/>
        <v>#REF!</v>
      </c>
      <c r="F2605" s="26" t="e">
        <f t="shared" si="3868"/>
        <v>#REF!</v>
      </c>
      <c r="G2605" s="18">
        <f>+G2604+1</f>
        <v>12</v>
      </c>
      <c r="H2605" s="18" t="s">
        <v>10</v>
      </c>
      <c r="I2605" s="46" t="s">
        <v>10</v>
      </c>
      <c r="J2605" s="22">
        <f>10.8+9.55</f>
        <v>20.350000000000001</v>
      </c>
      <c r="K2605" s="63">
        <f>8.55+8.55</f>
        <v>17.100000000000001</v>
      </c>
      <c r="L2605" s="8">
        <f t="shared" si="3859"/>
        <v>3.25</v>
      </c>
      <c r="M2605" s="24">
        <f t="shared" si="3818"/>
        <v>7.3280721533258167E-2</v>
      </c>
      <c r="N2605" s="14"/>
    </row>
    <row r="2606" spans="1:14" x14ac:dyDescent="0.25">
      <c r="A2606" s="19">
        <v>44610</v>
      </c>
      <c r="B2606" s="15">
        <f t="shared" ref="B2606" si="3872">B2594+1</f>
        <v>218</v>
      </c>
      <c r="C2606" s="15" t="s">
        <v>539</v>
      </c>
      <c r="D2606" s="15" t="s">
        <v>342</v>
      </c>
      <c r="E2606" s="25">
        <f>80.2-38.2</f>
        <v>42</v>
      </c>
      <c r="F2606" s="25">
        <f>+SUM(L2606:L2617)</f>
        <v>40.649999999999991</v>
      </c>
      <c r="G2606" s="16">
        <v>1</v>
      </c>
      <c r="H2606" s="16" t="s">
        <v>9</v>
      </c>
      <c r="I2606" s="59" t="s">
        <v>56</v>
      </c>
      <c r="J2606" s="21">
        <v>11.25</v>
      </c>
      <c r="K2606" s="21">
        <v>8.3000000000000007</v>
      </c>
      <c r="L2606" s="12">
        <f>+J2606-K2606</f>
        <v>2.9499999999999993</v>
      </c>
      <c r="M2606" s="23">
        <f t="shared" ref="M2606:M2617" si="3873">+L2606/SUMIF(C:C,C2606,L:L)</f>
        <v>7.2570725707257075E-2</v>
      </c>
      <c r="N2606" s="13"/>
    </row>
    <row r="2607" spans="1:14" x14ac:dyDescent="0.25">
      <c r="A2607" s="20">
        <v>44610</v>
      </c>
      <c r="B2607" s="1">
        <f t="shared" ref="B2607" si="3874">B2606</f>
        <v>218</v>
      </c>
      <c r="C2607" s="1" t="s">
        <v>539</v>
      </c>
      <c r="D2607" s="1" t="s">
        <v>342</v>
      </c>
      <c r="E2607" s="26">
        <f>+E2606</f>
        <v>42</v>
      </c>
      <c r="F2607" s="28">
        <f>+(F2606-E2606)/E2606</f>
        <v>-3.2142857142857348E-2</v>
      </c>
      <c r="G2607" s="17">
        <v>2</v>
      </c>
      <c r="H2607" s="17" t="s">
        <v>9</v>
      </c>
      <c r="I2607" s="30" t="s">
        <v>57</v>
      </c>
      <c r="J2607" s="22">
        <f>1.15+1.3+9.95+0.7</f>
        <v>13.099999999999998</v>
      </c>
      <c r="K2607" s="22">
        <f>0.55+0.55+8.55+0.5</f>
        <v>10.15</v>
      </c>
      <c r="L2607" s="8">
        <f t="shared" ref="L2607:L2617" si="3875">+J2607-K2607</f>
        <v>2.9499999999999975</v>
      </c>
      <c r="M2607" s="24">
        <f t="shared" si="3873"/>
        <v>7.2570725707257033E-2</v>
      </c>
      <c r="N2607" s="14"/>
    </row>
    <row r="2608" spans="1:14" x14ac:dyDescent="0.25">
      <c r="A2608" s="20">
        <v>44610</v>
      </c>
      <c r="B2608" s="1">
        <f t="shared" ref="B2608" si="3876">B2606</f>
        <v>218</v>
      </c>
      <c r="C2608" s="1" t="s">
        <v>539</v>
      </c>
      <c r="D2608" s="1" t="s">
        <v>342</v>
      </c>
      <c r="E2608" s="26" t="e">
        <f>+#REF!</f>
        <v>#REF!</v>
      </c>
      <c r="F2608" s="26" t="e">
        <f>+#REF!</f>
        <v>#REF!</v>
      </c>
      <c r="G2608" s="17">
        <v>3</v>
      </c>
      <c r="H2608" s="17" t="s">
        <v>9</v>
      </c>
      <c r="I2608" s="30" t="s">
        <v>58</v>
      </c>
      <c r="J2608" s="22">
        <f>10.6+1.45</f>
        <v>12.049999999999999</v>
      </c>
      <c r="K2608" s="22">
        <f>8.55+0.55</f>
        <v>9.1000000000000014</v>
      </c>
      <c r="L2608" s="8">
        <f t="shared" si="3875"/>
        <v>2.9499999999999975</v>
      </c>
      <c r="M2608" s="24">
        <f t="shared" si="3873"/>
        <v>7.2570725707257033E-2</v>
      </c>
      <c r="N2608" s="14"/>
    </row>
    <row r="2609" spans="1:14" x14ac:dyDescent="0.25">
      <c r="A2609" s="20">
        <v>44610</v>
      </c>
      <c r="B2609" s="1">
        <f t="shared" ref="B2609" si="3877">B2606</f>
        <v>218</v>
      </c>
      <c r="C2609" s="1" t="s">
        <v>539</v>
      </c>
      <c r="D2609" s="1" t="s">
        <v>342</v>
      </c>
      <c r="E2609" s="26" t="e">
        <f t="shared" ref="E2609:F2609" si="3878">+E2608</f>
        <v>#REF!</v>
      </c>
      <c r="F2609" s="26" t="e">
        <f t="shared" si="3878"/>
        <v>#REF!</v>
      </c>
      <c r="G2609" s="17">
        <v>4</v>
      </c>
      <c r="H2609" s="17" t="s">
        <v>9</v>
      </c>
      <c r="I2609" s="30" t="s">
        <v>22</v>
      </c>
      <c r="J2609" s="22">
        <v>3.4</v>
      </c>
      <c r="K2609" s="22">
        <v>1.1000000000000001</v>
      </c>
      <c r="L2609" s="8">
        <f t="shared" si="3875"/>
        <v>2.2999999999999998</v>
      </c>
      <c r="M2609" s="24">
        <f t="shared" si="3873"/>
        <v>5.6580565805658067E-2</v>
      </c>
      <c r="N2609" s="14"/>
    </row>
    <row r="2610" spans="1:14" x14ac:dyDescent="0.25">
      <c r="A2610" s="20">
        <v>44610</v>
      </c>
      <c r="B2610" s="1">
        <f t="shared" ref="B2610" si="3879">B2606</f>
        <v>218</v>
      </c>
      <c r="C2610" s="1" t="s">
        <v>539</v>
      </c>
      <c r="D2610" s="1" t="s">
        <v>342</v>
      </c>
      <c r="E2610" s="26" t="e">
        <f t="shared" ref="E2610:F2610" si="3880">+E2609</f>
        <v>#REF!</v>
      </c>
      <c r="F2610" s="26" t="e">
        <f t="shared" si="3880"/>
        <v>#REF!</v>
      </c>
      <c r="G2610" s="17">
        <v>5</v>
      </c>
      <c r="H2610" s="17" t="s">
        <v>9</v>
      </c>
      <c r="I2610" s="30" t="s">
        <v>34</v>
      </c>
      <c r="J2610" s="22">
        <v>0.95</v>
      </c>
      <c r="K2610" s="63">
        <v>0.55000000000000004</v>
      </c>
      <c r="L2610" s="8">
        <f t="shared" si="3875"/>
        <v>0.39999999999999991</v>
      </c>
      <c r="M2610" s="24">
        <f t="shared" si="3873"/>
        <v>9.8400984009840101E-3</v>
      </c>
      <c r="N2610" s="14"/>
    </row>
    <row r="2611" spans="1:14" x14ac:dyDescent="0.25">
      <c r="A2611" s="20">
        <v>44610</v>
      </c>
      <c r="B2611" s="1">
        <f t="shared" ref="B2611" si="3881">B2606</f>
        <v>218</v>
      </c>
      <c r="C2611" s="1" t="s">
        <v>539</v>
      </c>
      <c r="D2611" s="1" t="s">
        <v>342</v>
      </c>
      <c r="E2611" s="26" t="e">
        <f t="shared" ref="E2611:F2611" si="3882">+E2610</f>
        <v>#REF!</v>
      </c>
      <c r="F2611" s="26" t="e">
        <f t="shared" si="3882"/>
        <v>#REF!</v>
      </c>
      <c r="G2611" s="17">
        <v>6</v>
      </c>
      <c r="H2611" s="17" t="s">
        <v>9</v>
      </c>
      <c r="I2611" s="30" t="s">
        <v>35</v>
      </c>
      <c r="J2611" s="22">
        <v>0.55000000000000004</v>
      </c>
      <c r="K2611" s="22">
        <v>0.5</v>
      </c>
      <c r="L2611" s="8">
        <f t="shared" si="3875"/>
        <v>5.0000000000000044E-2</v>
      </c>
      <c r="M2611" s="24">
        <f t="shared" si="3873"/>
        <v>1.2300123001230026E-3</v>
      </c>
      <c r="N2611" s="14"/>
    </row>
    <row r="2612" spans="1:14" x14ac:dyDescent="0.25">
      <c r="A2612" s="20">
        <v>44610</v>
      </c>
      <c r="B2612" s="1">
        <f t="shared" ref="B2612" si="3883">B2606</f>
        <v>218</v>
      </c>
      <c r="C2612" s="1" t="s">
        <v>539</v>
      </c>
      <c r="D2612" s="1" t="s">
        <v>342</v>
      </c>
      <c r="E2612" s="26" t="e">
        <f t="shared" ref="E2612:F2612" si="3884">+E2611</f>
        <v>#REF!</v>
      </c>
      <c r="F2612" s="26" t="e">
        <f t="shared" si="3884"/>
        <v>#REF!</v>
      </c>
      <c r="G2612" s="17">
        <v>7</v>
      </c>
      <c r="H2612" s="17" t="s">
        <v>9</v>
      </c>
      <c r="I2612" s="30" t="s">
        <v>36</v>
      </c>
      <c r="J2612" s="22">
        <v>1.25</v>
      </c>
      <c r="K2612" s="22">
        <v>0.55000000000000004</v>
      </c>
      <c r="L2612" s="8">
        <f t="shared" si="3875"/>
        <v>0.7</v>
      </c>
      <c r="M2612" s="24">
        <f t="shared" si="3873"/>
        <v>1.722017220172202E-2</v>
      </c>
      <c r="N2612" s="14"/>
    </row>
    <row r="2613" spans="1:14" x14ac:dyDescent="0.25">
      <c r="A2613" s="20">
        <v>44610</v>
      </c>
      <c r="B2613" s="1">
        <f t="shared" ref="B2613" si="3885">B2606</f>
        <v>218</v>
      </c>
      <c r="C2613" s="1" t="s">
        <v>539</v>
      </c>
      <c r="D2613" s="1" t="s">
        <v>342</v>
      </c>
      <c r="E2613" s="26" t="e">
        <f>+E2612</f>
        <v>#REF!</v>
      </c>
      <c r="F2613" s="26" t="e">
        <f>+F2612</f>
        <v>#REF!</v>
      </c>
      <c r="G2613" s="17">
        <v>8</v>
      </c>
      <c r="H2613" s="17" t="s">
        <v>9</v>
      </c>
      <c r="I2613" s="30" t="s">
        <v>59</v>
      </c>
      <c r="J2613" s="22">
        <v>11.65</v>
      </c>
      <c r="K2613" s="22">
        <v>8.5500000000000007</v>
      </c>
      <c r="L2613" s="8">
        <f t="shared" si="3875"/>
        <v>3.0999999999999996</v>
      </c>
      <c r="M2613" s="24">
        <f t="shared" si="3873"/>
        <v>7.6260762607626084E-2</v>
      </c>
      <c r="N2613" s="14"/>
    </row>
    <row r="2614" spans="1:14" x14ac:dyDescent="0.25">
      <c r="A2614" s="20">
        <v>44610</v>
      </c>
      <c r="B2614" s="1">
        <f t="shared" ref="B2614" si="3886">B2606</f>
        <v>218</v>
      </c>
      <c r="C2614" s="1" t="s">
        <v>539</v>
      </c>
      <c r="D2614" s="1" t="s">
        <v>342</v>
      </c>
      <c r="E2614" s="26" t="e">
        <f t="shared" ref="E2614:F2614" si="3887">+E2613</f>
        <v>#REF!</v>
      </c>
      <c r="F2614" s="26" t="e">
        <f t="shared" si="3887"/>
        <v>#REF!</v>
      </c>
      <c r="G2614" s="17">
        <v>9</v>
      </c>
      <c r="H2614" s="17" t="s">
        <v>9</v>
      </c>
      <c r="I2614" s="30" t="s">
        <v>38</v>
      </c>
      <c r="J2614" s="22">
        <v>4.0999999999999996</v>
      </c>
      <c r="K2614" s="22">
        <v>0.55000000000000004</v>
      </c>
      <c r="L2614" s="8">
        <f t="shared" si="3875"/>
        <v>3.55</v>
      </c>
      <c r="M2614" s="24">
        <f t="shared" si="3873"/>
        <v>8.7330873308733098E-2</v>
      </c>
      <c r="N2614" s="14"/>
    </row>
    <row r="2615" spans="1:14" x14ac:dyDescent="0.25">
      <c r="A2615" s="20">
        <v>44610</v>
      </c>
      <c r="B2615" s="1">
        <f t="shared" ref="B2615" si="3888">B2606</f>
        <v>218</v>
      </c>
      <c r="C2615" s="1" t="s">
        <v>539</v>
      </c>
      <c r="D2615" s="1" t="s">
        <v>342</v>
      </c>
      <c r="E2615" s="26" t="e">
        <f t="shared" ref="E2615:F2615" si="3889">+E2614</f>
        <v>#REF!</v>
      </c>
      <c r="F2615" s="26" t="e">
        <f t="shared" si="3889"/>
        <v>#REF!</v>
      </c>
      <c r="G2615" s="17">
        <v>10</v>
      </c>
      <c r="H2615" s="17" t="s">
        <v>9</v>
      </c>
      <c r="I2615" s="30" t="s">
        <v>23</v>
      </c>
      <c r="J2615" s="22">
        <f>13.45+15.25</f>
        <v>28.7</v>
      </c>
      <c r="K2615" s="22">
        <f>8.55+8.55</f>
        <v>17.100000000000001</v>
      </c>
      <c r="L2615" s="8">
        <f t="shared" si="3875"/>
        <v>11.599999999999998</v>
      </c>
      <c r="M2615" s="24">
        <f t="shared" si="3873"/>
        <v>0.28536285362853631</v>
      </c>
      <c r="N2615" s="14"/>
    </row>
    <row r="2616" spans="1:14" x14ac:dyDescent="0.25">
      <c r="A2616" s="20">
        <v>44610</v>
      </c>
      <c r="B2616" s="1">
        <f t="shared" ref="B2616" si="3890">B2606</f>
        <v>218</v>
      </c>
      <c r="C2616" s="1" t="s">
        <v>539</v>
      </c>
      <c r="D2616" s="1" t="s">
        <v>342</v>
      </c>
      <c r="E2616" s="26" t="e">
        <f t="shared" ref="E2616:F2616" si="3891">+E2615</f>
        <v>#REF!</v>
      </c>
      <c r="F2616" s="26" t="e">
        <f t="shared" si="3891"/>
        <v>#REF!</v>
      </c>
      <c r="G2616" s="17">
        <v>11</v>
      </c>
      <c r="H2616" s="17" t="s">
        <v>9</v>
      </c>
      <c r="I2616" s="30" t="s">
        <v>60</v>
      </c>
      <c r="J2616" s="22">
        <v>9.35</v>
      </c>
      <c r="K2616" s="22">
        <v>8.5500000000000007</v>
      </c>
      <c r="L2616" s="8">
        <f t="shared" si="3875"/>
        <v>0.79999999999999893</v>
      </c>
      <c r="M2616" s="24">
        <f t="shared" si="3873"/>
        <v>1.9680196801967996E-2</v>
      </c>
      <c r="N2616" s="14"/>
    </row>
    <row r="2617" spans="1:14" ht="15.75" thickBot="1" x14ac:dyDescent="0.3">
      <c r="A2617" s="20">
        <v>44610</v>
      </c>
      <c r="B2617" s="57">
        <f t="shared" ref="B2617" si="3892">B2606</f>
        <v>218</v>
      </c>
      <c r="C2617" s="1" t="s">
        <v>539</v>
      </c>
      <c r="D2617" s="57" t="s">
        <v>342</v>
      </c>
      <c r="E2617" s="26" t="e">
        <f t="shared" ref="E2617:F2617" si="3893">+E2616</f>
        <v>#REF!</v>
      </c>
      <c r="F2617" s="26" t="e">
        <f t="shared" si="3893"/>
        <v>#REF!</v>
      </c>
      <c r="G2617" s="18">
        <f>+G2616+1</f>
        <v>12</v>
      </c>
      <c r="H2617" s="18" t="s">
        <v>10</v>
      </c>
      <c r="I2617" s="46" t="s">
        <v>10</v>
      </c>
      <c r="J2617" s="22">
        <f>15.45+9.4+1.85+0.8</f>
        <v>27.500000000000004</v>
      </c>
      <c r="K2617" s="63">
        <f>8.55+8.55+0.55+0.55</f>
        <v>18.200000000000003</v>
      </c>
      <c r="L2617" s="8">
        <f t="shared" si="3875"/>
        <v>9.3000000000000007</v>
      </c>
      <c r="M2617" s="24">
        <f t="shared" si="3873"/>
        <v>0.22878228782287829</v>
      </c>
      <c r="N2617" s="14"/>
    </row>
    <row r="2618" spans="1:14" x14ac:dyDescent="0.25">
      <c r="A2618" s="19">
        <v>44610</v>
      </c>
      <c r="B2618" s="15">
        <f t="shared" ref="B2618" si="3894">B2606+1</f>
        <v>219</v>
      </c>
      <c r="C2618" s="15" t="s">
        <v>540</v>
      </c>
      <c r="D2618" s="15" t="s">
        <v>342</v>
      </c>
      <c r="E2618" s="25">
        <f>85.8-38.2</f>
        <v>47.599999999999994</v>
      </c>
      <c r="F2618" s="25">
        <f>+SUM(L2618:L2629)</f>
        <v>47.149999999999991</v>
      </c>
      <c r="G2618" s="16">
        <v>1</v>
      </c>
      <c r="H2618" s="16" t="s">
        <v>9</v>
      </c>
      <c r="I2618" s="59" t="s">
        <v>56</v>
      </c>
      <c r="J2618" s="21">
        <f>12.2+9.35</f>
        <v>21.549999999999997</v>
      </c>
      <c r="K2618" s="21">
        <f>8.55+8.55</f>
        <v>17.100000000000001</v>
      </c>
      <c r="L2618" s="12">
        <f>+J2618-K2618</f>
        <v>4.4499999999999957</v>
      </c>
      <c r="M2618" s="23">
        <f t="shared" ref="M2618:M2629" si="3895">+L2618/SUMIF(C:C,C2618,L:L)</f>
        <v>9.4379639448568323E-2</v>
      </c>
      <c r="N2618" s="13"/>
    </row>
    <row r="2619" spans="1:14" x14ac:dyDescent="0.25">
      <c r="A2619" s="20">
        <v>44610</v>
      </c>
      <c r="B2619" s="1">
        <f t="shared" ref="B2619" si="3896">B2618</f>
        <v>219</v>
      </c>
      <c r="C2619" s="1" t="s">
        <v>540</v>
      </c>
      <c r="D2619" s="1" t="s">
        <v>342</v>
      </c>
      <c r="E2619" s="26">
        <f>+E2618</f>
        <v>47.599999999999994</v>
      </c>
      <c r="F2619" s="28">
        <f>+(F2618-E2618)/E2618</f>
        <v>-9.4537815126051021E-3</v>
      </c>
      <c r="G2619" s="17">
        <v>2</v>
      </c>
      <c r="H2619" s="17" t="s">
        <v>9</v>
      </c>
      <c r="I2619" s="30" t="s">
        <v>57</v>
      </c>
      <c r="J2619" s="22">
        <f>1.3+1.35+1.6+1.15</f>
        <v>5.4</v>
      </c>
      <c r="K2619" s="22">
        <f>0.55+0.55+0.55+0.5</f>
        <v>2.1500000000000004</v>
      </c>
      <c r="L2619" s="8">
        <f t="shared" ref="L2619:L2629" si="3897">+J2619-K2619</f>
        <v>3.25</v>
      </c>
      <c r="M2619" s="24">
        <f t="shared" si="3895"/>
        <v>6.8928950159066818E-2</v>
      </c>
      <c r="N2619" s="14"/>
    </row>
    <row r="2620" spans="1:14" x14ac:dyDescent="0.25">
      <c r="A2620" s="20">
        <v>44610</v>
      </c>
      <c r="B2620" s="1">
        <f t="shared" ref="B2620" si="3898">B2618</f>
        <v>219</v>
      </c>
      <c r="C2620" s="1" t="s">
        <v>540</v>
      </c>
      <c r="D2620" s="1" t="s">
        <v>342</v>
      </c>
      <c r="E2620" s="26" t="e">
        <f>+#REF!</f>
        <v>#REF!</v>
      </c>
      <c r="F2620" s="26" t="e">
        <f>+#REF!</f>
        <v>#REF!</v>
      </c>
      <c r="G2620" s="17">
        <v>3</v>
      </c>
      <c r="H2620" s="17" t="s">
        <v>9</v>
      </c>
      <c r="I2620" s="30" t="s">
        <v>58</v>
      </c>
      <c r="J2620" s="22">
        <f>2.1+10.4+0.9</f>
        <v>13.4</v>
      </c>
      <c r="K2620" s="22">
        <f>0.55+8.55+0.55</f>
        <v>9.6500000000000021</v>
      </c>
      <c r="L2620" s="8">
        <f t="shared" si="3897"/>
        <v>3.7499999999999982</v>
      </c>
      <c r="M2620" s="24">
        <f t="shared" si="3895"/>
        <v>7.9533404029692445E-2</v>
      </c>
      <c r="N2620" s="14"/>
    </row>
    <row r="2621" spans="1:14" x14ac:dyDescent="0.25">
      <c r="A2621" s="20">
        <v>44610</v>
      </c>
      <c r="B2621" s="1">
        <f t="shared" ref="B2621" si="3899">B2618</f>
        <v>219</v>
      </c>
      <c r="C2621" s="1" t="s">
        <v>540</v>
      </c>
      <c r="D2621" s="1" t="s">
        <v>342</v>
      </c>
      <c r="E2621" s="26" t="e">
        <f t="shared" ref="E2621:F2621" si="3900">+E2620</f>
        <v>#REF!</v>
      </c>
      <c r="F2621" s="26" t="e">
        <f t="shared" si="3900"/>
        <v>#REF!</v>
      </c>
      <c r="G2621" s="17">
        <v>4</v>
      </c>
      <c r="H2621" s="17" t="s">
        <v>9</v>
      </c>
      <c r="I2621" s="30" t="s">
        <v>22</v>
      </c>
      <c r="J2621" s="22">
        <f>1.95</f>
        <v>1.95</v>
      </c>
      <c r="K2621" s="22">
        <v>0.55000000000000004</v>
      </c>
      <c r="L2621" s="8">
        <f t="shared" si="3897"/>
        <v>1.4</v>
      </c>
      <c r="M2621" s="24">
        <f t="shared" si="3895"/>
        <v>2.969247083775186E-2</v>
      </c>
      <c r="N2621" s="14"/>
    </row>
    <row r="2622" spans="1:14" x14ac:dyDescent="0.25">
      <c r="A2622" s="20">
        <v>44610</v>
      </c>
      <c r="B2622" s="1">
        <f t="shared" ref="B2622" si="3901">B2618</f>
        <v>219</v>
      </c>
      <c r="C2622" s="1" t="s">
        <v>540</v>
      </c>
      <c r="D2622" s="1" t="s">
        <v>342</v>
      </c>
      <c r="E2622" s="26" t="e">
        <f t="shared" ref="E2622:F2622" si="3902">+E2621</f>
        <v>#REF!</v>
      </c>
      <c r="F2622" s="26" t="e">
        <f t="shared" si="3902"/>
        <v>#REF!</v>
      </c>
      <c r="G2622" s="17">
        <v>5</v>
      </c>
      <c r="H2622" s="17" t="s">
        <v>9</v>
      </c>
      <c r="I2622" s="30" t="s">
        <v>34</v>
      </c>
      <c r="J2622" s="22">
        <v>1.6</v>
      </c>
      <c r="K2622" s="63">
        <v>0.5</v>
      </c>
      <c r="L2622" s="8">
        <f t="shared" si="3897"/>
        <v>1.1000000000000001</v>
      </c>
      <c r="M2622" s="24">
        <f t="shared" si="3895"/>
        <v>2.3329798515376463E-2</v>
      </c>
      <c r="N2622" s="14"/>
    </row>
    <row r="2623" spans="1:14" x14ac:dyDescent="0.25">
      <c r="A2623" s="20">
        <v>44610</v>
      </c>
      <c r="B2623" s="1">
        <f t="shared" ref="B2623" si="3903">B2618</f>
        <v>219</v>
      </c>
      <c r="C2623" s="1" t="s">
        <v>540</v>
      </c>
      <c r="D2623" s="1" t="s">
        <v>342</v>
      </c>
      <c r="E2623" s="26" t="e">
        <f t="shared" ref="E2623:F2623" si="3904">+E2622</f>
        <v>#REF!</v>
      </c>
      <c r="F2623" s="26" t="e">
        <f t="shared" si="3904"/>
        <v>#REF!</v>
      </c>
      <c r="G2623" s="17">
        <v>6</v>
      </c>
      <c r="H2623" s="17" t="s">
        <v>9</v>
      </c>
      <c r="I2623" s="30" t="s">
        <v>35</v>
      </c>
      <c r="J2623" s="22">
        <v>0.7</v>
      </c>
      <c r="K2623" s="22">
        <v>0.55000000000000004</v>
      </c>
      <c r="L2623" s="8">
        <f t="shared" si="3897"/>
        <v>0.14999999999999991</v>
      </c>
      <c r="M2623" s="24">
        <f t="shared" si="3895"/>
        <v>3.1813361611876976E-3</v>
      </c>
      <c r="N2623" s="14"/>
    </row>
    <row r="2624" spans="1:14" x14ac:dyDescent="0.25">
      <c r="A2624" s="20">
        <v>44610</v>
      </c>
      <c r="B2624" s="1">
        <f t="shared" ref="B2624" si="3905">B2618</f>
        <v>219</v>
      </c>
      <c r="C2624" s="1" t="s">
        <v>540</v>
      </c>
      <c r="D2624" s="1" t="s">
        <v>342</v>
      </c>
      <c r="E2624" s="26" t="e">
        <f t="shared" ref="E2624:F2624" si="3906">+E2623</f>
        <v>#REF!</v>
      </c>
      <c r="F2624" s="26" t="e">
        <f t="shared" si="3906"/>
        <v>#REF!</v>
      </c>
      <c r="G2624" s="17">
        <v>7</v>
      </c>
      <c r="H2624" s="17" t="s">
        <v>9</v>
      </c>
      <c r="I2624" s="30" t="s">
        <v>36</v>
      </c>
      <c r="J2624" s="22">
        <v>1.25</v>
      </c>
      <c r="K2624" s="22">
        <v>0.55000000000000004</v>
      </c>
      <c r="L2624" s="8">
        <f t="shared" si="3897"/>
        <v>0.7</v>
      </c>
      <c r="M2624" s="24">
        <f t="shared" si="3895"/>
        <v>1.484623541887593E-2</v>
      </c>
      <c r="N2624" s="14"/>
    </row>
    <row r="2625" spans="1:14" x14ac:dyDescent="0.25">
      <c r="A2625" s="20">
        <v>44610</v>
      </c>
      <c r="B2625" s="1">
        <f t="shared" ref="B2625" si="3907">B2618</f>
        <v>219</v>
      </c>
      <c r="C2625" s="1" t="s">
        <v>540</v>
      </c>
      <c r="D2625" s="1" t="s">
        <v>342</v>
      </c>
      <c r="E2625" s="26" t="e">
        <f>+E2624</f>
        <v>#REF!</v>
      </c>
      <c r="F2625" s="26" t="e">
        <f>+F2624</f>
        <v>#REF!</v>
      </c>
      <c r="G2625" s="17">
        <v>8</v>
      </c>
      <c r="H2625" s="17" t="s">
        <v>9</v>
      </c>
      <c r="I2625" s="30" t="s">
        <v>59</v>
      </c>
      <c r="J2625" s="22">
        <v>12.8</v>
      </c>
      <c r="K2625" s="22">
        <v>8.5500000000000007</v>
      </c>
      <c r="L2625" s="8">
        <f t="shared" si="3897"/>
        <v>4.25</v>
      </c>
      <c r="M2625" s="24">
        <f t="shared" si="3895"/>
        <v>9.0137857900318155E-2</v>
      </c>
      <c r="N2625" s="14"/>
    </row>
    <row r="2626" spans="1:14" x14ac:dyDescent="0.25">
      <c r="A2626" s="20">
        <v>44610</v>
      </c>
      <c r="B2626" s="1">
        <f t="shared" ref="B2626" si="3908">B2618</f>
        <v>219</v>
      </c>
      <c r="C2626" s="1" t="s">
        <v>540</v>
      </c>
      <c r="D2626" s="1" t="s">
        <v>342</v>
      </c>
      <c r="E2626" s="26" t="e">
        <f t="shared" ref="E2626:F2626" si="3909">+E2625</f>
        <v>#REF!</v>
      </c>
      <c r="F2626" s="26" t="e">
        <f t="shared" si="3909"/>
        <v>#REF!</v>
      </c>
      <c r="G2626" s="17">
        <v>9</v>
      </c>
      <c r="H2626" s="17" t="s">
        <v>9</v>
      </c>
      <c r="I2626" s="30" t="s">
        <v>38</v>
      </c>
      <c r="J2626" s="22">
        <v>3.05</v>
      </c>
      <c r="K2626" s="22">
        <v>0.55000000000000004</v>
      </c>
      <c r="L2626" s="8">
        <f t="shared" si="3897"/>
        <v>2.5</v>
      </c>
      <c r="M2626" s="24">
        <f t="shared" si="3895"/>
        <v>5.3022269353128322E-2</v>
      </c>
      <c r="N2626" s="14"/>
    </row>
    <row r="2627" spans="1:14" x14ac:dyDescent="0.25">
      <c r="A2627" s="20">
        <v>44610</v>
      </c>
      <c r="B2627" s="1">
        <f t="shared" ref="B2627" si="3910">B2618</f>
        <v>219</v>
      </c>
      <c r="C2627" s="1" t="s">
        <v>540</v>
      </c>
      <c r="D2627" s="1" t="s">
        <v>342</v>
      </c>
      <c r="E2627" s="26" t="e">
        <f t="shared" ref="E2627:F2627" si="3911">+E2626</f>
        <v>#REF!</v>
      </c>
      <c r="F2627" s="26" t="e">
        <f t="shared" si="3911"/>
        <v>#REF!</v>
      </c>
      <c r="G2627" s="17">
        <v>10</v>
      </c>
      <c r="H2627" s="17" t="s">
        <v>9</v>
      </c>
      <c r="I2627" s="30" t="s">
        <v>23</v>
      </c>
      <c r="J2627" s="22">
        <f>14.3+17.8</f>
        <v>32.1</v>
      </c>
      <c r="K2627" s="22">
        <f>8.55+8.55</f>
        <v>17.100000000000001</v>
      </c>
      <c r="L2627" s="8">
        <f t="shared" si="3897"/>
        <v>15</v>
      </c>
      <c r="M2627" s="24">
        <f t="shared" si="3895"/>
        <v>0.31813361611876995</v>
      </c>
      <c r="N2627" s="14"/>
    </row>
    <row r="2628" spans="1:14" x14ac:dyDescent="0.25">
      <c r="A2628" s="20">
        <v>44610</v>
      </c>
      <c r="B2628" s="1">
        <f t="shared" ref="B2628" si="3912">B2618</f>
        <v>219</v>
      </c>
      <c r="C2628" s="1" t="s">
        <v>540</v>
      </c>
      <c r="D2628" s="1" t="s">
        <v>342</v>
      </c>
      <c r="E2628" s="26" t="e">
        <f t="shared" ref="E2628:F2628" si="3913">+E2627</f>
        <v>#REF!</v>
      </c>
      <c r="F2628" s="26" t="e">
        <f t="shared" si="3913"/>
        <v>#REF!</v>
      </c>
      <c r="G2628" s="17">
        <v>11</v>
      </c>
      <c r="H2628" s="17" t="s">
        <v>9</v>
      </c>
      <c r="I2628" s="30" t="s">
        <v>60</v>
      </c>
      <c r="J2628" s="22">
        <v>10.050000000000001</v>
      </c>
      <c r="K2628" s="22">
        <v>8.5500000000000007</v>
      </c>
      <c r="L2628" s="8">
        <f t="shared" si="3897"/>
        <v>1.5</v>
      </c>
      <c r="M2628" s="24">
        <f t="shared" si="3895"/>
        <v>3.1813361611876992E-2</v>
      </c>
      <c r="N2628" s="14"/>
    </row>
    <row r="2629" spans="1:14" ht="15.75" thickBot="1" x14ac:dyDescent="0.3">
      <c r="A2629" s="20">
        <v>44610</v>
      </c>
      <c r="B2629" s="57">
        <f t="shared" ref="B2629" si="3914">B2618</f>
        <v>219</v>
      </c>
      <c r="C2629" s="1" t="s">
        <v>540</v>
      </c>
      <c r="D2629" s="57" t="s">
        <v>342</v>
      </c>
      <c r="E2629" s="26" t="e">
        <f t="shared" ref="E2629:F2629" si="3915">+E2628</f>
        <v>#REF!</v>
      </c>
      <c r="F2629" s="26" t="e">
        <f t="shared" si="3915"/>
        <v>#REF!</v>
      </c>
      <c r="G2629" s="18">
        <f>+G2628+1</f>
        <v>12</v>
      </c>
      <c r="H2629" s="18" t="s">
        <v>10</v>
      </c>
      <c r="I2629" s="46" t="s">
        <v>10</v>
      </c>
      <c r="J2629" s="22">
        <f>13.7+1+1.8+9.3+1.75</f>
        <v>27.55</v>
      </c>
      <c r="K2629" s="63">
        <f>8.5+0.55+0.55+8.3+0.55</f>
        <v>18.450000000000003</v>
      </c>
      <c r="L2629" s="8">
        <f t="shared" si="3897"/>
        <v>9.0999999999999979</v>
      </c>
      <c r="M2629" s="24">
        <f t="shared" si="3895"/>
        <v>0.19300106044538706</v>
      </c>
      <c r="N2629" s="14"/>
    </row>
    <row r="2630" spans="1:14" x14ac:dyDescent="0.25">
      <c r="A2630" s="19">
        <v>44616</v>
      </c>
      <c r="B2630" s="15">
        <f t="shared" ref="B2630" si="3916">B2618+1</f>
        <v>220</v>
      </c>
      <c r="C2630" s="15" t="s">
        <v>546</v>
      </c>
      <c r="D2630" s="15" t="s">
        <v>547</v>
      </c>
      <c r="E2630" s="25">
        <f>21.6-1.2</f>
        <v>20.400000000000002</v>
      </c>
      <c r="F2630" s="25">
        <f>+SUM(L2630:L2641)</f>
        <v>20.169999999999998</v>
      </c>
      <c r="G2630" s="16">
        <v>1</v>
      </c>
      <c r="H2630" s="16" t="s">
        <v>9</v>
      </c>
      <c r="I2630" s="59" t="s">
        <v>56</v>
      </c>
      <c r="J2630" s="21">
        <f>11+11.8+11.95+1.35+9.95+12.4+11.95</f>
        <v>70.399999999999991</v>
      </c>
      <c r="K2630" s="21">
        <f>8.55+8.55+8.55+0.55+8.55+8.55+8.55</f>
        <v>51.849999999999994</v>
      </c>
      <c r="L2630" s="12">
        <f>+J2630-K2630</f>
        <v>18.549999999999997</v>
      </c>
      <c r="M2630" s="23">
        <f t="shared" ref="M2630:M2641" si="3917">+L2630/SUMIF(C:C,C2630,L:L)</f>
        <v>0.91968269707486361</v>
      </c>
      <c r="N2630" s="13"/>
    </row>
    <row r="2631" spans="1:14" x14ac:dyDescent="0.25">
      <c r="A2631" s="20">
        <v>44616</v>
      </c>
      <c r="B2631" s="1">
        <f t="shared" ref="B2631" si="3918">B2630</f>
        <v>220</v>
      </c>
      <c r="C2631" s="1" t="s">
        <v>546</v>
      </c>
      <c r="D2631" s="1" t="s">
        <v>547</v>
      </c>
      <c r="E2631" s="26">
        <f>+E2630</f>
        <v>20.400000000000002</v>
      </c>
      <c r="F2631" s="28">
        <f>+(F2630-E2630)/E2630</f>
        <v>-1.1274509803921763E-2</v>
      </c>
      <c r="G2631" s="17">
        <v>2</v>
      </c>
      <c r="H2631" s="17" t="s">
        <v>9</v>
      </c>
      <c r="I2631" s="30" t="s">
        <v>57</v>
      </c>
      <c r="J2631" s="22">
        <f>0.55</f>
        <v>0.55000000000000004</v>
      </c>
      <c r="K2631" s="22">
        <v>0</v>
      </c>
      <c r="L2631" s="8">
        <f t="shared" ref="L2631:L2641" si="3919">+J2631-K2631</f>
        <v>0.55000000000000004</v>
      </c>
      <c r="M2631" s="24">
        <f t="shared" si="3917"/>
        <v>2.7268220128904317E-2</v>
      </c>
      <c r="N2631" s="14"/>
    </row>
    <row r="2632" spans="1:14" x14ac:dyDescent="0.25">
      <c r="A2632" s="20">
        <v>44616</v>
      </c>
      <c r="B2632" s="1">
        <f t="shared" ref="B2632" si="3920">B2630</f>
        <v>220</v>
      </c>
      <c r="C2632" s="1" t="s">
        <v>546</v>
      </c>
      <c r="D2632" s="1" t="s">
        <v>547</v>
      </c>
      <c r="E2632" s="26" t="e">
        <f>+#REF!</f>
        <v>#REF!</v>
      </c>
      <c r="F2632" s="26" t="e">
        <f>+#REF!</f>
        <v>#REF!</v>
      </c>
      <c r="G2632" s="17">
        <v>3</v>
      </c>
      <c r="H2632" s="17" t="s">
        <v>9</v>
      </c>
      <c r="I2632" s="30" t="s">
        <v>58</v>
      </c>
      <c r="J2632" s="22">
        <v>0.02</v>
      </c>
      <c r="K2632" s="22">
        <v>0</v>
      </c>
      <c r="L2632" s="8">
        <f t="shared" si="3919"/>
        <v>0.02</v>
      </c>
      <c r="M2632" s="24">
        <f t="shared" si="3917"/>
        <v>9.9157164105106608E-4</v>
      </c>
      <c r="N2632" s="14"/>
    </row>
    <row r="2633" spans="1:14" x14ac:dyDescent="0.25">
      <c r="A2633" s="20">
        <v>44616</v>
      </c>
      <c r="B2633" s="1">
        <f t="shared" ref="B2633" si="3921">B2630</f>
        <v>220</v>
      </c>
      <c r="C2633" s="1" t="s">
        <v>546</v>
      </c>
      <c r="D2633" s="1" t="s">
        <v>547</v>
      </c>
      <c r="E2633" s="26" t="e">
        <f t="shared" ref="E2633:F2633" si="3922">+E2632</f>
        <v>#REF!</v>
      </c>
      <c r="F2633" s="26" t="e">
        <f t="shared" si="3922"/>
        <v>#REF!</v>
      </c>
      <c r="G2633" s="17">
        <v>4</v>
      </c>
      <c r="H2633" s="17" t="s">
        <v>9</v>
      </c>
      <c r="I2633" s="30" t="s">
        <v>22</v>
      </c>
      <c r="J2633" s="22"/>
      <c r="K2633" s="22"/>
      <c r="L2633" s="8">
        <f t="shared" si="3919"/>
        <v>0</v>
      </c>
      <c r="M2633" s="24">
        <f t="shared" si="3917"/>
        <v>0</v>
      </c>
      <c r="N2633" s="14"/>
    </row>
    <row r="2634" spans="1:14" x14ac:dyDescent="0.25">
      <c r="A2634" s="20">
        <v>44616</v>
      </c>
      <c r="B2634" s="1">
        <f t="shared" ref="B2634" si="3923">B2630</f>
        <v>220</v>
      </c>
      <c r="C2634" s="1" t="s">
        <v>546</v>
      </c>
      <c r="D2634" s="1" t="s">
        <v>547</v>
      </c>
      <c r="E2634" s="26" t="e">
        <f t="shared" ref="E2634:F2634" si="3924">+E2633</f>
        <v>#REF!</v>
      </c>
      <c r="F2634" s="26" t="e">
        <f t="shared" si="3924"/>
        <v>#REF!</v>
      </c>
      <c r="G2634" s="17">
        <v>5</v>
      </c>
      <c r="H2634" s="17" t="s">
        <v>9</v>
      </c>
      <c r="I2634" s="30" t="s">
        <v>34</v>
      </c>
      <c r="J2634" s="22">
        <v>0.6</v>
      </c>
      <c r="K2634" s="63">
        <v>0.55000000000000004</v>
      </c>
      <c r="L2634" s="8">
        <f t="shared" si="3919"/>
        <v>4.9999999999999933E-2</v>
      </c>
      <c r="M2634" s="24">
        <f t="shared" si="3917"/>
        <v>2.478929102627662E-3</v>
      </c>
      <c r="N2634" s="14"/>
    </row>
    <row r="2635" spans="1:14" x14ac:dyDescent="0.25">
      <c r="A2635" s="20">
        <v>44616</v>
      </c>
      <c r="B2635" s="1">
        <f t="shared" ref="B2635" si="3925">B2630</f>
        <v>220</v>
      </c>
      <c r="C2635" s="1" t="s">
        <v>546</v>
      </c>
      <c r="D2635" s="1" t="s">
        <v>547</v>
      </c>
      <c r="E2635" s="26" t="e">
        <f t="shared" ref="E2635:F2635" si="3926">+E2634</f>
        <v>#REF!</v>
      </c>
      <c r="F2635" s="26" t="e">
        <f t="shared" si="3926"/>
        <v>#REF!</v>
      </c>
      <c r="G2635" s="17">
        <v>6</v>
      </c>
      <c r="H2635" s="17" t="s">
        <v>9</v>
      </c>
      <c r="I2635" s="30" t="s">
        <v>35</v>
      </c>
      <c r="J2635" s="22"/>
      <c r="K2635" s="22"/>
      <c r="L2635" s="8">
        <f t="shared" si="3919"/>
        <v>0</v>
      </c>
      <c r="M2635" s="24">
        <f t="shared" si="3917"/>
        <v>0</v>
      </c>
      <c r="N2635" s="14"/>
    </row>
    <row r="2636" spans="1:14" x14ac:dyDescent="0.25">
      <c r="A2636" s="20">
        <v>44616</v>
      </c>
      <c r="B2636" s="1">
        <f t="shared" ref="B2636" si="3927">B2630</f>
        <v>220</v>
      </c>
      <c r="C2636" s="1" t="s">
        <v>546</v>
      </c>
      <c r="D2636" s="1" t="s">
        <v>547</v>
      </c>
      <c r="E2636" s="26" t="e">
        <f t="shared" ref="E2636:F2636" si="3928">+E2635</f>
        <v>#REF!</v>
      </c>
      <c r="F2636" s="26" t="e">
        <f t="shared" si="3928"/>
        <v>#REF!</v>
      </c>
      <c r="G2636" s="17">
        <v>7</v>
      </c>
      <c r="H2636" s="17" t="s">
        <v>9</v>
      </c>
      <c r="I2636" s="30" t="s">
        <v>36</v>
      </c>
      <c r="J2636" s="22"/>
      <c r="K2636" s="22"/>
      <c r="L2636" s="8">
        <f t="shared" si="3919"/>
        <v>0</v>
      </c>
      <c r="M2636" s="24">
        <f t="shared" si="3917"/>
        <v>0</v>
      </c>
      <c r="N2636" s="14"/>
    </row>
    <row r="2637" spans="1:14" x14ac:dyDescent="0.25">
      <c r="A2637" s="20">
        <v>44616</v>
      </c>
      <c r="B2637" s="1">
        <f t="shared" ref="B2637" si="3929">B2630</f>
        <v>220</v>
      </c>
      <c r="C2637" s="1" t="s">
        <v>546</v>
      </c>
      <c r="D2637" s="1" t="s">
        <v>547</v>
      </c>
      <c r="E2637" s="26" t="e">
        <f>+E2636</f>
        <v>#REF!</v>
      </c>
      <c r="F2637" s="26" t="e">
        <f>+F2636</f>
        <v>#REF!</v>
      </c>
      <c r="G2637" s="17">
        <v>8</v>
      </c>
      <c r="H2637" s="17" t="s">
        <v>9</v>
      </c>
      <c r="I2637" s="30" t="s">
        <v>59</v>
      </c>
      <c r="J2637" s="22">
        <v>0.05</v>
      </c>
      <c r="K2637" s="22">
        <v>0</v>
      </c>
      <c r="L2637" s="8">
        <f t="shared" si="3919"/>
        <v>0.05</v>
      </c>
      <c r="M2637" s="24">
        <f t="shared" si="3917"/>
        <v>2.4789291026276654E-3</v>
      </c>
      <c r="N2637" s="14"/>
    </row>
    <row r="2638" spans="1:14" x14ac:dyDescent="0.25">
      <c r="A2638" s="20">
        <v>44616</v>
      </c>
      <c r="B2638" s="1">
        <f t="shared" ref="B2638" si="3930">B2630</f>
        <v>220</v>
      </c>
      <c r="C2638" s="1" t="s">
        <v>546</v>
      </c>
      <c r="D2638" s="1" t="s">
        <v>547</v>
      </c>
      <c r="E2638" s="26" t="e">
        <f t="shared" ref="E2638:F2638" si="3931">+E2637</f>
        <v>#REF!</v>
      </c>
      <c r="F2638" s="26" t="e">
        <f t="shared" si="3931"/>
        <v>#REF!</v>
      </c>
      <c r="G2638" s="17">
        <v>9</v>
      </c>
      <c r="H2638" s="17" t="s">
        <v>9</v>
      </c>
      <c r="I2638" s="30" t="s">
        <v>38</v>
      </c>
      <c r="J2638" s="22"/>
      <c r="K2638" s="22"/>
      <c r="L2638" s="8">
        <f t="shared" si="3919"/>
        <v>0</v>
      </c>
      <c r="M2638" s="24">
        <f t="shared" si="3917"/>
        <v>0</v>
      </c>
      <c r="N2638" s="14"/>
    </row>
    <row r="2639" spans="1:14" x14ac:dyDescent="0.25">
      <c r="A2639" s="20">
        <v>44616</v>
      </c>
      <c r="B2639" s="1">
        <f t="shared" ref="B2639" si="3932">B2630</f>
        <v>220</v>
      </c>
      <c r="C2639" s="1" t="s">
        <v>546</v>
      </c>
      <c r="D2639" s="1" t="s">
        <v>547</v>
      </c>
      <c r="E2639" s="26" t="e">
        <f t="shared" ref="E2639:F2639" si="3933">+E2638</f>
        <v>#REF!</v>
      </c>
      <c r="F2639" s="26" t="e">
        <f t="shared" si="3933"/>
        <v>#REF!</v>
      </c>
      <c r="G2639" s="17">
        <v>10</v>
      </c>
      <c r="H2639" s="17" t="s">
        <v>9</v>
      </c>
      <c r="I2639" s="30" t="s">
        <v>23</v>
      </c>
      <c r="J2639" s="22">
        <v>0.05</v>
      </c>
      <c r="K2639" s="22">
        <v>0</v>
      </c>
      <c r="L2639" s="8">
        <f t="shared" si="3919"/>
        <v>0.05</v>
      </c>
      <c r="M2639" s="24">
        <f t="shared" si="3917"/>
        <v>2.4789291026276654E-3</v>
      </c>
      <c r="N2639" s="14"/>
    </row>
    <row r="2640" spans="1:14" x14ac:dyDescent="0.25">
      <c r="A2640" s="20">
        <v>44616</v>
      </c>
      <c r="B2640" s="1">
        <f t="shared" ref="B2640" si="3934">B2630</f>
        <v>220</v>
      </c>
      <c r="C2640" s="1" t="s">
        <v>546</v>
      </c>
      <c r="D2640" s="1" t="s">
        <v>547</v>
      </c>
      <c r="E2640" s="26" t="e">
        <f t="shared" ref="E2640:F2640" si="3935">+E2639</f>
        <v>#REF!</v>
      </c>
      <c r="F2640" s="26" t="e">
        <f t="shared" si="3935"/>
        <v>#REF!</v>
      </c>
      <c r="G2640" s="17">
        <v>11</v>
      </c>
      <c r="H2640" s="17" t="s">
        <v>9</v>
      </c>
      <c r="I2640" s="30" t="s">
        <v>60</v>
      </c>
      <c r="J2640" s="22">
        <v>0.05</v>
      </c>
      <c r="K2640" s="22">
        <v>0</v>
      </c>
      <c r="L2640" s="8">
        <f t="shared" si="3919"/>
        <v>0.05</v>
      </c>
      <c r="M2640" s="24">
        <f t="shared" si="3917"/>
        <v>2.4789291026276654E-3</v>
      </c>
      <c r="N2640" s="14"/>
    </row>
    <row r="2641" spans="1:14" ht="15.75" thickBot="1" x14ac:dyDescent="0.3">
      <c r="A2641" s="20">
        <v>44616</v>
      </c>
      <c r="B2641" s="57">
        <f t="shared" ref="B2641" si="3936">B2630</f>
        <v>220</v>
      </c>
      <c r="C2641" s="1" t="s">
        <v>546</v>
      </c>
      <c r="D2641" s="57" t="s">
        <v>547</v>
      </c>
      <c r="E2641" s="26" t="e">
        <f t="shared" ref="E2641:F2641" si="3937">+E2640</f>
        <v>#REF!</v>
      </c>
      <c r="F2641" s="26" t="e">
        <f t="shared" si="3937"/>
        <v>#REF!</v>
      </c>
      <c r="G2641" s="18">
        <f>+G2640+1</f>
        <v>12</v>
      </c>
      <c r="H2641" s="18" t="s">
        <v>10</v>
      </c>
      <c r="I2641" s="46" t="s">
        <v>10</v>
      </c>
      <c r="J2641" s="22">
        <f>8.75+9.15</f>
        <v>17.899999999999999</v>
      </c>
      <c r="K2641" s="63">
        <f>8.5+8.55</f>
        <v>17.05</v>
      </c>
      <c r="L2641" s="8">
        <f t="shared" si="3919"/>
        <v>0.84999999999999787</v>
      </c>
      <c r="M2641" s="24">
        <f t="shared" si="3917"/>
        <v>4.2141794744670204E-2</v>
      </c>
      <c r="N2641" s="14"/>
    </row>
    <row r="2642" spans="1:14" x14ac:dyDescent="0.25">
      <c r="A2642" s="19">
        <v>44616</v>
      </c>
      <c r="B2642" s="15">
        <f t="shared" ref="B2642" si="3938">B2630+1</f>
        <v>221</v>
      </c>
      <c r="C2642" s="15" t="s">
        <v>548</v>
      </c>
      <c r="D2642" s="15" t="s">
        <v>549</v>
      </c>
      <c r="E2642" s="25">
        <f>12.4-1.2</f>
        <v>11.200000000000001</v>
      </c>
      <c r="F2642" s="25">
        <f>+SUM(L2642:L2653)</f>
        <v>10.94</v>
      </c>
      <c r="G2642" s="16">
        <v>1</v>
      </c>
      <c r="H2642" s="16" t="s">
        <v>9</v>
      </c>
      <c r="I2642" s="59" t="s">
        <v>56</v>
      </c>
      <c r="J2642" s="21">
        <v>0.02</v>
      </c>
      <c r="K2642" s="21">
        <v>0</v>
      </c>
      <c r="L2642" s="12">
        <f>+J2642-K2642</f>
        <v>0.02</v>
      </c>
      <c r="M2642" s="23">
        <f t="shared" ref="M2642:M2705" si="3939">+L2642/SUMIF(C:C,C2642,L:L)</f>
        <v>1.8281535648994518E-3</v>
      </c>
      <c r="N2642" s="13"/>
    </row>
    <row r="2643" spans="1:14" x14ac:dyDescent="0.25">
      <c r="A2643" s="20">
        <v>44616</v>
      </c>
      <c r="B2643" s="1">
        <f t="shared" ref="B2643" si="3940">B2642</f>
        <v>221</v>
      </c>
      <c r="C2643" s="1" t="s">
        <v>548</v>
      </c>
      <c r="D2643" s="1" t="s">
        <v>549</v>
      </c>
      <c r="E2643" s="26">
        <f>+E2642</f>
        <v>11.200000000000001</v>
      </c>
      <c r="F2643" s="28">
        <f>+(F2642-E2642)/E2642</f>
        <v>-2.321428571428585E-2</v>
      </c>
      <c r="G2643" s="17">
        <v>2</v>
      </c>
      <c r="H2643" s="17" t="s">
        <v>9</v>
      </c>
      <c r="I2643" s="30" t="s">
        <v>57</v>
      </c>
      <c r="J2643" s="22">
        <v>8.9</v>
      </c>
      <c r="K2643" s="22">
        <v>8.3000000000000007</v>
      </c>
      <c r="L2643" s="8">
        <f t="shared" ref="L2643:L2653" si="3941">+J2643-K2643</f>
        <v>0.59999999999999964</v>
      </c>
      <c r="M2643" s="24">
        <f t="shared" si="3939"/>
        <v>5.4844606946983517E-2</v>
      </c>
      <c r="N2643" s="14"/>
    </row>
    <row r="2644" spans="1:14" x14ac:dyDescent="0.25">
      <c r="A2644" s="20">
        <v>44616</v>
      </c>
      <c r="B2644" s="1">
        <f t="shared" ref="B2644" si="3942">B2642</f>
        <v>221</v>
      </c>
      <c r="C2644" s="1" t="s">
        <v>548</v>
      </c>
      <c r="D2644" s="1" t="s">
        <v>549</v>
      </c>
      <c r="E2644" s="26" t="e">
        <f>+#REF!</f>
        <v>#REF!</v>
      </c>
      <c r="F2644" s="26" t="e">
        <f>+#REF!</f>
        <v>#REF!</v>
      </c>
      <c r="G2644" s="17">
        <v>3</v>
      </c>
      <c r="H2644" s="17" t="s">
        <v>9</v>
      </c>
      <c r="I2644" s="30" t="s">
        <v>58</v>
      </c>
      <c r="J2644" s="22">
        <v>0.6</v>
      </c>
      <c r="K2644" s="22">
        <v>0.55000000000000004</v>
      </c>
      <c r="L2644" s="8">
        <f t="shared" si="3941"/>
        <v>4.9999999999999933E-2</v>
      </c>
      <c r="M2644" s="24">
        <f t="shared" si="3939"/>
        <v>4.5703839122486229E-3</v>
      </c>
      <c r="N2644" s="14"/>
    </row>
    <row r="2645" spans="1:14" x14ac:dyDescent="0.25">
      <c r="A2645" s="20">
        <v>44616</v>
      </c>
      <c r="B2645" s="1">
        <f t="shared" ref="B2645" si="3943">B2642</f>
        <v>221</v>
      </c>
      <c r="C2645" s="1" t="s">
        <v>548</v>
      </c>
      <c r="D2645" s="1" t="s">
        <v>549</v>
      </c>
      <c r="E2645" s="26" t="e">
        <f t="shared" ref="E2645:F2645" si="3944">+E2644</f>
        <v>#REF!</v>
      </c>
      <c r="F2645" s="26" t="e">
        <f t="shared" si="3944"/>
        <v>#REF!</v>
      </c>
      <c r="G2645" s="17">
        <v>4</v>
      </c>
      <c r="H2645" s="17" t="s">
        <v>9</v>
      </c>
      <c r="I2645" s="30" t="s">
        <v>22</v>
      </c>
      <c r="J2645" s="22"/>
      <c r="K2645" s="22"/>
      <c r="L2645" s="8">
        <f t="shared" si="3941"/>
        <v>0</v>
      </c>
      <c r="M2645" s="24">
        <f t="shared" si="3939"/>
        <v>0</v>
      </c>
      <c r="N2645" s="14"/>
    </row>
    <row r="2646" spans="1:14" x14ac:dyDescent="0.25">
      <c r="A2646" s="20">
        <v>44616</v>
      </c>
      <c r="B2646" s="1">
        <f t="shared" ref="B2646" si="3945">B2642</f>
        <v>221</v>
      </c>
      <c r="C2646" s="1" t="s">
        <v>548</v>
      </c>
      <c r="D2646" s="1" t="s">
        <v>549</v>
      </c>
      <c r="E2646" s="26" t="e">
        <f t="shared" ref="E2646:F2646" si="3946">+E2645</f>
        <v>#REF!</v>
      </c>
      <c r="F2646" s="26" t="e">
        <f t="shared" si="3946"/>
        <v>#REF!</v>
      </c>
      <c r="G2646" s="17">
        <v>5</v>
      </c>
      <c r="H2646" s="17" t="s">
        <v>9</v>
      </c>
      <c r="I2646" s="30" t="s">
        <v>34</v>
      </c>
      <c r="J2646" s="22">
        <v>0.02</v>
      </c>
      <c r="K2646" s="63">
        <v>0</v>
      </c>
      <c r="L2646" s="8">
        <f t="shared" si="3941"/>
        <v>0.02</v>
      </c>
      <c r="M2646" s="24">
        <f t="shared" si="3939"/>
        <v>1.8281535648994518E-3</v>
      </c>
      <c r="N2646" s="14"/>
    </row>
    <row r="2647" spans="1:14" x14ac:dyDescent="0.25">
      <c r="A2647" s="20">
        <v>44616</v>
      </c>
      <c r="B2647" s="1">
        <f t="shared" ref="B2647" si="3947">B2642</f>
        <v>221</v>
      </c>
      <c r="C2647" s="1" t="s">
        <v>548</v>
      </c>
      <c r="D2647" s="1" t="s">
        <v>549</v>
      </c>
      <c r="E2647" s="26" t="e">
        <f t="shared" ref="E2647:F2647" si="3948">+E2646</f>
        <v>#REF!</v>
      </c>
      <c r="F2647" s="26" t="e">
        <f t="shared" si="3948"/>
        <v>#REF!</v>
      </c>
      <c r="G2647" s="17">
        <v>6</v>
      </c>
      <c r="H2647" s="17" t="s">
        <v>9</v>
      </c>
      <c r="I2647" s="30" t="s">
        <v>35</v>
      </c>
      <c r="J2647" s="22"/>
      <c r="K2647" s="22"/>
      <c r="L2647" s="8">
        <f t="shared" si="3941"/>
        <v>0</v>
      </c>
      <c r="M2647" s="24">
        <f t="shared" si="3939"/>
        <v>0</v>
      </c>
      <c r="N2647" s="14"/>
    </row>
    <row r="2648" spans="1:14" x14ac:dyDescent="0.25">
      <c r="A2648" s="20">
        <v>44616</v>
      </c>
      <c r="B2648" s="1">
        <f t="shared" ref="B2648" si="3949">B2642</f>
        <v>221</v>
      </c>
      <c r="C2648" s="1" t="s">
        <v>548</v>
      </c>
      <c r="D2648" s="1" t="s">
        <v>549</v>
      </c>
      <c r="E2648" s="26" t="e">
        <f t="shared" ref="E2648:F2648" si="3950">+E2647</f>
        <v>#REF!</v>
      </c>
      <c r="F2648" s="26" t="e">
        <f t="shared" si="3950"/>
        <v>#REF!</v>
      </c>
      <c r="G2648" s="17">
        <v>7</v>
      </c>
      <c r="H2648" s="17" t="s">
        <v>9</v>
      </c>
      <c r="I2648" s="30" t="s">
        <v>36</v>
      </c>
      <c r="J2648" s="22"/>
      <c r="K2648" s="22"/>
      <c r="L2648" s="8">
        <f t="shared" si="3941"/>
        <v>0</v>
      </c>
      <c r="M2648" s="24">
        <f t="shared" si="3939"/>
        <v>0</v>
      </c>
      <c r="N2648" s="14"/>
    </row>
    <row r="2649" spans="1:14" x14ac:dyDescent="0.25">
      <c r="A2649" s="20">
        <v>44616</v>
      </c>
      <c r="B2649" s="1">
        <f t="shared" ref="B2649" si="3951">B2642</f>
        <v>221</v>
      </c>
      <c r="C2649" s="1" t="s">
        <v>548</v>
      </c>
      <c r="D2649" s="1" t="s">
        <v>549</v>
      </c>
      <c r="E2649" s="26" t="e">
        <f>+E2648</f>
        <v>#REF!</v>
      </c>
      <c r="F2649" s="26" t="e">
        <f>+F2648</f>
        <v>#REF!</v>
      </c>
      <c r="G2649" s="17">
        <v>8</v>
      </c>
      <c r="H2649" s="17" t="s">
        <v>9</v>
      </c>
      <c r="I2649" s="30" t="s">
        <v>59</v>
      </c>
      <c r="J2649" s="22">
        <v>0.65</v>
      </c>
      <c r="K2649" s="22">
        <v>0.55000000000000004</v>
      </c>
      <c r="L2649" s="8">
        <f t="shared" si="3941"/>
        <v>9.9999999999999978E-2</v>
      </c>
      <c r="M2649" s="24">
        <f t="shared" si="3939"/>
        <v>9.1407678244972562E-3</v>
      </c>
      <c r="N2649" s="14"/>
    </row>
    <row r="2650" spans="1:14" x14ac:dyDescent="0.25">
      <c r="A2650" s="20">
        <v>44616</v>
      </c>
      <c r="B2650" s="1">
        <f t="shared" ref="B2650" si="3952">B2642</f>
        <v>221</v>
      </c>
      <c r="C2650" s="1" t="s">
        <v>548</v>
      </c>
      <c r="D2650" s="1" t="s">
        <v>549</v>
      </c>
      <c r="E2650" s="26" t="e">
        <f t="shared" ref="E2650:F2650" si="3953">+E2649</f>
        <v>#REF!</v>
      </c>
      <c r="F2650" s="26" t="e">
        <f t="shared" si="3953"/>
        <v>#REF!</v>
      </c>
      <c r="G2650" s="17">
        <v>9</v>
      </c>
      <c r="H2650" s="17" t="s">
        <v>9</v>
      </c>
      <c r="I2650" s="30" t="s">
        <v>38</v>
      </c>
      <c r="J2650" s="22">
        <v>0.05</v>
      </c>
      <c r="K2650" s="22">
        <v>0</v>
      </c>
      <c r="L2650" s="8">
        <f t="shared" si="3941"/>
        <v>0.05</v>
      </c>
      <c r="M2650" s="24">
        <f t="shared" si="3939"/>
        <v>4.570383912248629E-3</v>
      </c>
      <c r="N2650" s="14"/>
    </row>
    <row r="2651" spans="1:14" x14ac:dyDescent="0.25">
      <c r="A2651" s="20">
        <v>44616</v>
      </c>
      <c r="B2651" s="1">
        <f t="shared" ref="B2651" si="3954">B2642</f>
        <v>221</v>
      </c>
      <c r="C2651" s="1" t="s">
        <v>548</v>
      </c>
      <c r="D2651" s="1" t="s">
        <v>549</v>
      </c>
      <c r="E2651" s="26" t="e">
        <f t="shared" ref="E2651:F2651" si="3955">+E2650</f>
        <v>#REF!</v>
      </c>
      <c r="F2651" s="26" t="e">
        <f t="shared" si="3955"/>
        <v>#REF!</v>
      </c>
      <c r="G2651" s="17">
        <v>10</v>
      </c>
      <c r="H2651" s="17" t="s">
        <v>9</v>
      </c>
      <c r="I2651" s="30" t="s">
        <v>23</v>
      </c>
      <c r="J2651" s="22">
        <v>0.65</v>
      </c>
      <c r="K2651" s="22">
        <v>0.55000000000000004</v>
      </c>
      <c r="L2651" s="8">
        <f t="shared" si="3941"/>
        <v>9.9999999999999978E-2</v>
      </c>
      <c r="M2651" s="24">
        <f t="shared" si="3939"/>
        <v>9.1407678244972562E-3</v>
      </c>
      <c r="N2651" s="14"/>
    </row>
    <row r="2652" spans="1:14" x14ac:dyDescent="0.25">
      <c r="A2652" s="20">
        <v>44616</v>
      </c>
      <c r="B2652" s="1">
        <f t="shared" ref="B2652" si="3956">B2642</f>
        <v>221</v>
      </c>
      <c r="C2652" s="1" t="s">
        <v>548</v>
      </c>
      <c r="D2652" s="1" t="s">
        <v>549</v>
      </c>
      <c r="E2652" s="26" t="e">
        <f t="shared" ref="E2652:F2652" si="3957">+E2651</f>
        <v>#REF!</v>
      </c>
      <c r="F2652" s="26" t="e">
        <f t="shared" si="3957"/>
        <v>#REF!</v>
      </c>
      <c r="G2652" s="17">
        <v>11</v>
      </c>
      <c r="H2652" s="17" t="s">
        <v>9</v>
      </c>
      <c r="I2652" s="30" t="s">
        <v>60</v>
      </c>
      <c r="J2652" s="22">
        <f>11.1+9.4+9.5+11.2+10</f>
        <v>51.2</v>
      </c>
      <c r="K2652" s="22">
        <f>8.55+8.55+8.55+8.55+8.5</f>
        <v>42.7</v>
      </c>
      <c r="L2652" s="8">
        <f t="shared" si="3941"/>
        <v>8.5</v>
      </c>
      <c r="M2652" s="24">
        <f t="shared" si="3939"/>
        <v>0.77696526508226693</v>
      </c>
      <c r="N2652" s="14"/>
    </row>
    <row r="2653" spans="1:14" ht="15.75" thickBot="1" x14ac:dyDescent="0.3">
      <c r="A2653" s="20">
        <v>44616</v>
      </c>
      <c r="B2653" s="57">
        <f t="shared" ref="B2653" si="3958">B2642</f>
        <v>221</v>
      </c>
      <c r="C2653" s="1" t="s">
        <v>548</v>
      </c>
      <c r="D2653" s="57" t="s">
        <v>549</v>
      </c>
      <c r="E2653" s="26" t="e">
        <f t="shared" ref="E2653:F2653" si="3959">+E2652</f>
        <v>#REF!</v>
      </c>
      <c r="F2653" s="26" t="e">
        <f t="shared" si="3959"/>
        <v>#REF!</v>
      </c>
      <c r="G2653" s="18">
        <f>+G2652+1</f>
        <v>12</v>
      </c>
      <c r="H2653" s="18" t="s">
        <v>10</v>
      </c>
      <c r="I2653" s="46" t="s">
        <v>10</v>
      </c>
      <c r="J2653" s="22">
        <f>10.05</f>
        <v>10.050000000000001</v>
      </c>
      <c r="K2653" s="63">
        <f>8.55</f>
        <v>8.5500000000000007</v>
      </c>
      <c r="L2653" s="8">
        <f t="shared" si="3941"/>
        <v>1.5</v>
      </c>
      <c r="M2653" s="24">
        <f t="shared" si="3939"/>
        <v>0.13711151736745888</v>
      </c>
      <c r="N2653" s="14"/>
    </row>
    <row r="2654" spans="1:14" x14ac:dyDescent="0.25">
      <c r="A2654" s="19">
        <v>44616</v>
      </c>
      <c r="B2654" s="15">
        <f t="shared" ref="B2654" si="3960">B2642+1</f>
        <v>222</v>
      </c>
      <c r="C2654" s="15" t="s">
        <v>550</v>
      </c>
      <c r="D2654" s="15" t="s">
        <v>551</v>
      </c>
      <c r="E2654" s="25">
        <f>24.4-1.2</f>
        <v>23.2</v>
      </c>
      <c r="F2654" s="25">
        <f>+SUM(L2654:L2665)</f>
        <v>22.359999999999992</v>
      </c>
      <c r="G2654" s="16">
        <v>1</v>
      </c>
      <c r="H2654" s="16" t="s">
        <v>9</v>
      </c>
      <c r="I2654" s="59" t="s">
        <v>56</v>
      </c>
      <c r="J2654" s="21">
        <v>0.7</v>
      </c>
      <c r="K2654" s="21">
        <v>0.5</v>
      </c>
      <c r="L2654" s="12">
        <f>+J2654-K2654</f>
        <v>0.19999999999999996</v>
      </c>
      <c r="M2654" s="23">
        <f t="shared" si="3939"/>
        <v>8.9445438282647598E-3</v>
      </c>
      <c r="N2654" s="13"/>
    </row>
    <row r="2655" spans="1:14" x14ac:dyDescent="0.25">
      <c r="A2655" s="20">
        <v>44616</v>
      </c>
      <c r="B2655" s="1">
        <f t="shared" ref="B2655" si="3961">B2654</f>
        <v>222</v>
      </c>
      <c r="C2655" s="1" t="s">
        <v>550</v>
      </c>
      <c r="D2655" s="1" t="s">
        <v>551</v>
      </c>
      <c r="E2655" s="26">
        <f>+E2654</f>
        <v>23.2</v>
      </c>
      <c r="F2655" s="28">
        <f>+(F2654-E2654)/E2654</f>
        <v>-3.6206896551724439E-2</v>
      </c>
      <c r="G2655" s="17">
        <v>2</v>
      </c>
      <c r="H2655" s="17" t="s">
        <v>9</v>
      </c>
      <c r="I2655" s="30" t="s">
        <v>57</v>
      </c>
      <c r="J2655" s="22">
        <f>1.15+9.5</f>
        <v>10.65</v>
      </c>
      <c r="K2655" s="22">
        <f>0.55+8.5</f>
        <v>9.0500000000000007</v>
      </c>
      <c r="L2655" s="8">
        <f t="shared" ref="L2655:L2665" si="3962">+J2655-K2655</f>
        <v>1.5999999999999996</v>
      </c>
      <c r="M2655" s="24">
        <f t="shared" si="3939"/>
        <v>7.1556350626118079E-2</v>
      </c>
      <c r="N2655" s="14"/>
    </row>
    <row r="2656" spans="1:14" x14ac:dyDescent="0.25">
      <c r="A2656" s="20">
        <v>44616</v>
      </c>
      <c r="B2656" s="1">
        <f t="shared" ref="B2656" si="3963">B2654</f>
        <v>222</v>
      </c>
      <c r="C2656" s="1" t="s">
        <v>550</v>
      </c>
      <c r="D2656" s="1" t="s">
        <v>551</v>
      </c>
      <c r="E2656" s="26" t="e">
        <f>+#REF!</f>
        <v>#REF!</v>
      </c>
      <c r="F2656" s="26" t="e">
        <f>+#REF!</f>
        <v>#REF!</v>
      </c>
      <c r="G2656" s="17">
        <v>3</v>
      </c>
      <c r="H2656" s="17" t="s">
        <v>9</v>
      </c>
      <c r="I2656" s="30" t="s">
        <v>58</v>
      </c>
      <c r="J2656" s="22">
        <f>11.25+13.1+10.6+12.05</f>
        <v>47</v>
      </c>
      <c r="K2656" s="22">
        <f>8.3+8.55+8.55+8.55</f>
        <v>33.950000000000003</v>
      </c>
      <c r="L2656" s="8">
        <f t="shared" si="3962"/>
        <v>13.049999999999997</v>
      </c>
      <c r="M2656" s="24">
        <f t="shared" si="3939"/>
        <v>0.58363148479427551</v>
      </c>
      <c r="N2656" s="14"/>
    </row>
    <row r="2657" spans="1:14" x14ac:dyDescent="0.25">
      <c r="A2657" s="20">
        <v>44616</v>
      </c>
      <c r="B2657" s="1">
        <f t="shared" ref="B2657" si="3964">B2654</f>
        <v>222</v>
      </c>
      <c r="C2657" s="1" t="s">
        <v>550</v>
      </c>
      <c r="D2657" s="1" t="s">
        <v>551</v>
      </c>
      <c r="E2657" s="26" t="e">
        <f t="shared" ref="E2657:F2657" si="3965">+E2656</f>
        <v>#REF!</v>
      </c>
      <c r="F2657" s="26" t="e">
        <f t="shared" si="3965"/>
        <v>#REF!</v>
      </c>
      <c r="G2657" s="17">
        <v>4</v>
      </c>
      <c r="H2657" s="17" t="s">
        <v>9</v>
      </c>
      <c r="I2657" s="30" t="s">
        <v>22</v>
      </c>
      <c r="J2657" s="22">
        <v>1.35</v>
      </c>
      <c r="K2657" s="22">
        <v>0.55000000000000004</v>
      </c>
      <c r="L2657" s="8">
        <f t="shared" si="3962"/>
        <v>0.8</v>
      </c>
      <c r="M2657" s="24">
        <f t="shared" si="3939"/>
        <v>3.5778175313059046E-2</v>
      </c>
      <c r="N2657" s="14"/>
    </row>
    <row r="2658" spans="1:14" x14ac:dyDescent="0.25">
      <c r="A2658" s="20">
        <v>44616</v>
      </c>
      <c r="B2658" s="1">
        <f t="shared" ref="B2658" si="3966">B2654</f>
        <v>222</v>
      </c>
      <c r="C2658" s="1" t="s">
        <v>550</v>
      </c>
      <c r="D2658" s="1" t="s">
        <v>551</v>
      </c>
      <c r="E2658" s="26" t="e">
        <f t="shared" ref="E2658:F2658" si="3967">+E2657</f>
        <v>#REF!</v>
      </c>
      <c r="F2658" s="26" t="e">
        <f t="shared" si="3967"/>
        <v>#REF!</v>
      </c>
      <c r="G2658" s="17">
        <v>5</v>
      </c>
      <c r="H2658" s="17" t="s">
        <v>9</v>
      </c>
      <c r="I2658" s="30" t="s">
        <v>34</v>
      </c>
      <c r="J2658" s="22">
        <v>0.75</v>
      </c>
      <c r="K2658" s="63">
        <v>0.55000000000000004</v>
      </c>
      <c r="L2658" s="8">
        <f t="shared" si="3962"/>
        <v>0.19999999999999996</v>
      </c>
      <c r="M2658" s="24">
        <f t="shared" si="3939"/>
        <v>8.9445438282647598E-3</v>
      </c>
      <c r="N2658" s="14"/>
    </row>
    <row r="2659" spans="1:14" x14ac:dyDescent="0.25">
      <c r="A2659" s="20">
        <v>44616</v>
      </c>
      <c r="B2659" s="1">
        <f t="shared" ref="B2659" si="3968">B2654</f>
        <v>222</v>
      </c>
      <c r="C2659" s="1" t="s">
        <v>550</v>
      </c>
      <c r="D2659" s="1" t="s">
        <v>551</v>
      </c>
      <c r="E2659" s="26" t="e">
        <f t="shared" ref="E2659:F2659" si="3969">+E2658</f>
        <v>#REF!</v>
      </c>
      <c r="F2659" s="26" t="e">
        <f t="shared" si="3969"/>
        <v>#REF!</v>
      </c>
      <c r="G2659" s="17">
        <v>6</v>
      </c>
      <c r="H2659" s="17" t="s">
        <v>9</v>
      </c>
      <c r="I2659" s="30" t="s">
        <v>35</v>
      </c>
      <c r="J2659" s="22"/>
      <c r="K2659" s="22"/>
      <c r="L2659" s="8">
        <f t="shared" si="3962"/>
        <v>0</v>
      </c>
      <c r="M2659" s="24">
        <f t="shared" si="3939"/>
        <v>0</v>
      </c>
      <c r="N2659" s="14"/>
    </row>
    <row r="2660" spans="1:14" x14ac:dyDescent="0.25">
      <c r="A2660" s="20">
        <v>44616</v>
      </c>
      <c r="B2660" s="1">
        <f t="shared" ref="B2660" si="3970">B2654</f>
        <v>222</v>
      </c>
      <c r="C2660" s="1" t="s">
        <v>550</v>
      </c>
      <c r="D2660" s="1" t="s">
        <v>551</v>
      </c>
      <c r="E2660" s="26" t="e">
        <f t="shared" ref="E2660:F2660" si="3971">+E2659</f>
        <v>#REF!</v>
      </c>
      <c r="F2660" s="26" t="e">
        <f t="shared" si="3971"/>
        <v>#REF!</v>
      </c>
      <c r="G2660" s="17">
        <v>7</v>
      </c>
      <c r="H2660" s="17" t="s">
        <v>9</v>
      </c>
      <c r="I2660" s="30" t="s">
        <v>36</v>
      </c>
      <c r="J2660" s="22"/>
      <c r="K2660" s="22"/>
      <c r="L2660" s="8">
        <f t="shared" si="3962"/>
        <v>0</v>
      </c>
      <c r="M2660" s="24">
        <f t="shared" si="3939"/>
        <v>0</v>
      </c>
      <c r="N2660" s="14"/>
    </row>
    <row r="2661" spans="1:14" x14ac:dyDescent="0.25">
      <c r="A2661" s="20">
        <v>44616</v>
      </c>
      <c r="B2661" s="1">
        <f t="shared" ref="B2661" si="3972">B2654</f>
        <v>222</v>
      </c>
      <c r="C2661" s="1" t="s">
        <v>550</v>
      </c>
      <c r="D2661" s="1" t="s">
        <v>551</v>
      </c>
      <c r="E2661" s="26" t="e">
        <f>+E2660</f>
        <v>#REF!</v>
      </c>
      <c r="F2661" s="26" t="e">
        <f>+F2660</f>
        <v>#REF!</v>
      </c>
      <c r="G2661" s="17">
        <v>8</v>
      </c>
      <c r="H2661" s="17" t="s">
        <v>9</v>
      </c>
      <c r="I2661" s="30" t="s">
        <v>59</v>
      </c>
      <c r="J2661" s="22">
        <v>0.8</v>
      </c>
      <c r="K2661" s="22">
        <v>0.5</v>
      </c>
      <c r="L2661" s="8">
        <f t="shared" si="3962"/>
        <v>0.30000000000000004</v>
      </c>
      <c r="M2661" s="24">
        <f t="shared" si="3939"/>
        <v>1.3416815742397144E-2</v>
      </c>
      <c r="N2661" s="14"/>
    </row>
    <row r="2662" spans="1:14" x14ac:dyDescent="0.25">
      <c r="A2662" s="20">
        <v>44616</v>
      </c>
      <c r="B2662" s="1">
        <f t="shared" ref="B2662" si="3973">B2654</f>
        <v>222</v>
      </c>
      <c r="C2662" s="1" t="s">
        <v>550</v>
      </c>
      <c r="D2662" s="1" t="s">
        <v>551</v>
      </c>
      <c r="E2662" s="26" t="e">
        <f t="shared" ref="E2662:F2662" si="3974">+E2661</f>
        <v>#REF!</v>
      </c>
      <c r="F2662" s="26" t="e">
        <f t="shared" si="3974"/>
        <v>#REF!</v>
      </c>
      <c r="G2662" s="17">
        <v>9</v>
      </c>
      <c r="H2662" s="17" t="s">
        <v>9</v>
      </c>
      <c r="I2662" s="30" t="s">
        <v>38</v>
      </c>
      <c r="J2662" s="22"/>
      <c r="K2662" s="22"/>
      <c r="L2662" s="8">
        <f t="shared" si="3962"/>
        <v>0</v>
      </c>
      <c r="M2662" s="24">
        <f t="shared" si="3939"/>
        <v>0</v>
      </c>
      <c r="N2662" s="14"/>
    </row>
    <row r="2663" spans="1:14" x14ac:dyDescent="0.25">
      <c r="A2663" s="20">
        <v>44616</v>
      </c>
      <c r="B2663" s="1">
        <f t="shared" ref="B2663" si="3975">B2654</f>
        <v>222</v>
      </c>
      <c r="C2663" s="1" t="s">
        <v>550</v>
      </c>
      <c r="D2663" s="1" t="s">
        <v>551</v>
      </c>
      <c r="E2663" s="26" t="e">
        <f t="shared" ref="E2663:F2663" si="3976">+E2662</f>
        <v>#REF!</v>
      </c>
      <c r="F2663" s="26" t="e">
        <f t="shared" si="3976"/>
        <v>#REF!</v>
      </c>
      <c r="G2663" s="17">
        <v>10</v>
      </c>
      <c r="H2663" s="17" t="s">
        <v>9</v>
      </c>
      <c r="I2663" s="30" t="s">
        <v>23</v>
      </c>
      <c r="J2663" s="22">
        <v>2.0499999999999998</v>
      </c>
      <c r="K2663" s="22">
        <v>0.55000000000000004</v>
      </c>
      <c r="L2663" s="8">
        <f t="shared" si="3962"/>
        <v>1.4999999999999998</v>
      </c>
      <c r="M2663" s="24">
        <f t="shared" si="3939"/>
        <v>6.7084078711985698E-2</v>
      </c>
      <c r="N2663" s="14"/>
    </row>
    <row r="2664" spans="1:14" x14ac:dyDescent="0.25">
      <c r="A2664" s="20">
        <v>44616</v>
      </c>
      <c r="B2664" s="1">
        <f t="shared" ref="B2664" si="3977">B2654</f>
        <v>222</v>
      </c>
      <c r="C2664" s="1" t="s">
        <v>550</v>
      </c>
      <c r="D2664" s="1" t="s">
        <v>551</v>
      </c>
      <c r="E2664" s="26" t="e">
        <f t="shared" ref="E2664:F2664" si="3978">+E2663</f>
        <v>#REF!</v>
      </c>
      <c r="F2664" s="26" t="e">
        <f t="shared" si="3978"/>
        <v>#REF!</v>
      </c>
      <c r="G2664" s="17">
        <v>11</v>
      </c>
      <c r="H2664" s="17" t="s">
        <v>9</v>
      </c>
      <c r="I2664" s="30" t="s">
        <v>60</v>
      </c>
      <c r="J2664" s="22">
        <f>8.85</f>
        <v>8.85</v>
      </c>
      <c r="K2664" s="22">
        <v>8.5500000000000007</v>
      </c>
      <c r="L2664" s="8">
        <f t="shared" si="3962"/>
        <v>0.29999999999999893</v>
      </c>
      <c r="M2664" s="24">
        <f t="shared" si="3939"/>
        <v>1.3416815742397096E-2</v>
      </c>
      <c r="N2664" s="14"/>
    </row>
    <row r="2665" spans="1:14" ht="15.75" thickBot="1" x14ac:dyDescent="0.3">
      <c r="A2665" s="20">
        <v>44616</v>
      </c>
      <c r="B2665" s="57">
        <f t="shared" ref="B2665" si="3979">B2654</f>
        <v>222</v>
      </c>
      <c r="C2665" s="1" t="s">
        <v>550</v>
      </c>
      <c r="D2665" s="57" t="s">
        <v>551</v>
      </c>
      <c r="E2665" s="26" t="e">
        <f t="shared" ref="E2665:F2665" si="3980">+E2664</f>
        <v>#REF!</v>
      </c>
      <c r="F2665" s="26" t="e">
        <f t="shared" si="3980"/>
        <v>#REF!</v>
      </c>
      <c r="G2665" s="18">
        <f>+G2664+1</f>
        <v>12</v>
      </c>
      <c r="H2665" s="18" t="s">
        <v>10</v>
      </c>
      <c r="I2665" s="46" t="s">
        <v>10</v>
      </c>
      <c r="J2665" s="22">
        <f>9.85+9.66+10.5</f>
        <v>30.009999999999998</v>
      </c>
      <c r="K2665" s="63">
        <f>8.5+8.55+8.55</f>
        <v>25.6</v>
      </c>
      <c r="L2665" s="8">
        <f t="shared" si="3962"/>
        <v>4.4099999999999966</v>
      </c>
      <c r="M2665" s="24">
        <f t="shared" si="3939"/>
        <v>0.19722719141323783</v>
      </c>
      <c r="N2665" s="14"/>
    </row>
    <row r="2666" spans="1:14" x14ac:dyDescent="0.25">
      <c r="A2666" s="19">
        <v>44616</v>
      </c>
      <c r="B2666" s="15">
        <f t="shared" ref="B2666" si="3981">B2654+1</f>
        <v>223</v>
      </c>
      <c r="C2666" s="15" t="s">
        <v>552</v>
      </c>
      <c r="D2666" s="15" t="s">
        <v>553</v>
      </c>
      <c r="E2666" s="25">
        <f>30.2-1.2</f>
        <v>29</v>
      </c>
      <c r="F2666" s="25">
        <f>+SUM(L2666:L2677)</f>
        <v>28.849999999999994</v>
      </c>
      <c r="G2666" s="16">
        <v>1</v>
      </c>
      <c r="H2666" s="16" t="s">
        <v>9</v>
      </c>
      <c r="I2666" s="59" t="s">
        <v>56</v>
      </c>
      <c r="J2666" s="21"/>
      <c r="K2666" s="21"/>
      <c r="L2666" s="12">
        <f>+J2666-K2666</f>
        <v>0</v>
      </c>
      <c r="M2666" s="23">
        <f t="shared" si="3939"/>
        <v>0</v>
      </c>
      <c r="N2666" s="13"/>
    </row>
    <row r="2667" spans="1:14" x14ac:dyDescent="0.25">
      <c r="A2667" s="20">
        <v>44616</v>
      </c>
      <c r="B2667" s="1">
        <f t="shared" ref="B2667" si="3982">B2666</f>
        <v>223</v>
      </c>
      <c r="C2667" s="1" t="s">
        <v>552</v>
      </c>
      <c r="D2667" s="1" t="s">
        <v>553</v>
      </c>
      <c r="E2667" s="26">
        <f>+E2666</f>
        <v>29</v>
      </c>
      <c r="F2667" s="28">
        <f>+(F2666-E2666)/E2666</f>
        <v>-5.1724137931036442E-3</v>
      </c>
      <c r="G2667" s="17">
        <v>2</v>
      </c>
      <c r="H2667" s="17" t="s">
        <v>9</v>
      </c>
      <c r="I2667" s="30" t="s">
        <v>57</v>
      </c>
      <c r="J2667" s="22">
        <v>1.85</v>
      </c>
      <c r="K2667" s="22">
        <v>1.1000000000000001</v>
      </c>
      <c r="L2667" s="8">
        <f t="shared" ref="L2667:L2677" si="3983">+J2667-K2667</f>
        <v>0.75</v>
      </c>
      <c r="M2667" s="24">
        <f t="shared" si="3939"/>
        <v>2.599653379549394E-2</v>
      </c>
      <c r="N2667" s="14"/>
    </row>
    <row r="2668" spans="1:14" x14ac:dyDescent="0.25">
      <c r="A2668" s="20">
        <v>44616</v>
      </c>
      <c r="B2668" s="1">
        <f t="shared" ref="B2668" si="3984">B2666</f>
        <v>223</v>
      </c>
      <c r="C2668" s="1" t="s">
        <v>552</v>
      </c>
      <c r="D2668" s="1" t="s">
        <v>553</v>
      </c>
      <c r="E2668" s="26" t="e">
        <f>+#REF!</f>
        <v>#REF!</v>
      </c>
      <c r="F2668" s="26" t="e">
        <f>+#REF!</f>
        <v>#REF!</v>
      </c>
      <c r="G2668" s="17">
        <v>3</v>
      </c>
      <c r="H2668" s="17" t="s">
        <v>9</v>
      </c>
      <c r="I2668" s="30" t="s">
        <v>58</v>
      </c>
      <c r="J2668" s="22">
        <v>9.75</v>
      </c>
      <c r="K2668" s="22">
        <v>8.5500000000000007</v>
      </c>
      <c r="L2668" s="8">
        <f t="shared" si="3983"/>
        <v>1.1999999999999993</v>
      </c>
      <c r="M2668" s="24">
        <f t="shared" si="3939"/>
        <v>4.1594454072790277E-2</v>
      </c>
      <c r="N2668" s="14"/>
    </row>
    <row r="2669" spans="1:14" x14ac:dyDescent="0.25">
      <c r="A2669" s="20">
        <v>44616</v>
      </c>
      <c r="B2669" s="1">
        <f t="shared" ref="B2669" si="3985">B2666</f>
        <v>223</v>
      </c>
      <c r="C2669" s="1" t="s">
        <v>552</v>
      </c>
      <c r="D2669" s="1" t="s">
        <v>553</v>
      </c>
      <c r="E2669" s="26" t="e">
        <f t="shared" ref="E2669:F2669" si="3986">+E2668</f>
        <v>#REF!</v>
      </c>
      <c r="F2669" s="26" t="e">
        <f t="shared" si="3986"/>
        <v>#REF!</v>
      </c>
      <c r="G2669" s="17">
        <v>4</v>
      </c>
      <c r="H2669" s="17" t="s">
        <v>9</v>
      </c>
      <c r="I2669" s="30" t="s">
        <v>22</v>
      </c>
      <c r="J2669" s="22">
        <f>13.2+18.05+10.4+11.6</f>
        <v>53.25</v>
      </c>
      <c r="K2669" s="22">
        <f>8.55+8.55+8.55+8.5</f>
        <v>34.150000000000006</v>
      </c>
      <c r="L2669" s="8">
        <f t="shared" si="3983"/>
        <v>19.099999999999994</v>
      </c>
      <c r="M2669" s="24">
        <f t="shared" si="3939"/>
        <v>0.66204506065857882</v>
      </c>
      <c r="N2669" s="14"/>
    </row>
    <row r="2670" spans="1:14" x14ac:dyDescent="0.25">
      <c r="A2670" s="20">
        <v>44616</v>
      </c>
      <c r="B2670" s="1">
        <f t="shared" ref="B2670" si="3987">B2666</f>
        <v>223</v>
      </c>
      <c r="C2670" s="1" t="s">
        <v>552</v>
      </c>
      <c r="D2670" s="1" t="s">
        <v>553</v>
      </c>
      <c r="E2670" s="26" t="e">
        <f t="shared" ref="E2670:F2670" si="3988">+E2669</f>
        <v>#REF!</v>
      </c>
      <c r="F2670" s="26" t="e">
        <f t="shared" si="3988"/>
        <v>#REF!</v>
      </c>
      <c r="G2670" s="17">
        <v>5</v>
      </c>
      <c r="H2670" s="17" t="s">
        <v>9</v>
      </c>
      <c r="I2670" s="30" t="s">
        <v>34</v>
      </c>
      <c r="J2670" s="22">
        <v>0.05</v>
      </c>
      <c r="K2670" s="63">
        <v>0</v>
      </c>
      <c r="L2670" s="8">
        <f t="shared" si="3983"/>
        <v>0.05</v>
      </c>
      <c r="M2670" s="24">
        <f t="shared" si="3939"/>
        <v>1.7331022530329293E-3</v>
      </c>
      <c r="N2670" s="14"/>
    </row>
    <row r="2671" spans="1:14" x14ac:dyDescent="0.25">
      <c r="A2671" s="20">
        <v>44616</v>
      </c>
      <c r="B2671" s="1">
        <f t="shared" ref="B2671" si="3989">B2666</f>
        <v>223</v>
      </c>
      <c r="C2671" s="1" t="s">
        <v>552</v>
      </c>
      <c r="D2671" s="1" t="s">
        <v>553</v>
      </c>
      <c r="E2671" s="26" t="e">
        <f t="shared" ref="E2671:F2671" si="3990">+E2670</f>
        <v>#REF!</v>
      </c>
      <c r="F2671" s="26" t="e">
        <f t="shared" si="3990"/>
        <v>#REF!</v>
      </c>
      <c r="G2671" s="17">
        <v>6</v>
      </c>
      <c r="H2671" s="17" t="s">
        <v>9</v>
      </c>
      <c r="I2671" s="30" t="s">
        <v>35</v>
      </c>
      <c r="J2671" s="22"/>
      <c r="K2671" s="22"/>
      <c r="L2671" s="8">
        <f t="shared" si="3983"/>
        <v>0</v>
      </c>
      <c r="M2671" s="24">
        <f t="shared" si="3939"/>
        <v>0</v>
      </c>
      <c r="N2671" s="14"/>
    </row>
    <row r="2672" spans="1:14" x14ac:dyDescent="0.25">
      <c r="A2672" s="20">
        <v>44616</v>
      </c>
      <c r="B2672" s="1">
        <f t="shared" ref="B2672" si="3991">B2666</f>
        <v>223</v>
      </c>
      <c r="C2672" s="1" t="s">
        <v>552</v>
      </c>
      <c r="D2672" s="1" t="s">
        <v>553</v>
      </c>
      <c r="E2672" s="26" t="e">
        <f t="shared" ref="E2672:F2672" si="3992">+E2671</f>
        <v>#REF!</v>
      </c>
      <c r="F2672" s="26" t="e">
        <f t="shared" si="3992"/>
        <v>#REF!</v>
      </c>
      <c r="G2672" s="17">
        <v>7</v>
      </c>
      <c r="H2672" s="17" t="s">
        <v>9</v>
      </c>
      <c r="I2672" s="30" t="s">
        <v>36</v>
      </c>
      <c r="J2672" s="22"/>
      <c r="K2672" s="22"/>
      <c r="L2672" s="8">
        <f t="shared" si="3983"/>
        <v>0</v>
      </c>
      <c r="M2672" s="24">
        <f t="shared" si="3939"/>
        <v>0</v>
      </c>
      <c r="N2672" s="14"/>
    </row>
    <row r="2673" spans="1:14" x14ac:dyDescent="0.25">
      <c r="A2673" s="20">
        <v>44616</v>
      </c>
      <c r="B2673" s="1">
        <f t="shared" ref="B2673" si="3993">B2666</f>
        <v>223</v>
      </c>
      <c r="C2673" s="1" t="s">
        <v>552</v>
      </c>
      <c r="D2673" s="1" t="s">
        <v>553</v>
      </c>
      <c r="E2673" s="26" t="e">
        <f>+E2672</f>
        <v>#REF!</v>
      </c>
      <c r="F2673" s="26" t="e">
        <f>+F2672</f>
        <v>#REF!</v>
      </c>
      <c r="G2673" s="17">
        <v>8</v>
      </c>
      <c r="H2673" s="17" t="s">
        <v>9</v>
      </c>
      <c r="I2673" s="30" t="s">
        <v>59</v>
      </c>
      <c r="J2673" s="22">
        <v>1.4</v>
      </c>
      <c r="K2673" s="22">
        <v>0.55000000000000004</v>
      </c>
      <c r="L2673" s="8">
        <f t="shared" si="3983"/>
        <v>0.84999999999999987</v>
      </c>
      <c r="M2673" s="24">
        <f t="shared" si="3939"/>
        <v>2.9462738301559793E-2</v>
      </c>
      <c r="N2673" s="14"/>
    </row>
    <row r="2674" spans="1:14" x14ac:dyDescent="0.25">
      <c r="A2674" s="20">
        <v>44616</v>
      </c>
      <c r="B2674" s="1">
        <f t="shared" ref="B2674" si="3994">B2666</f>
        <v>223</v>
      </c>
      <c r="C2674" s="1" t="s">
        <v>552</v>
      </c>
      <c r="D2674" s="1" t="s">
        <v>553</v>
      </c>
      <c r="E2674" s="26" t="e">
        <f t="shared" ref="E2674:F2674" si="3995">+E2673</f>
        <v>#REF!</v>
      </c>
      <c r="F2674" s="26" t="e">
        <f t="shared" si="3995"/>
        <v>#REF!</v>
      </c>
      <c r="G2674" s="17">
        <v>9</v>
      </c>
      <c r="H2674" s="17" t="s">
        <v>9</v>
      </c>
      <c r="I2674" s="30" t="s">
        <v>38</v>
      </c>
      <c r="J2674" s="22"/>
      <c r="K2674" s="22"/>
      <c r="L2674" s="8">
        <f t="shared" si="3983"/>
        <v>0</v>
      </c>
      <c r="M2674" s="24">
        <f t="shared" si="3939"/>
        <v>0</v>
      </c>
      <c r="N2674" s="14"/>
    </row>
    <row r="2675" spans="1:14" x14ac:dyDescent="0.25">
      <c r="A2675" s="20">
        <v>44616</v>
      </c>
      <c r="B2675" s="1">
        <f t="shared" ref="B2675" si="3996">B2666</f>
        <v>223</v>
      </c>
      <c r="C2675" s="1" t="s">
        <v>552</v>
      </c>
      <c r="D2675" s="1" t="s">
        <v>553</v>
      </c>
      <c r="E2675" s="26" t="e">
        <f t="shared" ref="E2675:F2675" si="3997">+E2674</f>
        <v>#REF!</v>
      </c>
      <c r="F2675" s="26" t="e">
        <f t="shared" si="3997"/>
        <v>#REF!</v>
      </c>
      <c r="G2675" s="17">
        <v>10</v>
      </c>
      <c r="H2675" s="17" t="s">
        <v>9</v>
      </c>
      <c r="I2675" s="30" t="s">
        <v>23</v>
      </c>
      <c r="J2675" s="22">
        <f>1.8</f>
        <v>1.8</v>
      </c>
      <c r="K2675" s="22">
        <f>0.55</f>
        <v>0.55000000000000004</v>
      </c>
      <c r="L2675" s="8">
        <f t="shared" si="3983"/>
        <v>1.25</v>
      </c>
      <c r="M2675" s="24">
        <f t="shared" si="3939"/>
        <v>4.3327556325823233E-2</v>
      </c>
      <c r="N2675" s="14"/>
    </row>
    <row r="2676" spans="1:14" x14ac:dyDescent="0.25">
      <c r="A2676" s="20">
        <v>44616</v>
      </c>
      <c r="B2676" s="1">
        <f t="shared" ref="B2676" si="3998">B2666</f>
        <v>223</v>
      </c>
      <c r="C2676" s="1" t="s">
        <v>552</v>
      </c>
      <c r="D2676" s="1" t="s">
        <v>553</v>
      </c>
      <c r="E2676" s="26" t="e">
        <f t="shared" ref="E2676:F2676" si="3999">+E2675</f>
        <v>#REF!</v>
      </c>
      <c r="F2676" s="26" t="e">
        <f t="shared" si="3999"/>
        <v>#REF!</v>
      </c>
      <c r="G2676" s="17">
        <v>11</v>
      </c>
      <c r="H2676" s="17" t="s">
        <v>9</v>
      </c>
      <c r="I2676" s="30" t="s">
        <v>60</v>
      </c>
      <c r="J2676" s="22">
        <f>8.9+9.05</f>
        <v>17.950000000000003</v>
      </c>
      <c r="K2676" s="22">
        <f>8.3+8.55</f>
        <v>16.850000000000001</v>
      </c>
      <c r="L2676" s="8">
        <f t="shared" si="3983"/>
        <v>1.1000000000000014</v>
      </c>
      <c r="M2676" s="24">
        <f t="shared" si="3939"/>
        <v>3.8128249566724497E-2</v>
      </c>
      <c r="N2676" s="14"/>
    </row>
    <row r="2677" spans="1:14" ht="15.75" thickBot="1" x14ac:dyDescent="0.3">
      <c r="A2677" s="20">
        <v>44616</v>
      </c>
      <c r="B2677" s="57">
        <f t="shared" ref="B2677" si="4000">B2666</f>
        <v>223</v>
      </c>
      <c r="C2677" s="1" t="s">
        <v>552</v>
      </c>
      <c r="D2677" s="57" t="s">
        <v>553</v>
      </c>
      <c r="E2677" s="26" t="e">
        <f t="shared" ref="E2677:F2677" si="4001">+E2676</f>
        <v>#REF!</v>
      </c>
      <c r="F2677" s="26" t="e">
        <f t="shared" si="4001"/>
        <v>#REF!</v>
      </c>
      <c r="G2677" s="18">
        <f>+G2676+1</f>
        <v>12</v>
      </c>
      <c r="H2677" s="18" t="s">
        <v>10</v>
      </c>
      <c r="I2677" s="46" t="s">
        <v>10</v>
      </c>
      <c r="J2677" s="22">
        <f>10.2+11.45</f>
        <v>21.65</v>
      </c>
      <c r="K2677" s="63">
        <f>8.55+8.55</f>
        <v>17.100000000000001</v>
      </c>
      <c r="L2677" s="8">
        <f t="shared" si="3983"/>
        <v>4.5499999999999972</v>
      </c>
      <c r="M2677" s="24">
        <f t="shared" si="3939"/>
        <v>0.15771230502599648</v>
      </c>
      <c r="N2677" s="14"/>
    </row>
    <row r="2678" spans="1:14" x14ac:dyDescent="0.25">
      <c r="A2678" s="19">
        <v>44616</v>
      </c>
      <c r="B2678" s="15">
        <f t="shared" ref="B2678" si="4002">B2666+1</f>
        <v>224</v>
      </c>
      <c r="C2678" s="15" t="s">
        <v>554</v>
      </c>
      <c r="D2678" s="15" t="s">
        <v>555</v>
      </c>
      <c r="E2678" s="25">
        <f>20-1.2</f>
        <v>18.8</v>
      </c>
      <c r="F2678" s="25">
        <f>+SUM(L2678:L2689)</f>
        <v>18.300000000000004</v>
      </c>
      <c r="G2678" s="16">
        <v>1</v>
      </c>
      <c r="H2678" s="16" t="s">
        <v>9</v>
      </c>
      <c r="I2678" s="59" t="s">
        <v>56</v>
      </c>
      <c r="J2678" s="21">
        <v>1.1000000000000001</v>
      </c>
      <c r="K2678" s="21">
        <v>0.55000000000000004</v>
      </c>
      <c r="L2678" s="12">
        <f>+J2678-K2678</f>
        <v>0.55000000000000004</v>
      </c>
      <c r="M2678" s="23">
        <f t="shared" si="3939"/>
        <v>3.0054644808743165E-2</v>
      </c>
      <c r="N2678" s="13"/>
    </row>
    <row r="2679" spans="1:14" x14ac:dyDescent="0.25">
      <c r="A2679" s="20">
        <v>44616</v>
      </c>
      <c r="B2679" s="1">
        <f t="shared" ref="B2679" si="4003">B2678</f>
        <v>224</v>
      </c>
      <c r="C2679" s="1" t="s">
        <v>554</v>
      </c>
      <c r="D2679" s="1" t="s">
        <v>555</v>
      </c>
      <c r="E2679" s="26">
        <f>+E2678</f>
        <v>18.8</v>
      </c>
      <c r="F2679" s="28">
        <f>+(F2678-E2678)/E2678</f>
        <v>-2.6595744680850873E-2</v>
      </c>
      <c r="G2679" s="17">
        <v>2</v>
      </c>
      <c r="H2679" s="17" t="s">
        <v>9</v>
      </c>
      <c r="I2679" s="30" t="s">
        <v>57</v>
      </c>
      <c r="J2679" s="22">
        <f>12.45+9.95+10.8+12.9+11.5</f>
        <v>57.6</v>
      </c>
      <c r="K2679" s="22">
        <f>8.55+8.55+8.55+8.55+8.55</f>
        <v>42.75</v>
      </c>
      <c r="L2679" s="8">
        <f t="shared" ref="L2679:L2689" si="4004">+J2679-K2679</f>
        <v>14.850000000000001</v>
      </c>
      <c r="M2679" s="24">
        <f t="shared" si="3939"/>
        <v>0.81147540983606548</v>
      </c>
      <c r="N2679" s="14"/>
    </row>
    <row r="2680" spans="1:14" x14ac:dyDescent="0.25">
      <c r="A2680" s="20">
        <v>44616</v>
      </c>
      <c r="B2680" s="1">
        <f t="shared" ref="B2680" si="4005">B2678</f>
        <v>224</v>
      </c>
      <c r="C2680" s="1" t="s">
        <v>554</v>
      </c>
      <c r="D2680" s="1" t="s">
        <v>555</v>
      </c>
      <c r="E2680" s="26" t="e">
        <f>+#REF!</f>
        <v>#REF!</v>
      </c>
      <c r="F2680" s="26" t="e">
        <f>+#REF!</f>
        <v>#REF!</v>
      </c>
      <c r="G2680" s="17">
        <v>3</v>
      </c>
      <c r="H2680" s="17" t="s">
        <v>9</v>
      </c>
      <c r="I2680" s="30" t="s">
        <v>58</v>
      </c>
      <c r="J2680" s="22">
        <v>1.1000000000000001</v>
      </c>
      <c r="K2680" s="22">
        <v>0.55000000000000004</v>
      </c>
      <c r="L2680" s="8">
        <f t="shared" si="4004"/>
        <v>0.55000000000000004</v>
      </c>
      <c r="M2680" s="24">
        <f t="shared" si="3939"/>
        <v>3.0054644808743165E-2</v>
      </c>
      <c r="N2680" s="14"/>
    </row>
    <row r="2681" spans="1:14" x14ac:dyDescent="0.25">
      <c r="A2681" s="20">
        <v>44616</v>
      </c>
      <c r="B2681" s="1">
        <f t="shared" ref="B2681" si="4006">B2678</f>
        <v>224</v>
      </c>
      <c r="C2681" s="1" t="s">
        <v>554</v>
      </c>
      <c r="D2681" s="1" t="s">
        <v>555</v>
      </c>
      <c r="E2681" s="26" t="e">
        <f t="shared" ref="E2681:F2681" si="4007">+E2680</f>
        <v>#REF!</v>
      </c>
      <c r="F2681" s="26" t="e">
        <f t="shared" si="4007"/>
        <v>#REF!</v>
      </c>
      <c r="G2681" s="17">
        <v>4</v>
      </c>
      <c r="H2681" s="17" t="s">
        <v>9</v>
      </c>
      <c r="I2681" s="30" t="s">
        <v>22</v>
      </c>
      <c r="J2681" s="22">
        <v>0.1</v>
      </c>
      <c r="K2681" s="22">
        <v>0</v>
      </c>
      <c r="L2681" s="8">
        <f t="shared" si="4004"/>
        <v>0.1</v>
      </c>
      <c r="M2681" s="24">
        <f t="shared" si="3939"/>
        <v>5.464480874316939E-3</v>
      </c>
      <c r="N2681" s="14"/>
    </row>
    <row r="2682" spans="1:14" x14ac:dyDescent="0.25">
      <c r="A2682" s="20">
        <v>44616</v>
      </c>
      <c r="B2682" s="1">
        <f t="shared" ref="B2682" si="4008">B2678</f>
        <v>224</v>
      </c>
      <c r="C2682" s="1" t="s">
        <v>554</v>
      </c>
      <c r="D2682" s="1" t="s">
        <v>555</v>
      </c>
      <c r="E2682" s="26" t="e">
        <f t="shared" ref="E2682:F2682" si="4009">+E2681</f>
        <v>#REF!</v>
      </c>
      <c r="F2682" s="26" t="e">
        <f t="shared" si="4009"/>
        <v>#REF!</v>
      </c>
      <c r="G2682" s="17">
        <v>5</v>
      </c>
      <c r="H2682" s="17" t="s">
        <v>9</v>
      </c>
      <c r="I2682" s="30" t="s">
        <v>34</v>
      </c>
      <c r="J2682" s="22">
        <v>0.6</v>
      </c>
      <c r="K2682" s="63">
        <v>0.55000000000000004</v>
      </c>
      <c r="L2682" s="8">
        <f t="shared" si="4004"/>
        <v>4.9999999999999933E-2</v>
      </c>
      <c r="M2682" s="24">
        <f t="shared" si="3939"/>
        <v>2.7322404371584656E-3</v>
      </c>
      <c r="N2682" s="14"/>
    </row>
    <row r="2683" spans="1:14" x14ac:dyDescent="0.25">
      <c r="A2683" s="20">
        <v>44616</v>
      </c>
      <c r="B2683" s="1">
        <f t="shared" ref="B2683" si="4010">B2678</f>
        <v>224</v>
      </c>
      <c r="C2683" s="1" t="s">
        <v>554</v>
      </c>
      <c r="D2683" s="1" t="s">
        <v>555</v>
      </c>
      <c r="E2683" s="26" t="e">
        <f t="shared" ref="E2683:F2683" si="4011">+E2682</f>
        <v>#REF!</v>
      </c>
      <c r="F2683" s="26" t="e">
        <f t="shared" si="4011"/>
        <v>#REF!</v>
      </c>
      <c r="G2683" s="17">
        <v>6</v>
      </c>
      <c r="H2683" s="17" t="s">
        <v>9</v>
      </c>
      <c r="I2683" s="30" t="s">
        <v>35</v>
      </c>
      <c r="J2683" s="22"/>
      <c r="K2683" s="22"/>
      <c r="L2683" s="8">
        <f t="shared" si="4004"/>
        <v>0</v>
      </c>
      <c r="M2683" s="24">
        <f t="shared" si="3939"/>
        <v>0</v>
      </c>
      <c r="N2683" s="14"/>
    </row>
    <row r="2684" spans="1:14" x14ac:dyDescent="0.25">
      <c r="A2684" s="20">
        <v>44616</v>
      </c>
      <c r="B2684" s="1">
        <f t="shared" ref="B2684" si="4012">B2678</f>
        <v>224</v>
      </c>
      <c r="C2684" s="1" t="s">
        <v>554</v>
      </c>
      <c r="D2684" s="1" t="s">
        <v>555</v>
      </c>
      <c r="E2684" s="26" t="e">
        <f t="shared" ref="E2684:F2684" si="4013">+E2683</f>
        <v>#REF!</v>
      </c>
      <c r="F2684" s="26" t="e">
        <f t="shared" si="4013"/>
        <v>#REF!</v>
      </c>
      <c r="G2684" s="17">
        <v>7</v>
      </c>
      <c r="H2684" s="17" t="s">
        <v>9</v>
      </c>
      <c r="I2684" s="30" t="s">
        <v>36</v>
      </c>
      <c r="J2684" s="22"/>
      <c r="K2684" s="22"/>
      <c r="L2684" s="8">
        <f t="shared" si="4004"/>
        <v>0</v>
      </c>
      <c r="M2684" s="24">
        <f t="shared" si="3939"/>
        <v>0</v>
      </c>
      <c r="N2684" s="14"/>
    </row>
    <row r="2685" spans="1:14" x14ac:dyDescent="0.25">
      <c r="A2685" s="20">
        <v>44616</v>
      </c>
      <c r="B2685" s="1">
        <f t="shared" ref="B2685" si="4014">B2678</f>
        <v>224</v>
      </c>
      <c r="C2685" s="1" t="s">
        <v>554</v>
      </c>
      <c r="D2685" s="1" t="s">
        <v>555</v>
      </c>
      <c r="E2685" s="26" t="e">
        <f>+E2684</f>
        <v>#REF!</v>
      </c>
      <c r="F2685" s="26" t="e">
        <f>+F2684</f>
        <v>#REF!</v>
      </c>
      <c r="G2685" s="17">
        <v>8</v>
      </c>
      <c r="H2685" s="17" t="s">
        <v>9</v>
      </c>
      <c r="I2685" s="30" t="s">
        <v>59</v>
      </c>
      <c r="J2685" s="22">
        <v>1.45</v>
      </c>
      <c r="K2685" s="22">
        <v>0.55000000000000004</v>
      </c>
      <c r="L2685" s="8">
        <f t="shared" si="4004"/>
        <v>0.89999999999999991</v>
      </c>
      <c r="M2685" s="24">
        <f t="shared" si="3939"/>
        <v>4.9180327868852444E-2</v>
      </c>
      <c r="N2685" s="14"/>
    </row>
    <row r="2686" spans="1:14" x14ac:dyDescent="0.25">
      <c r="A2686" s="20">
        <v>44616</v>
      </c>
      <c r="B2686" s="1">
        <f t="shared" ref="B2686" si="4015">B2678</f>
        <v>224</v>
      </c>
      <c r="C2686" s="1" t="s">
        <v>554</v>
      </c>
      <c r="D2686" s="1" t="s">
        <v>555</v>
      </c>
      <c r="E2686" s="26" t="e">
        <f t="shared" ref="E2686:F2686" si="4016">+E2685</f>
        <v>#REF!</v>
      </c>
      <c r="F2686" s="26" t="e">
        <f t="shared" si="4016"/>
        <v>#REF!</v>
      </c>
      <c r="G2686" s="17">
        <v>9</v>
      </c>
      <c r="H2686" s="17" t="s">
        <v>9</v>
      </c>
      <c r="I2686" s="30" t="s">
        <v>38</v>
      </c>
      <c r="J2686" s="22"/>
      <c r="K2686" s="22"/>
      <c r="L2686" s="8">
        <f t="shared" si="4004"/>
        <v>0</v>
      </c>
      <c r="M2686" s="24">
        <f t="shared" si="3939"/>
        <v>0</v>
      </c>
      <c r="N2686" s="14"/>
    </row>
    <row r="2687" spans="1:14" x14ac:dyDescent="0.25">
      <c r="A2687" s="20">
        <v>44616</v>
      </c>
      <c r="B2687" s="1">
        <f t="shared" ref="B2687" si="4017">B2678</f>
        <v>224</v>
      </c>
      <c r="C2687" s="1" t="s">
        <v>554</v>
      </c>
      <c r="D2687" s="1" t="s">
        <v>555</v>
      </c>
      <c r="E2687" s="26" t="e">
        <f t="shared" ref="E2687:F2687" si="4018">+E2686</f>
        <v>#REF!</v>
      </c>
      <c r="F2687" s="26" t="e">
        <f t="shared" si="4018"/>
        <v>#REF!</v>
      </c>
      <c r="G2687" s="17">
        <v>10</v>
      </c>
      <c r="H2687" s="17" t="s">
        <v>9</v>
      </c>
      <c r="I2687" s="30" t="s">
        <v>23</v>
      </c>
      <c r="J2687" s="22">
        <v>0.85</v>
      </c>
      <c r="K2687" s="22">
        <v>0.5</v>
      </c>
      <c r="L2687" s="8">
        <f t="shared" si="4004"/>
        <v>0.35</v>
      </c>
      <c r="M2687" s="24">
        <f t="shared" si="3939"/>
        <v>1.9125683060109283E-2</v>
      </c>
      <c r="N2687" s="14"/>
    </row>
    <row r="2688" spans="1:14" x14ac:dyDescent="0.25">
      <c r="A2688" s="20">
        <v>44616</v>
      </c>
      <c r="B2688" s="1">
        <f t="shared" ref="B2688" si="4019">B2678</f>
        <v>224</v>
      </c>
      <c r="C2688" s="1" t="s">
        <v>554</v>
      </c>
      <c r="D2688" s="1" t="s">
        <v>555</v>
      </c>
      <c r="E2688" s="26" t="e">
        <f t="shared" ref="E2688:F2688" si="4020">+E2687</f>
        <v>#REF!</v>
      </c>
      <c r="F2688" s="26" t="e">
        <f t="shared" si="4020"/>
        <v>#REF!</v>
      </c>
      <c r="G2688" s="17">
        <v>11</v>
      </c>
      <c r="H2688" s="17" t="s">
        <v>9</v>
      </c>
      <c r="I2688" s="30" t="s">
        <v>60</v>
      </c>
      <c r="J2688" s="22">
        <v>0.1</v>
      </c>
      <c r="K2688" s="22">
        <v>0</v>
      </c>
      <c r="L2688" s="8">
        <f t="shared" si="4004"/>
        <v>0.1</v>
      </c>
      <c r="M2688" s="24">
        <f t="shared" si="3939"/>
        <v>5.464480874316939E-3</v>
      </c>
      <c r="N2688" s="14"/>
    </row>
    <row r="2689" spans="1:14" ht="15.75" thickBot="1" x14ac:dyDescent="0.3">
      <c r="A2689" s="20">
        <v>44616</v>
      </c>
      <c r="B2689" s="57">
        <f t="shared" ref="B2689" si="4021">B2678</f>
        <v>224</v>
      </c>
      <c r="C2689" s="1" t="s">
        <v>554</v>
      </c>
      <c r="D2689" s="57" t="s">
        <v>555</v>
      </c>
      <c r="E2689" s="26" t="e">
        <f t="shared" ref="E2689:F2689" si="4022">+E2688</f>
        <v>#REF!</v>
      </c>
      <c r="F2689" s="26" t="e">
        <f t="shared" si="4022"/>
        <v>#REF!</v>
      </c>
      <c r="G2689" s="18">
        <f>+G2688+1</f>
        <v>12</v>
      </c>
      <c r="H2689" s="18" t="s">
        <v>10</v>
      </c>
      <c r="I2689" s="46" t="s">
        <v>10</v>
      </c>
      <c r="J2689" s="22">
        <f>9+8.9</f>
        <v>17.899999999999999</v>
      </c>
      <c r="K2689" s="63">
        <f>8.5+8.55</f>
        <v>17.05</v>
      </c>
      <c r="L2689" s="8">
        <f t="shared" si="4004"/>
        <v>0.84999999999999787</v>
      </c>
      <c r="M2689" s="24">
        <f t="shared" si="3939"/>
        <v>4.644808743169386E-2</v>
      </c>
      <c r="N2689" s="14"/>
    </row>
    <row r="2690" spans="1:14" x14ac:dyDescent="0.25">
      <c r="A2690" s="19">
        <v>44616</v>
      </c>
      <c r="B2690" s="15">
        <f t="shared" ref="B2690" si="4023">B2678+1</f>
        <v>225</v>
      </c>
      <c r="C2690" s="15" t="s">
        <v>558</v>
      </c>
      <c r="D2690" s="15" t="s">
        <v>559</v>
      </c>
      <c r="E2690" s="25">
        <f>42.4-1.2</f>
        <v>41.199999999999996</v>
      </c>
      <c r="F2690" s="25">
        <f>+SUM(L2690:L2701)</f>
        <v>41.739999999999981</v>
      </c>
      <c r="G2690" s="16">
        <v>1</v>
      </c>
      <c r="H2690" s="16" t="s">
        <v>9</v>
      </c>
      <c r="I2690" s="59" t="s">
        <v>56</v>
      </c>
      <c r="J2690" s="21"/>
      <c r="K2690" s="21"/>
      <c r="L2690" s="12">
        <f>+J2690-K2690</f>
        <v>0</v>
      </c>
      <c r="M2690" s="23">
        <f t="shared" si="3939"/>
        <v>0</v>
      </c>
      <c r="N2690" s="13"/>
    </row>
    <row r="2691" spans="1:14" x14ac:dyDescent="0.25">
      <c r="A2691" s="20">
        <v>44616</v>
      </c>
      <c r="B2691" s="1">
        <f t="shared" ref="B2691" si="4024">B2690</f>
        <v>225</v>
      </c>
      <c r="C2691" s="1" t="s">
        <v>558</v>
      </c>
      <c r="D2691" s="1" t="s">
        <v>559</v>
      </c>
      <c r="E2691" s="26">
        <f>+E2690</f>
        <v>41.199999999999996</v>
      </c>
      <c r="F2691" s="28">
        <f>+(F2690-E2690)/E2690</f>
        <v>1.3106796116504491E-2</v>
      </c>
      <c r="G2691" s="17">
        <v>2</v>
      </c>
      <c r="H2691" s="17" t="s">
        <v>9</v>
      </c>
      <c r="I2691" s="30" t="s">
        <v>57</v>
      </c>
      <c r="J2691" s="22">
        <v>0.7</v>
      </c>
      <c r="K2691" s="22">
        <v>0.5</v>
      </c>
      <c r="L2691" s="8">
        <f t="shared" ref="L2691:L2701" si="4025">+J2691-K2691</f>
        <v>0.19999999999999996</v>
      </c>
      <c r="M2691" s="24">
        <f t="shared" si="3939"/>
        <v>4.7915668423574517E-3</v>
      </c>
      <c r="N2691" s="14"/>
    </row>
    <row r="2692" spans="1:14" x14ac:dyDescent="0.25">
      <c r="A2692" s="20">
        <v>44616</v>
      </c>
      <c r="B2692" s="1">
        <f t="shared" ref="B2692" si="4026">B2690</f>
        <v>225</v>
      </c>
      <c r="C2692" s="1" t="s">
        <v>558</v>
      </c>
      <c r="D2692" s="1" t="s">
        <v>559</v>
      </c>
      <c r="E2692" s="26" t="e">
        <f>+#REF!</f>
        <v>#REF!</v>
      </c>
      <c r="F2692" s="26" t="e">
        <f>+#REF!</f>
        <v>#REF!</v>
      </c>
      <c r="G2692" s="17">
        <v>3</v>
      </c>
      <c r="H2692" s="17" t="s">
        <v>9</v>
      </c>
      <c r="I2692" s="30" t="s">
        <v>58</v>
      </c>
      <c r="J2692" s="22">
        <v>0.02</v>
      </c>
      <c r="K2692" s="22">
        <v>0</v>
      </c>
      <c r="L2692" s="8">
        <f t="shared" si="4025"/>
        <v>0.02</v>
      </c>
      <c r="M2692" s="24">
        <f t="shared" si="3939"/>
        <v>4.7915668423574532E-4</v>
      </c>
      <c r="N2692" s="14"/>
    </row>
    <row r="2693" spans="1:14" x14ac:dyDescent="0.25">
      <c r="A2693" s="20">
        <v>44616</v>
      </c>
      <c r="B2693" s="1">
        <f t="shared" ref="B2693" si="4027">B2690</f>
        <v>225</v>
      </c>
      <c r="C2693" s="1" t="s">
        <v>558</v>
      </c>
      <c r="D2693" s="1" t="s">
        <v>559</v>
      </c>
      <c r="E2693" s="26" t="e">
        <f t="shared" ref="E2693:F2693" si="4028">+E2692</f>
        <v>#REF!</v>
      </c>
      <c r="F2693" s="26" t="e">
        <f t="shared" si="4028"/>
        <v>#REF!</v>
      </c>
      <c r="G2693" s="17">
        <v>4</v>
      </c>
      <c r="H2693" s="17" t="s">
        <v>9</v>
      </c>
      <c r="I2693" s="30" t="s">
        <v>22</v>
      </c>
      <c r="J2693" s="22">
        <v>0.05</v>
      </c>
      <c r="K2693" s="22">
        <v>0</v>
      </c>
      <c r="L2693" s="8">
        <f t="shared" si="4025"/>
        <v>0.05</v>
      </c>
      <c r="M2693" s="24">
        <f t="shared" si="3939"/>
        <v>1.1978917105893634E-3</v>
      </c>
      <c r="N2693" s="14"/>
    </row>
    <row r="2694" spans="1:14" x14ac:dyDescent="0.25">
      <c r="A2694" s="20">
        <v>44616</v>
      </c>
      <c r="B2694" s="1">
        <f t="shared" ref="B2694" si="4029">B2690</f>
        <v>225</v>
      </c>
      <c r="C2694" s="1" t="s">
        <v>558</v>
      </c>
      <c r="D2694" s="1" t="s">
        <v>559</v>
      </c>
      <c r="E2694" s="26" t="e">
        <f t="shared" ref="E2694:F2694" si="4030">+E2693</f>
        <v>#REF!</v>
      </c>
      <c r="F2694" s="26" t="e">
        <f t="shared" si="4030"/>
        <v>#REF!</v>
      </c>
      <c r="G2694" s="17">
        <v>5</v>
      </c>
      <c r="H2694" s="17" t="s">
        <v>9</v>
      </c>
      <c r="I2694" s="30" t="s">
        <v>34</v>
      </c>
      <c r="J2694" s="22">
        <v>0.02</v>
      </c>
      <c r="K2694" s="63">
        <v>0</v>
      </c>
      <c r="L2694" s="8">
        <f t="shared" si="4025"/>
        <v>0.02</v>
      </c>
      <c r="M2694" s="24">
        <f t="shared" si="3939"/>
        <v>4.7915668423574532E-4</v>
      </c>
      <c r="N2694" s="14"/>
    </row>
    <row r="2695" spans="1:14" x14ac:dyDescent="0.25">
      <c r="A2695" s="20">
        <v>44616</v>
      </c>
      <c r="B2695" s="1">
        <f t="shared" ref="B2695" si="4031">B2690</f>
        <v>225</v>
      </c>
      <c r="C2695" s="1" t="s">
        <v>558</v>
      </c>
      <c r="D2695" s="1" t="s">
        <v>559</v>
      </c>
      <c r="E2695" s="26" t="e">
        <f t="shared" ref="E2695:F2695" si="4032">+E2694</f>
        <v>#REF!</v>
      </c>
      <c r="F2695" s="26" t="e">
        <f t="shared" si="4032"/>
        <v>#REF!</v>
      </c>
      <c r="G2695" s="17">
        <v>6</v>
      </c>
      <c r="H2695" s="17" t="s">
        <v>9</v>
      </c>
      <c r="I2695" s="30" t="s">
        <v>35</v>
      </c>
      <c r="J2695" s="22"/>
      <c r="K2695" s="22"/>
      <c r="L2695" s="8">
        <f t="shared" si="4025"/>
        <v>0</v>
      </c>
      <c r="M2695" s="24">
        <f t="shared" si="3939"/>
        <v>0</v>
      </c>
      <c r="N2695" s="14"/>
    </row>
    <row r="2696" spans="1:14" x14ac:dyDescent="0.25">
      <c r="A2696" s="20">
        <v>44616</v>
      </c>
      <c r="B2696" s="1">
        <f t="shared" ref="B2696" si="4033">B2690</f>
        <v>225</v>
      </c>
      <c r="C2696" s="1" t="s">
        <v>558</v>
      </c>
      <c r="D2696" s="1" t="s">
        <v>559</v>
      </c>
      <c r="E2696" s="26" t="e">
        <f t="shared" ref="E2696:F2696" si="4034">+E2695</f>
        <v>#REF!</v>
      </c>
      <c r="F2696" s="26" t="e">
        <f t="shared" si="4034"/>
        <v>#REF!</v>
      </c>
      <c r="G2696" s="17">
        <v>7</v>
      </c>
      <c r="H2696" s="17" t="s">
        <v>9</v>
      </c>
      <c r="I2696" s="30" t="s">
        <v>36</v>
      </c>
      <c r="J2696" s="22"/>
      <c r="K2696" s="22"/>
      <c r="L2696" s="8">
        <f t="shared" si="4025"/>
        <v>0</v>
      </c>
      <c r="M2696" s="24">
        <f t="shared" si="3939"/>
        <v>0</v>
      </c>
      <c r="N2696" s="14"/>
    </row>
    <row r="2697" spans="1:14" x14ac:dyDescent="0.25">
      <c r="A2697" s="20">
        <v>44616</v>
      </c>
      <c r="B2697" s="1">
        <f t="shared" ref="B2697" si="4035">B2690</f>
        <v>225</v>
      </c>
      <c r="C2697" s="1" t="s">
        <v>558</v>
      </c>
      <c r="D2697" s="1" t="s">
        <v>559</v>
      </c>
      <c r="E2697" s="26" t="e">
        <f>+E2696</f>
        <v>#REF!</v>
      </c>
      <c r="F2697" s="26" t="e">
        <f>+F2696</f>
        <v>#REF!</v>
      </c>
      <c r="G2697" s="17">
        <v>8</v>
      </c>
      <c r="H2697" s="17" t="s">
        <v>9</v>
      </c>
      <c r="I2697" s="30" t="s">
        <v>59</v>
      </c>
      <c r="J2697" s="22">
        <f>14.65+22.2+20.95+10.75</f>
        <v>68.55</v>
      </c>
      <c r="K2697" s="22">
        <f>8.5+8.55+8.55+8.55</f>
        <v>34.150000000000006</v>
      </c>
      <c r="L2697" s="8">
        <f t="shared" si="4025"/>
        <v>34.399999999999991</v>
      </c>
      <c r="M2697" s="24">
        <f t="shared" si="3939"/>
        <v>0.82414949688548178</v>
      </c>
      <c r="N2697" s="14"/>
    </row>
    <row r="2698" spans="1:14" x14ac:dyDescent="0.25">
      <c r="A2698" s="20">
        <v>44616</v>
      </c>
      <c r="B2698" s="1">
        <f t="shared" ref="B2698" si="4036">B2690</f>
        <v>225</v>
      </c>
      <c r="C2698" s="1" t="s">
        <v>558</v>
      </c>
      <c r="D2698" s="1" t="s">
        <v>559</v>
      </c>
      <c r="E2698" s="26" t="e">
        <f t="shared" ref="E2698:F2698" si="4037">+E2697</f>
        <v>#REF!</v>
      </c>
      <c r="F2698" s="26" t="e">
        <f t="shared" si="4037"/>
        <v>#REF!</v>
      </c>
      <c r="G2698" s="17">
        <v>9</v>
      </c>
      <c r="H2698" s="17" t="s">
        <v>9</v>
      </c>
      <c r="I2698" s="30" t="s">
        <v>38</v>
      </c>
      <c r="J2698" s="22"/>
      <c r="K2698" s="22"/>
      <c r="L2698" s="8">
        <f t="shared" si="4025"/>
        <v>0</v>
      </c>
      <c r="M2698" s="24">
        <f t="shared" si="3939"/>
        <v>0</v>
      </c>
      <c r="N2698" s="14"/>
    </row>
    <row r="2699" spans="1:14" x14ac:dyDescent="0.25">
      <c r="A2699" s="20">
        <v>44616</v>
      </c>
      <c r="B2699" s="1">
        <f t="shared" ref="B2699" si="4038">B2690</f>
        <v>225</v>
      </c>
      <c r="C2699" s="1" t="s">
        <v>558</v>
      </c>
      <c r="D2699" s="1" t="s">
        <v>559</v>
      </c>
      <c r="E2699" s="26" t="e">
        <f t="shared" ref="E2699:F2699" si="4039">+E2698</f>
        <v>#REF!</v>
      </c>
      <c r="F2699" s="26" t="e">
        <f t="shared" si="4039"/>
        <v>#REF!</v>
      </c>
      <c r="G2699" s="17">
        <v>10</v>
      </c>
      <c r="H2699" s="17" t="s">
        <v>9</v>
      </c>
      <c r="I2699" s="30" t="s">
        <v>23</v>
      </c>
      <c r="J2699" s="22">
        <f>11.8+8.95+9.9</f>
        <v>30.65</v>
      </c>
      <c r="K2699" s="22">
        <f>8.55+8.55+8.55</f>
        <v>25.650000000000002</v>
      </c>
      <c r="L2699" s="8">
        <f t="shared" si="4025"/>
        <v>4.9999999999999964</v>
      </c>
      <c r="M2699" s="24">
        <f t="shared" si="3939"/>
        <v>0.11978917105893624</v>
      </c>
      <c r="N2699" s="14"/>
    </row>
    <row r="2700" spans="1:14" x14ac:dyDescent="0.25">
      <c r="A2700" s="20">
        <v>44616</v>
      </c>
      <c r="B2700" s="1">
        <f t="shared" ref="B2700" si="4040">B2690</f>
        <v>225</v>
      </c>
      <c r="C2700" s="1" t="s">
        <v>558</v>
      </c>
      <c r="D2700" s="1" t="s">
        <v>559</v>
      </c>
      <c r="E2700" s="26" t="e">
        <f t="shared" ref="E2700:F2700" si="4041">+E2699</f>
        <v>#REF!</v>
      </c>
      <c r="F2700" s="26" t="e">
        <f t="shared" si="4041"/>
        <v>#REF!</v>
      </c>
      <c r="G2700" s="17">
        <v>11</v>
      </c>
      <c r="H2700" s="17" t="s">
        <v>9</v>
      </c>
      <c r="I2700" s="30" t="s">
        <v>60</v>
      </c>
      <c r="J2700" s="22">
        <v>0.7</v>
      </c>
      <c r="K2700" s="22">
        <v>0.5</v>
      </c>
      <c r="L2700" s="8">
        <f t="shared" si="4025"/>
        <v>0.19999999999999996</v>
      </c>
      <c r="M2700" s="24">
        <f t="shared" si="3939"/>
        <v>4.7915668423574517E-3</v>
      </c>
      <c r="N2700" s="14"/>
    </row>
    <row r="2701" spans="1:14" ht="15.75" thickBot="1" x14ac:dyDescent="0.3">
      <c r="A2701" s="20">
        <v>44616</v>
      </c>
      <c r="B2701" s="57">
        <f t="shared" ref="B2701" si="4042">B2690</f>
        <v>225</v>
      </c>
      <c r="C2701" s="1" t="s">
        <v>558</v>
      </c>
      <c r="D2701" s="57" t="s">
        <v>559</v>
      </c>
      <c r="E2701" s="26" t="e">
        <f t="shared" ref="E2701:F2701" si="4043">+E2700</f>
        <v>#REF!</v>
      </c>
      <c r="F2701" s="26" t="e">
        <f t="shared" si="4043"/>
        <v>#REF!</v>
      </c>
      <c r="G2701" s="18">
        <f>+G2700+1</f>
        <v>12</v>
      </c>
      <c r="H2701" s="18" t="s">
        <v>10</v>
      </c>
      <c r="I2701" s="46" t="s">
        <v>10</v>
      </c>
      <c r="J2701" s="22">
        <f>9.45+9.25</f>
        <v>18.7</v>
      </c>
      <c r="K2701" s="63">
        <f>8.55+8.3</f>
        <v>16.850000000000001</v>
      </c>
      <c r="L2701" s="8">
        <f t="shared" si="4025"/>
        <v>1.8499999999999979</v>
      </c>
      <c r="M2701" s="24">
        <f t="shared" si="3939"/>
        <v>4.4321993291806389E-2</v>
      </c>
      <c r="N2701" s="14"/>
    </row>
    <row r="2702" spans="1:14" x14ac:dyDescent="0.25">
      <c r="A2702" s="19">
        <v>44616</v>
      </c>
      <c r="B2702" s="15">
        <f t="shared" ref="B2702" si="4044">B2690+1</f>
        <v>226</v>
      </c>
      <c r="C2702" s="15" t="s">
        <v>556</v>
      </c>
      <c r="D2702" s="15" t="s">
        <v>557</v>
      </c>
      <c r="E2702" s="25">
        <f>34.4-1.2</f>
        <v>33.199999999999996</v>
      </c>
      <c r="F2702" s="25">
        <f>+SUM(L2702:L2713)</f>
        <v>33.099999999999994</v>
      </c>
      <c r="G2702" s="16">
        <v>1</v>
      </c>
      <c r="H2702" s="16" t="s">
        <v>9</v>
      </c>
      <c r="I2702" s="59" t="s">
        <v>56</v>
      </c>
      <c r="J2702" s="21"/>
      <c r="K2702" s="21"/>
      <c r="L2702" s="12">
        <f>+J2702-K2702</f>
        <v>0</v>
      </c>
      <c r="M2702" s="23">
        <f t="shared" si="3939"/>
        <v>0</v>
      </c>
      <c r="N2702" s="13"/>
    </row>
    <row r="2703" spans="1:14" x14ac:dyDescent="0.25">
      <c r="A2703" s="20">
        <v>44616</v>
      </c>
      <c r="B2703" s="1">
        <f t="shared" ref="B2703" si="4045">B2702</f>
        <v>226</v>
      </c>
      <c r="C2703" s="1" t="s">
        <v>556</v>
      </c>
      <c r="D2703" s="1" t="s">
        <v>557</v>
      </c>
      <c r="E2703" s="26">
        <f>+E2702</f>
        <v>33.199999999999996</v>
      </c>
      <c r="F2703" s="28">
        <f>+(F2702-E2702)/E2702</f>
        <v>-3.0120481927711274E-3</v>
      </c>
      <c r="G2703" s="17">
        <v>2</v>
      </c>
      <c r="H2703" s="17" t="s">
        <v>9</v>
      </c>
      <c r="I2703" s="30" t="s">
        <v>57</v>
      </c>
      <c r="J2703" s="22">
        <v>0.6</v>
      </c>
      <c r="K2703" s="22">
        <v>0.5</v>
      </c>
      <c r="L2703" s="8">
        <f t="shared" ref="L2703:L2713" si="4046">+J2703-K2703</f>
        <v>9.9999999999999978E-2</v>
      </c>
      <c r="M2703" s="24">
        <f t="shared" si="3939"/>
        <v>3.0211480362537764E-3</v>
      </c>
      <c r="N2703" s="14"/>
    </row>
    <row r="2704" spans="1:14" x14ac:dyDescent="0.25">
      <c r="A2704" s="20">
        <v>44616</v>
      </c>
      <c r="B2704" s="1">
        <f t="shared" ref="B2704" si="4047">B2702</f>
        <v>226</v>
      </c>
      <c r="C2704" s="1" t="s">
        <v>556</v>
      </c>
      <c r="D2704" s="1" t="s">
        <v>557</v>
      </c>
      <c r="E2704" s="26" t="e">
        <f>+#REF!</f>
        <v>#REF!</v>
      </c>
      <c r="F2704" s="26" t="e">
        <f>+#REF!</f>
        <v>#REF!</v>
      </c>
      <c r="G2704" s="17">
        <v>3</v>
      </c>
      <c r="H2704" s="17" t="s">
        <v>9</v>
      </c>
      <c r="I2704" s="30" t="s">
        <v>58</v>
      </c>
      <c r="J2704" s="22">
        <v>0.65</v>
      </c>
      <c r="K2704" s="22">
        <v>0.55000000000000004</v>
      </c>
      <c r="L2704" s="8">
        <f t="shared" si="4046"/>
        <v>9.9999999999999978E-2</v>
      </c>
      <c r="M2704" s="24">
        <f t="shared" si="3939"/>
        <v>3.0211480362537764E-3</v>
      </c>
      <c r="N2704" s="14"/>
    </row>
    <row r="2705" spans="1:14" x14ac:dyDescent="0.25">
      <c r="A2705" s="20">
        <v>44616</v>
      </c>
      <c r="B2705" s="1">
        <f t="shared" ref="B2705" si="4048">B2702</f>
        <v>226</v>
      </c>
      <c r="C2705" s="1" t="s">
        <v>556</v>
      </c>
      <c r="D2705" s="1" t="s">
        <v>557</v>
      </c>
      <c r="E2705" s="26" t="e">
        <f t="shared" ref="E2705:F2705" si="4049">+E2704</f>
        <v>#REF!</v>
      </c>
      <c r="F2705" s="26" t="e">
        <f t="shared" si="4049"/>
        <v>#REF!</v>
      </c>
      <c r="G2705" s="17">
        <v>4</v>
      </c>
      <c r="H2705" s="17" t="s">
        <v>9</v>
      </c>
      <c r="I2705" s="30" t="s">
        <v>22</v>
      </c>
      <c r="J2705" s="22"/>
      <c r="K2705" s="22"/>
      <c r="L2705" s="8">
        <f t="shared" si="4046"/>
        <v>0</v>
      </c>
      <c r="M2705" s="24">
        <f t="shared" si="3939"/>
        <v>0</v>
      </c>
      <c r="N2705" s="14"/>
    </row>
    <row r="2706" spans="1:14" x14ac:dyDescent="0.25">
      <c r="A2706" s="20">
        <v>44616</v>
      </c>
      <c r="B2706" s="1">
        <f t="shared" ref="B2706" si="4050">B2702</f>
        <v>226</v>
      </c>
      <c r="C2706" s="1" t="s">
        <v>556</v>
      </c>
      <c r="D2706" s="1" t="s">
        <v>557</v>
      </c>
      <c r="E2706" s="26" t="e">
        <f t="shared" ref="E2706:F2706" si="4051">+E2705</f>
        <v>#REF!</v>
      </c>
      <c r="F2706" s="26" t="e">
        <f t="shared" si="4051"/>
        <v>#REF!</v>
      </c>
      <c r="G2706" s="17">
        <v>5</v>
      </c>
      <c r="H2706" s="17" t="s">
        <v>9</v>
      </c>
      <c r="I2706" s="30" t="s">
        <v>34</v>
      </c>
      <c r="J2706" s="22">
        <v>0.05</v>
      </c>
      <c r="K2706" s="63">
        <v>0</v>
      </c>
      <c r="L2706" s="8">
        <f t="shared" si="4046"/>
        <v>0.05</v>
      </c>
      <c r="M2706" s="24">
        <f t="shared" ref="M2706:M2769" si="4052">+L2706/SUMIF(C:C,C2706,L:L)</f>
        <v>1.5105740181268886E-3</v>
      </c>
      <c r="N2706" s="14"/>
    </row>
    <row r="2707" spans="1:14" x14ac:dyDescent="0.25">
      <c r="A2707" s="20">
        <v>44616</v>
      </c>
      <c r="B2707" s="1">
        <f t="shared" ref="B2707" si="4053">B2702</f>
        <v>226</v>
      </c>
      <c r="C2707" s="1" t="s">
        <v>556</v>
      </c>
      <c r="D2707" s="1" t="s">
        <v>557</v>
      </c>
      <c r="E2707" s="26" t="e">
        <f t="shared" ref="E2707:F2707" si="4054">+E2706</f>
        <v>#REF!</v>
      </c>
      <c r="F2707" s="26" t="e">
        <f t="shared" si="4054"/>
        <v>#REF!</v>
      </c>
      <c r="G2707" s="17">
        <v>6</v>
      </c>
      <c r="H2707" s="17" t="s">
        <v>9</v>
      </c>
      <c r="I2707" s="30" t="s">
        <v>35</v>
      </c>
      <c r="J2707" s="22"/>
      <c r="K2707" s="22"/>
      <c r="L2707" s="8">
        <f t="shared" si="4046"/>
        <v>0</v>
      </c>
      <c r="M2707" s="24">
        <f t="shared" si="4052"/>
        <v>0</v>
      </c>
      <c r="N2707" s="14"/>
    </row>
    <row r="2708" spans="1:14" x14ac:dyDescent="0.25">
      <c r="A2708" s="20">
        <v>44616</v>
      </c>
      <c r="B2708" s="1">
        <f t="shared" ref="B2708" si="4055">B2702</f>
        <v>226</v>
      </c>
      <c r="C2708" s="1" t="s">
        <v>556</v>
      </c>
      <c r="D2708" s="1" t="s">
        <v>557</v>
      </c>
      <c r="E2708" s="26" t="e">
        <f t="shared" ref="E2708:F2708" si="4056">+E2707</f>
        <v>#REF!</v>
      </c>
      <c r="F2708" s="26" t="e">
        <f t="shared" si="4056"/>
        <v>#REF!</v>
      </c>
      <c r="G2708" s="17">
        <v>7</v>
      </c>
      <c r="H2708" s="17" t="s">
        <v>9</v>
      </c>
      <c r="I2708" s="30" t="s">
        <v>36</v>
      </c>
      <c r="J2708" s="22"/>
      <c r="K2708" s="22"/>
      <c r="L2708" s="8">
        <f t="shared" si="4046"/>
        <v>0</v>
      </c>
      <c r="M2708" s="24">
        <f t="shared" si="4052"/>
        <v>0</v>
      </c>
      <c r="N2708" s="14"/>
    </row>
    <row r="2709" spans="1:14" x14ac:dyDescent="0.25">
      <c r="A2709" s="20">
        <v>44616</v>
      </c>
      <c r="B2709" s="1">
        <f t="shared" ref="B2709" si="4057">B2702</f>
        <v>226</v>
      </c>
      <c r="C2709" s="1" t="s">
        <v>556</v>
      </c>
      <c r="D2709" s="1" t="s">
        <v>557</v>
      </c>
      <c r="E2709" s="26" t="e">
        <f>+E2708</f>
        <v>#REF!</v>
      </c>
      <c r="F2709" s="26" t="e">
        <f>+F2708</f>
        <v>#REF!</v>
      </c>
      <c r="G2709" s="17">
        <v>8</v>
      </c>
      <c r="H2709" s="17" t="s">
        <v>9</v>
      </c>
      <c r="I2709" s="30" t="s">
        <v>59</v>
      </c>
      <c r="J2709" s="22">
        <f>14.8+13.05+16.7+14.7</f>
        <v>59.25</v>
      </c>
      <c r="K2709" s="22">
        <f>8.55+8.5+8.55+8.55</f>
        <v>34.150000000000006</v>
      </c>
      <c r="L2709" s="8">
        <f t="shared" si="4046"/>
        <v>25.099999999999994</v>
      </c>
      <c r="M2709" s="24">
        <f t="shared" si="4052"/>
        <v>0.75830815709969779</v>
      </c>
      <c r="N2709" s="14"/>
    </row>
    <row r="2710" spans="1:14" x14ac:dyDescent="0.25">
      <c r="A2710" s="20">
        <v>44616</v>
      </c>
      <c r="B2710" s="1">
        <f t="shared" ref="B2710" si="4058">B2702</f>
        <v>226</v>
      </c>
      <c r="C2710" s="1" t="s">
        <v>556</v>
      </c>
      <c r="D2710" s="1" t="s">
        <v>557</v>
      </c>
      <c r="E2710" s="26" t="e">
        <f t="shared" ref="E2710:F2710" si="4059">+E2709</f>
        <v>#REF!</v>
      </c>
      <c r="F2710" s="26" t="e">
        <f t="shared" si="4059"/>
        <v>#REF!</v>
      </c>
      <c r="G2710" s="17">
        <v>9</v>
      </c>
      <c r="H2710" s="17" t="s">
        <v>9</v>
      </c>
      <c r="I2710" s="30" t="s">
        <v>38</v>
      </c>
      <c r="J2710" s="22">
        <v>0.05</v>
      </c>
      <c r="K2710" s="22">
        <v>0</v>
      </c>
      <c r="L2710" s="8">
        <f t="shared" si="4046"/>
        <v>0.05</v>
      </c>
      <c r="M2710" s="24">
        <f t="shared" si="4052"/>
        <v>1.5105740181268886E-3</v>
      </c>
      <c r="N2710" s="14"/>
    </row>
    <row r="2711" spans="1:14" x14ac:dyDescent="0.25">
      <c r="A2711" s="20">
        <v>44616</v>
      </c>
      <c r="B2711" s="1">
        <f t="shared" ref="B2711" si="4060">B2702</f>
        <v>226</v>
      </c>
      <c r="C2711" s="1" t="s">
        <v>556</v>
      </c>
      <c r="D2711" s="1" t="s">
        <v>557</v>
      </c>
      <c r="E2711" s="26" t="e">
        <f t="shared" ref="E2711:F2711" si="4061">+E2710</f>
        <v>#REF!</v>
      </c>
      <c r="F2711" s="26" t="e">
        <f t="shared" si="4061"/>
        <v>#REF!</v>
      </c>
      <c r="G2711" s="17">
        <v>10</v>
      </c>
      <c r="H2711" s="17" t="s">
        <v>9</v>
      </c>
      <c r="I2711" s="30" t="s">
        <v>23</v>
      </c>
      <c r="J2711" s="22">
        <f>9.7+10.5+11.15</f>
        <v>31.35</v>
      </c>
      <c r="K2711" s="22">
        <f>8.55+8.55+8.3</f>
        <v>25.400000000000002</v>
      </c>
      <c r="L2711" s="8">
        <f t="shared" si="4046"/>
        <v>5.9499999999999993</v>
      </c>
      <c r="M2711" s="24">
        <f t="shared" si="4052"/>
        <v>0.1797583081570997</v>
      </c>
      <c r="N2711" s="14"/>
    </row>
    <row r="2712" spans="1:14" x14ac:dyDescent="0.25">
      <c r="A2712" s="20">
        <v>44616</v>
      </c>
      <c r="B2712" s="1">
        <f t="shared" ref="B2712" si="4062">B2702</f>
        <v>226</v>
      </c>
      <c r="C2712" s="1" t="s">
        <v>556</v>
      </c>
      <c r="D2712" s="1" t="s">
        <v>557</v>
      </c>
      <c r="E2712" s="26" t="e">
        <f t="shared" ref="E2712:F2712" si="4063">+E2711</f>
        <v>#REF!</v>
      </c>
      <c r="F2712" s="26" t="e">
        <f t="shared" si="4063"/>
        <v>#REF!</v>
      </c>
      <c r="G2712" s="17">
        <v>11</v>
      </c>
      <c r="H2712" s="17" t="s">
        <v>9</v>
      </c>
      <c r="I2712" s="30" t="s">
        <v>60</v>
      </c>
      <c r="J2712" s="22">
        <v>0.6</v>
      </c>
      <c r="K2712" s="22">
        <v>0.55000000000000004</v>
      </c>
      <c r="L2712" s="8">
        <f t="shared" si="4046"/>
        <v>4.9999999999999933E-2</v>
      </c>
      <c r="M2712" s="24">
        <f t="shared" si="4052"/>
        <v>1.5105740181268865E-3</v>
      </c>
      <c r="N2712" s="14"/>
    </row>
    <row r="2713" spans="1:14" ht="15.75" thickBot="1" x14ac:dyDescent="0.3">
      <c r="A2713" s="20">
        <v>44616</v>
      </c>
      <c r="B2713" s="57">
        <f t="shared" ref="B2713" si="4064">B2702</f>
        <v>226</v>
      </c>
      <c r="C2713" s="1" t="s">
        <v>556</v>
      </c>
      <c r="D2713" s="57" t="s">
        <v>557</v>
      </c>
      <c r="E2713" s="26" t="e">
        <f t="shared" ref="E2713:F2713" si="4065">+E2712</f>
        <v>#REF!</v>
      </c>
      <c r="F2713" s="26" t="e">
        <f t="shared" si="4065"/>
        <v>#REF!</v>
      </c>
      <c r="G2713" s="18">
        <f>+G2712+1</f>
        <v>12</v>
      </c>
      <c r="H2713" s="18" t="s">
        <v>10</v>
      </c>
      <c r="I2713" s="46" t="s">
        <v>10</v>
      </c>
      <c r="J2713" s="22">
        <f>9.25+9.55</f>
        <v>18.8</v>
      </c>
      <c r="K2713" s="63">
        <f>8.55+8.55</f>
        <v>17.100000000000001</v>
      </c>
      <c r="L2713" s="8">
        <f t="shared" si="4046"/>
        <v>1.6999999999999993</v>
      </c>
      <c r="M2713" s="24">
        <f t="shared" si="4052"/>
        <v>5.1359516616314188E-2</v>
      </c>
      <c r="N2713" s="14"/>
    </row>
    <row r="2714" spans="1:14" x14ac:dyDescent="0.25">
      <c r="A2714" s="19">
        <v>44616</v>
      </c>
      <c r="B2714" s="15">
        <f t="shared" ref="B2714" si="4066">B2702+1</f>
        <v>227</v>
      </c>
      <c r="C2714" s="15" t="s">
        <v>560</v>
      </c>
      <c r="D2714" s="15" t="s">
        <v>561</v>
      </c>
      <c r="E2714" s="25">
        <f>35.8-1.2</f>
        <v>34.599999999999994</v>
      </c>
      <c r="F2714" s="25">
        <f>+SUM(L2714:L2725)</f>
        <v>34.019999999999996</v>
      </c>
      <c r="G2714" s="16">
        <v>1</v>
      </c>
      <c r="H2714" s="16" t="s">
        <v>9</v>
      </c>
      <c r="I2714" s="59" t="s">
        <v>56</v>
      </c>
      <c r="J2714" s="21">
        <v>0.02</v>
      </c>
      <c r="K2714" s="21">
        <v>0</v>
      </c>
      <c r="L2714" s="12">
        <f>+J2714-K2714</f>
        <v>0.02</v>
      </c>
      <c r="M2714" s="23">
        <f t="shared" si="4052"/>
        <v>5.8788947677836578E-4</v>
      </c>
      <c r="N2714" s="13"/>
    </row>
    <row r="2715" spans="1:14" x14ac:dyDescent="0.25">
      <c r="A2715" s="20">
        <v>44616</v>
      </c>
      <c r="B2715" s="1">
        <f t="shared" ref="B2715" si="4067">B2714</f>
        <v>227</v>
      </c>
      <c r="C2715" s="1" t="s">
        <v>560</v>
      </c>
      <c r="D2715" s="1" t="s">
        <v>561</v>
      </c>
      <c r="E2715" s="26">
        <f>+E2714</f>
        <v>34.599999999999994</v>
      </c>
      <c r="F2715" s="28">
        <f>+(F2714-E2714)/E2714</f>
        <v>-1.6763005780346774E-2</v>
      </c>
      <c r="G2715" s="17">
        <v>2</v>
      </c>
      <c r="H2715" s="17" t="s">
        <v>9</v>
      </c>
      <c r="I2715" s="30" t="s">
        <v>57</v>
      </c>
      <c r="J2715" s="22">
        <v>0.65</v>
      </c>
      <c r="K2715" s="22">
        <v>0.5</v>
      </c>
      <c r="L2715" s="8">
        <f t="shared" ref="L2715:L2725" si="4068">+J2715-K2715</f>
        <v>0.15000000000000002</v>
      </c>
      <c r="M2715" s="24">
        <f t="shared" si="4052"/>
        <v>4.409171075837744E-3</v>
      </c>
      <c r="N2715" s="14"/>
    </row>
    <row r="2716" spans="1:14" x14ac:dyDescent="0.25">
      <c r="A2716" s="20">
        <v>44616</v>
      </c>
      <c r="B2716" s="1">
        <f t="shared" ref="B2716" si="4069">B2714</f>
        <v>227</v>
      </c>
      <c r="C2716" s="1" t="s">
        <v>560</v>
      </c>
      <c r="D2716" s="1" t="s">
        <v>561</v>
      </c>
      <c r="E2716" s="26" t="e">
        <f>+#REF!</f>
        <v>#REF!</v>
      </c>
      <c r="F2716" s="26" t="e">
        <f>+#REF!</f>
        <v>#REF!</v>
      </c>
      <c r="G2716" s="17">
        <v>3</v>
      </c>
      <c r="H2716" s="17" t="s">
        <v>9</v>
      </c>
      <c r="I2716" s="30" t="s">
        <v>58</v>
      </c>
      <c r="J2716" s="22"/>
      <c r="K2716" s="22"/>
      <c r="L2716" s="8">
        <f t="shared" si="4068"/>
        <v>0</v>
      </c>
      <c r="M2716" s="24">
        <f t="shared" si="4052"/>
        <v>0</v>
      </c>
      <c r="N2716" s="14"/>
    </row>
    <row r="2717" spans="1:14" x14ac:dyDescent="0.25">
      <c r="A2717" s="20">
        <v>44616</v>
      </c>
      <c r="B2717" s="1">
        <f t="shared" ref="B2717" si="4070">B2714</f>
        <v>227</v>
      </c>
      <c r="C2717" s="1" t="s">
        <v>560</v>
      </c>
      <c r="D2717" s="1" t="s">
        <v>561</v>
      </c>
      <c r="E2717" s="26" t="e">
        <f t="shared" ref="E2717:F2717" si="4071">+E2716</f>
        <v>#REF!</v>
      </c>
      <c r="F2717" s="26" t="e">
        <f t="shared" si="4071"/>
        <v>#REF!</v>
      </c>
      <c r="G2717" s="17">
        <v>4</v>
      </c>
      <c r="H2717" s="17" t="s">
        <v>9</v>
      </c>
      <c r="I2717" s="30" t="s">
        <v>22</v>
      </c>
      <c r="J2717" s="22">
        <v>0.05</v>
      </c>
      <c r="K2717" s="22">
        <v>0</v>
      </c>
      <c r="L2717" s="8">
        <f t="shared" si="4068"/>
        <v>0.05</v>
      </c>
      <c r="M2717" s="24">
        <f t="shared" si="4052"/>
        <v>1.4697236919459144E-3</v>
      </c>
      <c r="N2717" s="14"/>
    </row>
    <row r="2718" spans="1:14" x14ac:dyDescent="0.25">
      <c r="A2718" s="20">
        <v>44616</v>
      </c>
      <c r="B2718" s="1">
        <f t="shared" ref="B2718" si="4072">B2714</f>
        <v>227</v>
      </c>
      <c r="C2718" s="1" t="s">
        <v>560</v>
      </c>
      <c r="D2718" s="1" t="s">
        <v>561</v>
      </c>
      <c r="E2718" s="26" t="e">
        <f t="shared" ref="E2718:F2718" si="4073">+E2717</f>
        <v>#REF!</v>
      </c>
      <c r="F2718" s="26" t="e">
        <f t="shared" si="4073"/>
        <v>#REF!</v>
      </c>
      <c r="G2718" s="17">
        <v>5</v>
      </c>
      <c r="H2718" s="17" t="s">
        <v>9</v>
      </c>
      <c r="I2718" s="30" t="s">
        <v>34</v>
      </c>
      <c r="J2718" s="22">
        <v>0.55000000000000004</v>
      </c>
      <c r="K2718" s="63">
        <v>0.5</v>
      </c>
      <c r="L2718" s="8">
        <f t="shared" si="4068"/>
        <v>5.0000000000000044E-2</v>
      </c>
      <c r="M2718" s="24">
        <f t="shared" si="4052"/>
        <v>1.4697236919459157E-3</v>
      </c>
      <c r="N2718" s="14"/>
    </row>
    <row r="2719" spans="1:14" x14ac:dyDescent="0.25">
      <c r="A2719" s="20">
        <v>44616</v>
      </c>
      <c r="B2719" s="1">
        <f t="shared" ref="B2719" si="4074">B2714</f>
        <v>227</v>
      </c>
      <c r="C2719" s="1" t="s">
        <v>560</v>
      </c>
      <c r="D2719" s="1" t="s">
        <v>561</v>
      </c>
      <c r="E2719" s="26" t="e">
        <f t="shared" ref="E2719:F2719" si="4075">+E2718</f>
        <v>#REF!</v>
      </c>
      <c r="F2719" s="26" t="e">
        <f t="shared" si="4075"/>
        <v>#REF!</v>
      </c>
      <c r="G2719" s="17">
        <v>6</v>
      </c>
      <c r="H2719" s="17" t="s">
        <v>9</v>
      </c>
      <c r="I2719" s="30" t="s">
        <v>35</v>
      </c>
      <c r="J2719" s="22"/>
      <c r="K2719" s="22"/>
      <c r="L2719" s="8">
        <f t="shared" si="4068"/>
        <v>0</v>
      </c>
      <c r="M2719" s="24">
        <f t="shared" si="4052"/>
        <v>0</v>
      </c>
      <c r="N2719" s="14"/>
    </row>
    <row r="2720" spans="1:14" x14ac:dyDescent="0.25">
      <c r="A2720" s="20">
        <v>44616</v>
      </c>
      <c r="B2720" s="1">
        <f t="shared" ref="B2720" si="4076">B2714</f>
        <v>227</v>
      </c>
      <c r="C2720" s="1" t="s">
        <v>560</v>
      </c>
      <c r="D2720" s="1" t="s">
        <v>561</v>
      </c>
      <c r="E2720" s="26" t="e">
        <f t="shared" ref="E2720:F2720" si="4077">+E2719</f>
        <v>#REF!</v>
      </c>
      <c r="F2720" s="26" t="e">
        <f t="shared" si="4077"/>
        <v>#REF!</v>
      </c>
      <c r="G2720" s="17">
        <v>7</v>
      </c>
      <c r="H2720" s="17" t="s">
        <v>9</v>
      </c>
      <c r="I2720" s="30" t="s">
        <v>36</v>
      </c>
      <c r="J2720" s="22"/>
      <c r="K2720" s="22"/>
      <c r="L2720" s="8">
        <f t="shared" si="4068"/>
        <v>0</v>
      </c>
      <c r="M2720" s="24">
        <f t="shared" si="4052"/>
        <v>0</v>
      </c>
      <c r="N2720" s="14"/>
    </row>
    <row r="2721" spans="1:14" x14ac:dyDescent="0.25">
      <c r="A2721" s="20">
        <v>44616</v>
      </c>
      <c r="B2721" s="1">
        <f t="shared" ref="B2721" si="4078">B2714</f>
        <v>227</v>
      </c>
      <c r="C2721" s="1" t="s">
        <v>560</v>
      </c>
      <c r="D2721" s="1" t="s">
        <v>561</v>
      </c>
      <c r="E2721" s="26" t="e">
        <f>+E2720</f>
        <v>#REF!</v>
      </c>
      <c r="F2721" s="26" t="e">
        <f>+F2720</f>
        <v>#REF!</v>
      </c>
      <c r="G2721" s="17">
        <v>8</v>
      </c>
      <c r="H2721" s="17" t="s">
        <v>9</v>
      </c>
      <c r="I2721" s="30" t="s">
        <v>59</v>
      </c>
      <c r="J2721" s="22">
        <f>9.3+9.35+10.4</f>
        <v>29.049999999999997</v>
      </c>
      <c r="K2721" s="22">
        <f>8.55+8.5+8.55</f>
        <v>25.6</v>
      </c>
      <c r="L2721" s="8">
        <f t="shared" si="4068"/>
        <v>3.4499999999999957</v>
      </c>
      <c r="M2721" s="24">
        <f t="shared" si="4052"/>
        <v>0.10141093474426796</v>
      </c>
      <c r="N2721" s="14"/>
    </row>
    <row r="2722" spans="1:14" x14ac:dyDescent="0.25">
      <c r="A2722" s="20">
        <v>44616</v>
      </c>
      <c r="B2722" s="1">
        <f t="shared" ref="B2722" si="4079">B2714</f>
        <v>227</v>
      </c>
      <c r="C2722" s="1" t="s">
        <v>560</v>
      </c>
      <c r="D2722" s="1" t="s">
        <v>561</v>
      </c>
      <c r="E2722" s="26" t="e">
        <f t="shared" ref="E2722:F2722" si="4080">+E2721</f>
        <v>#REF!</v>
      </c>
      <c r="F2722" s="26" t="e">
        <f t="shared" si="4080"/>
        <v>#REF!</v>
      </c>
      <c r="G2722" s="17">
        <v>9</v>
      </c>
      <c r="H2722" s="17" t="s">
        <v>9</v>
      </c>
      <c r="I2722" s="30" t="s">
        <v>38</v>
      </c>
      <c r="J2722" s="22"/>
      <c r="K2722" s="22"/>
      <c r="L2722" s="8">
        <f t="shared" si="4068"/>
        <v>0</v>
      </c>
      <c r="M2722" s="24">
        <f t="shared" si="4052"/>
        <v>0</v>
      </c>
      <c r="N2722" s="14"/>
    </row>
    <row r="2723" spans="1:14" x14ac:dyDescent="0.25">
      <c r="A2723" s="20">
        <v>44616</v>
      </c>
      <c r="B2723" s="1">
        <f t="shared" ref="B2723" si="4081">B2714</f>
        <v>227</v>
      </c>
      <c r="C2723" s="1" t="s">
        <v>560</v>
      </c>
      <c r="D2723" s="1" t="s">
        <v>561</v>
      </c>
      <c r="E2723" s="26" t="e">
        <f t="shared" ref="E2723:F2723" si="4082">+E2722</f>
        <v>#REF!</v>
      </c>
      <c r="F2723" s="26" t="e">
        <f t="shared" si="4082"/>
        <v>#REF!</v>
      </c>
      <c r="G2723" s="17">
        <v>10</v>
      </c>
      <c r="H2723" s="17" t="s">
        <v>9</v>
      </c>
      <c r="I2723" s="30" t="s">
        <v>23</v>
      </c>
      <c r="J2723" s="22">
        <f>14.6+17+14.05+11.85+13.95</f>
        <v>71.45</v>
      </c>
      <c r="K2723" s="22">
        <f>8.55+8.5+8.55+8.55+8.55</f>
        <v>42.7</v>
      </c>
      <c r="L2723" s="8">
        <f t="shared" si="4068"/>
        <v>28.75</v>
      </c>
      <c r="M2723" s="24">
        <f t="shared" si="4052"/>
        <v>0.84509112286890076</v>
      </c>
      <c r="N2723" s="14"/>
    </row>
    <row r="2724" spans="1:14" x14ac:dyDescent="0.25">
      <c r="A2724" s="20">
        <v>44616</v>
      </c>
      <c r="B2724" s="1">
        <f t="shared" ref="B2724" si="4083">B2714</f>
        <v>227</v>
      </c>
      <c r="C2724" s="1" t="s">
        <v>560</v>
      </c>
      <c r="D2724" s="1" t="s">
        <v>561</v>
      </c>
      <c r="E2724" s="26" t="e">
        <f t="shared" ref="E2724:F2724" si="4084">+E2723</f>
        <v>#REF!</v>
      </c>
      <c r="F2724" s="26" t="e">
        <f t="shared" si="4084"/>
        <v>#REF!</v>
      </c>
      <c r="G2724" s="17">
        <v>11</v>
      </c>
      <c r="H2724" s="17" t="s">
        <v>9</v>
      </c>
      <c r="I2724" s="30" t="s">
        <v>60</v>
      </c>
      <c r="J2724" s="22">
        <v>0.55000000000000004</v>
      </c>
      <c r="K2724" s="22">
        <v>0.5</v>
      </c>
      <c r="L2724" s="8">
        <f t="shared" si="4068"/>
        <v>5.0000000000000044E-2</v>
      </c>
      <c r="M2724" s="24">
        <f t="shared" si="4052"/>
        <v>1.4697236919459157E-3</v>
      </c>
      <c r="N2724" s="14"/>
    </row>
    <row r="2725" spans="1:14" ht="15.75" thickBot="1" x14ac:dyDescent="0.3">
      <c r="A2725" s="20">
        <v>44616</v>
      </c>
      <c r="B2725" s="57">
        <f t="shared" ref="B2725" si="4085">B2714</f>
        <v>227</v>
      </c>
      <c r="C2725" s="1" t="s">
        <v>560</v>
      </c>
      <c r="D2725" s="57" t="s">
        <v>561</v>
      </c>
      <c r="E2725" s="26" t="e">
        <f t="shared" ref="E2725:F2725" si="4086">+E2724</f>
        <v>#REF!</v>
      </c>
      <c r="F2725" s="26" t="e">
        <f t="shared" si="4086"/>
        <v>#REF!</v>
      </c>
      <c r="G2725" s="18">
        <f>+G2724+1</f>
        <v>12</v>
      </c>
      <c r="H2725" s="18" t="s">
        <v>10</v>
      </c>
      <c r="I2725" s="46" t="s">
        <v>10</v>
      </c>
      <c r="J2725" s="22">
        <f>9.35+9</f>
        <v>18.350000000000001</v>
      </c>
      <c r="K2725" s="63">
        <f>8.3+8.55</f>
        <v>16.850000000000001</v>
      </c>
      <c r="L2725" s="8">
        <f t="shared" si="4068"/>
        <v>1.5</v>
      </c>
      <c r="M2725" s="24">
        <f t="shared" si="4052"/>
        <v>4.409171075837743E-2</v>
      </c>
      <c r="N2725" s="14"/>
    </row>
    <row r="2726" spans="1:14" x14ac:dyDescent="0.25">
      <c r="A2726" s="19">
        <v>44616</v>
      </c>
      <c r="B2726" s="15">
        <f t="shared" ref="B2726" si="4087">B2714+1</f>
        <v>228</v>
      </c>
      <c r="C2726" s="15" t="s">
        <v>562</v>
      </c>
      <c r="D2726" s="15" t="s">
        <v>563</v>
      </c>
      <c r="E2726" s="25"/>
      <c r="F2726" s="25">
        <f>+SUM(L2726:L2737)</f>
        <v>26.489999999999991</v>
      </c>
      <c r="G2726" s="16">
        <v>1</v>
      </c>
      <c r="H2726" s="16" t="s">
        <v>9</v>
      </c>
      <c r="I2726" s="59" t="s">
        <v>56</v>
      </c>
      <c r="J2726" s="21"/>
      <c r="K2726" s="21"/>
      <c r="L2726" s="12">
        <f>+J2726-K2726</f>
        <v>0</v>
      </c>
      <c r="M2726" s="23">
        <f t="shared" si="4052"/>
        <v>0</v>
      </c>
      <c r="N2726" s="13"/>
    </row>
    <row r="2727" spans="1:14" x14ac:dyDescent="0.25">
      <c r="A2727" s="20">
        <v>44616</v>
      </c>
      <c r="B2727" s="1">
        <f t="shared" ref="B2727" si="4088">B2726</f>
        <v>228</v>
      </c>
      <c r="C2727" s="1" t="s">
        <v>562</v>
      </c>
      <c r="D2727" s="1" t="s">
        <v>563</v>
      </c>
      <c r="E2727" s="26">
        <f>+E2726</f>
        <v>0</v>
      </c>
      <c r="F2727" s="28" t="e">
        <f>+(F2726-E2726)/E2726</f>
        <v>#DIV/0!</v>
      </c>
      <c r="G2727" s="17">
        <v>2</v>
      </c>
      <c r="H2727" s="17" t="s">
        <v>9</v>
      </c>
      <c r="I2727" s="30" t="s">
        <v>57</v>
      </c>
      <c r="J2727" s="22">
        <v>0.7</v>
      </c>
      <c r="K2727" s="22">
        <v>0.55000000000000004</v>
      </c>
      <c r="L2727" s="8">
        <f t="shared" ref="L2727:L2737" si="4089">+J2727-K2727</f>
        <v>0.14999999999999991</v>
      </c>
      <c r="M2727" s="24">
        <f t="shared" si="4052"/>
        <v>5.6625141562853896E-3</v>
      </c>
      <c r="N2727" s="14"/>
    </row>
    <row r="2728" spans="1:14" x14ac:dyDescent="0.25">
      <c r="A2728" s="20">
        <v>44616</v>
      </c>
      <c r="B2728" s="1">
        <f t="shared" ref="B2728" si="4090">B2726</f>
        <v>228</v>
      </c>
      <c r="C2728" s="1" t="s">
        <v>562</v>
      </c>
      <c r="D2728" s="1" t="s">
        <v>563</v>
      </c>
      <c r="E2728" s="26" t="e">
        <f>+#REF!</f>
        <v>#REF!</v>
      </c>
      <c r="F2728" s="26" t="e">
        <f>+#REF!</f>
        <v>#REF!</v>
      </c>
      <c r="G2728" s="17">
        <v>3</v>
      </c>
      <c r="H2728" s="17" t="s">
        <v>9</v>
      </c>
      <c r="I2728" s="30" t="s">
        <v>58</v>
      </c>
      <c r="J2728" s="22">
        <v>0.7</v>
      </c>
      <c r="K2728" s="22">
        <v>0.55000000000000004</v>
      </c>
      <c r="L2728" s="8">
        <f t="shared" si="4089"/>
        <v>0.14999999999999991</v>
      </c>
      <c r="M2728" s="24">
        <f t="shared" si="4052"/>
        <v>5.6625141562853896E-3</v>
      </c>
      <c r="N2728" s="14"/>
    </row>
    <row r="2729" spans="1:14" x14ac:dyDescent="0.25">
      <c r="A2729" s="20">
        <v>44616</v>
      </c>
      <c r="B2729" s="1">
        <f t="shared" ref="B2729" si="4091">B2726</f>
        <v>228</v>
      </c>
      <c r="C2729" s="1" t="s">
        <v>562</v>
      </c>
      <c r="D2729" s="1" t="s">
        <v>563</v>
      </c>
      <c r="E2729" s="26" t="e">
        <f t="shared" ref="E2729:F2729" si="4092">+E2728</f>
        <v>#REF!</v>
      </c>
      <c r="F2729" s="26" t="e">
        <f t="shared" si="4092"/>
        <v>#REF!</v>
      </c>
      <c r="G2729" s="17">
        <v>4</v>
      </c>
      <c r="H2729" s="17" t="s">
        <v>9</v>
      </c>
      <c r="I2729" s="30" t="s">
        <v>22</v>
      </c>
      <c r="J2729" s="22">
        <v>0.02</v>
      </c>
      <c r="K2729" s="22">
        <v>0</v>
      </c>
      <c r="L2729" s="8">
        <f t="shared" si="4089"/>
        <v>0.02</v>
      </c>
      <c r="M2729" s="24">
        <f t="shared" si="4052"/>
        <v>7.5500188750471907E-4</v>
      </c>
      <c r="N2729" s="14"/>
    </row>
    <row r="2730" spans="1:14" x14ac:dyDescent="0.25">
      <c r="A2730" s="20">
        <v>44616</v>
      </c>
      <c r="B2730" s="1">
        <f t="shared" ref="B2730" si="4093">B2726</f>
        <v>228</v>
      </c>
      <c r="C2730" s="1" t="s">
        <v>562</v>
      </c>
      <c r="D2730" s="1" t="s">
        <v>563</v>
      </c>
      <c r="E2730" s="26" t="e">
        <f t="shared" ref="E2730:F2730" si="4094">+E2729</f>
        <v>#REF!</v>
      </c>
      <c r="F2730" s="26" t="e">
        <f t="shared" si="4094"/>
        <v>#REF!</v>
      </c>
      <c r="G2730" s="17">
        <v>5</v>
      </c>
      <c r="H2730" s="17" t="s">
        <v>9</v>
      </c>
      <c r="I2730" s="30" t="s">
        <v>34</v>
      </c>
      <c r="J2730" s="22">
        <v>0.1</v>
      </c>
      <c r="K2730" s="63">
        <v>0</v>
      </c>
      <c r="L2730" s="8">
        <f t="shared" si="4089"/>
        <v>0.1</v>
      </c>
      <c r="M2730" s="24">
        <f t="shared" si="4052"/>
        <v>3.7750094375235952E-3</v>
      </c>
      <c r="N2730" s="14"/>
    </row>
    <row r="2731" spans="1:14" x14ac:dyDescent="0.25">
      <c r="A2731" s="20">
        <v>44616</v>
      </c>
      <c r="B2731" s="1">
        <f t="shared" ref="B2731" si="4095">B2726</f>
        <v>228</v>
      </c>
      <c r="C2731" s="1" t="s">
        <v>562</v>
      </c>
      <c r="D2731" s="1" t="s">
        <v>563</v>
      </c>
      <c r="E2731" s="26" t="e">
        <f t="shared" ref="E2731:F2731" si="4096">+E2730</f>
        <v>#REF!</v>
      </c>
      <c r="F2731" s="26" t="e">
        <f t="shared" si="4096"/>
        <v>#REF!</v>
      </c>
      <c r="G2731" s="17">
        <v>6</v>
      </c>
      <c r="H2731" s="17" t="s">
        <v>9</v>
      </c>
      <c r="I2731" s="30" t="s">
        <v>35</v>
      </c>
      <c r="J2731" s="22"/>
      <c r="K2731" s="22"/>
      <c r="L2731" s="8">
        <f t="shared" si="4089"/>
        <v>0</v>
      </c>
      <c r="M2731" s="24">
        <f t="shared" si="4052"/>
        <v>0</v>
      </c>
      <c r="N2731" s="14"/>
    </row>
    <row r="2732" spans="1:14" x14ac:dyDescent="0.25">
      <c r="A2732" s="20">
        <v>44616</v>
      </c>
      <c r="B2732" s="1">
        <f t="shared" ref="B2732" si="4097">B2726</f>
        <v>228</v>
      </c>
      <c r="C2732" s="1" t="s">
        <v>562</v>
      </c>
      <c r="D2732" s="1" t="s">
        <v>563</v>
      </c>
      <c r="E2732" s="26" t="e">
        <f t="shared" ref="E2732:F2732" si="4098">+E2731</f>
        <v>#REF!</v>
      </c>
      <c r="F2732" s="26" t="e">
        <f t="shared" si="4098"/>
        <v>#REF!</v>
      </c>
      <c r="G2732" s="17">
        <v>7</v>
      </c>
      <c r="H2732" s="17" t="s">
        <v>9</v>
      </c>
      <c r="I2732" s="30" t="s">
        <v>36</v>
      </c>
      <c r="J2732" s="22">
        <f>12.25+11.25+10.75</f>
        <v>34.25</v>
      </c>
      <c r="K2732" s="22">
        <f>6.05+6.05+6.05</f>
        <v>18.149999999999999</v>
      </c>
      <c r="L2732" s="8">
        <f t="shared" si="4089"/>
        <v>16.100000000000001</v>
      </c>
      <c r="M2732" s="24">
        <f t="shared" si="4052"/>
        <v>0.60777651944129885</v>
      </c>
      <c r="N2732" s="14"/>
    </row>
    <row r="2733" spans="1:14" x14ac:dyDescent="0.25">
      <c r="A2733" s="20">
        <v>44616</v>
      </c>
      <c r="B2733" s="1">
        <f t="shared" ref="B2733" si="4099">B2726</f>
        <v>228</v>
      </c>
      <c r="C2733" s="1" t="s">
        <v>562</v>
      </c>
      <c r="D2733" s="1" t="s">
        <v>563</v>
      </c>
      <c r="E2733" s="26" t="e">
        <f>+E2732</f>
        <v>#REF!</v>
      </c>
      <c r="F2733" s="26" t="e">
        <f>+F2732</f>
        <v>#REF!</v>
      </c>
      <c r="G2733" s="17">
        <v>8</v>
      </c>
      <c r="H2733" s="17" t="s">
        <v>9</v>
      </c>
      <c r="I2733" s="30" t="s">
        <v>59</v>
      </c>
      <c r="J2733" s="22">
        <f>9.7</f>
        <v>9.6999999999999993</v>
      </c>
      <c r="K2733" s="22">
        <f>8.55</f>
        <v>8.5500000000000007</v>
      </c>
      <c r="L2733" s="8">
        <f t="shared" si="4089"/>
        <v>1.1499999999999986</v>
      </c>
      <c r="M2733" s="24">
        <f t="shared" si="4052"/>
        <v>4.3412608531521291E-2</v>
      </c>
      <c r="N2733" s="14"/>
    </row>
    <row r="2734" spans="1:14" x14ac:dyDescent="0.25">
      <c r="A2734" s="20">
        <v>44616</v>
      </c>
      <c r="B2734" s="1">
        <f t="shared" ref="B2734" si="4100">B2726</f>
        <v>228</v>
      </c>
      <c r="C2734" s="1" t="s">
        <v>562</v>
      </c>
      <c r="D2734" s="1" t="s">
        <v>563</v>
      </c>
      <c r="E2734" s="26" t="e">
        <f t="shared" ref="E2734:F2734" si="4101">+E2733</f>
        <v>#REF!</v>
      </c>
      <c r="F2734" s="26" t="e">
        <f t="shared" si="4101"/>
        <v>#REF!</v>
      </c>
      <c r="G2734" s="17">
        <v>9</v>
      </c>
      <c r="H2734" s="17" t="s">
        <v>9</v>
      </c>
      <c r="I2734" s="30" t="s">
        <v>38</v>
      </c>
      <c r="J2734" s="22">
        <v>1.1000000000000001</v>
      </c>
      <c r="K2734" s="22">
        <v>0.5</v>
      </c>
      <c r="L2734" s="8">
        <f t="shared" si="4089"/>
        <v>0.60000000000000009</v>
      </c>
      <c r="M2734" s="24">
        <f t="shared" si="4052"/>
        <v>2.2650056625141572E-2</v>
      </c>
      <c r="N2734" s="14"/>
    </row>
    <row r="2735" spans="1:14" x14ac:dyDescent="0.25">
      <c r="A2735" s="20">
        <v>44616</v>
      </c>
      <c r="B2735" s="1">
        <f t="shared" ref="B2735" si="4102">B2726</f>
        <v>228</v>
      </c>
      <c r="C2735" s="1" t="s">
        <v>562</v>
      </c>
      <c r="D2735" s="1" t="s">
        <v>563</v>
      </c>
      <c r="E2735" s="26" t="e">
        <f t="shared" ref="E2735:F2735" si="4103">+E2734</f>
        <v>#REF!</v>
      </c>
      <c r="F2735" s="26" t="e">
        <f t="shared" si="4103"/>
        <v>#REF!</v>
      </c>
      <c r="G2735" s="17">
        <v>10</v>
      </c>
      <c r="H2735" s="17" t="s">
        <v>9</v>
      </c>
      <c r="I2735" s="30" t="s">
        <v>23</v>
      </c>
      <c r="J2735" s="22">
        <f>9.1+9.95</f>
        <v>19.049999999999997</v>
      </c>
      <c r="K2735" s="22">
        <f>8.55+8.55</f>
        <v>17.100000000000001</v>
      </c>
      <c r="L2735" s="8">
        <f t="shared" si="4089"/>
        <v>1.9499999999999957</v>
      </c>
      <c r="M2735" s="24">
        <f t="shared" si="4052"/>
        <v>7.3612684031709938E-2</v>
      </c>
      <c r="N2735" s="14"/>
    </row>
    <row r="2736" spans="1:14" x14ac:dyDescent="0.25">
      <c r="A2736" s="20">
        <v>44616</v>
      </c>
      <c r="B2736" s="1">
        <f t="shared" ref="B2736" si="4104">B2726</f>
        <v>228</v>
      </c>
      <c r="C2736" s="1" t="s">
        <v>562</v>
      </c>
      <c r="D2736" s="1" t="s">
        <v>563</v>
      </c>
      <c r="E2736" s="26" t="e">
        <f t="shared" ref="E2736:F2736" si="4105">+E2735</f>
        <v>#REF!</v>
      </c>
      <c r="F2736" s="26" t="e">
        <f t="shared" si="4105"/>
        <v>#REF!</v>
      </c>
      <c r="G2736" s="17">
        <v>11</v>
      </c>
      <c r="H2736" s="17" t="s">
        <v>9</v>
      </c>
      <c r="I2736" s="30" t="s">
        <v>60</v>
      </c>
      <c r="J2736" s="22">
        <v>0.02</v>
      </c>
      <c r="K2736" s="22">
        <v>0</v>
      </c>
      <c r="L2736" s="8">
        <f t="shared" si="4089"/>
        <v>0.02</v>
      </c>
      <c r="M2736" s="24">
        <f t="shared" si="4052"/>
        <v>7.5500188750471907E-4</v>
      </c>
      <c r="N2736" s="14"/>
    </row>
    <row r="2737" spans="1:14" ht="15.75" thickBot="1" x14ac:dyDescent="0.3">
      <c r="A2737" s="20">
        <v>44616</v>
      </c>
      <c r="B2737" s="57">
        <f t="shared" ref="B2737" si="4106">B2726</f>
        <v>228</v>
      </c>
      <c r="C2737" s="1" t="s">
        <v>562</v>
      </c>
      <c r="D2737" s="57" t="s">
        <v>563</v>
      </c>
      <c r="E2737" s="26" t="e">
        <f t="shared" ref="E2737:F2737" si="4107">+E2736</f>
        <v>#REF!</v>
      </c>
      <c r="F2737" s="26" t="e">
        <f t="shared" si="4107"/>
        <v>#REF!</v>
      </c>
      <c r="G2737" s="18">
        <f>+G2736+1</f>
        <v>12</v>
      </c>
      <c r="H2737" s="18" t="s">
        <v>10</v>
      </c>
      <c r="I2737" s="46" t="s">
        <v>10</v>
      </c>
      <c r="J2737" s="22">
        <f>11.6+11.35+0.9</f>
        <v>23.849999999999998</v>
      </c>
      <c r="K2737" s="63">
        <f>8.55+8.55+0.5</f>
        <v>17.600000000000001</v>
      </c>
      <c r="L2737" s="8">
        <f t="shared" si="4089"/>
        <v>6.2499999999999964</v>
      </c>
      <c r="M2737" s="24">
        <f t="shared" si="4052"/>
        <v>0.23593808984522455</v>
      </c>
      <c r="N2737" s="14"/>
    </row>
    <row r="2738" spans="1:14" x14ac:dyDescent="0.25">
      <c r="A2738" s="19">
        <v>44616</v>
      </c>
      <c r="B2738" s="15">
        <f t="shared" ref="B2738" si="4108">B2726+1</f>
        <v>229</v>
      </c>
      <c r="C2738" s="15" t="s">
        <v>564</v>
      </c>
      <c r="D2738" s="15" t="s">
        <v>565</v>
      </c>
      <c r="E2738" s="25">
        <f>27.6-1.2</f>
        <v>26.400000000000002</v>
      </c>
      <c r="F2738" s="25">
        <f>+SUM(L2738:L2749)</f>
        <v>25.79999999999999</v>
      </c>
      <c r="G2738" s="16">
        <v>1</v>
      </c>
      <c r="H2738" s="16" t="s">
        <v>9</v>
      </c>
      <c r="I2738" s="59" t="s">
        <v>56</v>
      </c>
      <c r="J2738" s="21">
        <v>2.9</v>
      </c>
      <c r="K2738" s="21">
        <v>1.1000000000000001</v>
      </c>
      <c r="L2738" s="12">
        <f>+J2738-K2738</f>
        <v>1.7999999999999998</v>
      </c>
      <c r="M2738" s="23">
        <f t="shared" si="4052"/>
        <v>6.9767441860465143E-2</v>
      </c>
      <c r="N2738" s="13"/>
    </row>
    <row r="2739" spans="1:14" x14ac:dyDescent="0.25">
      <c r="A2739" s="20">
        <v>44616</v>
      </c>
      <c r="B2739" s="1">
        <f t="shared" ref="B2739" si="4109">B2738</f>
        <v>229</v>
      </c>
      <c r="C2739" s="1" t="s">
        <v>564</v>
      </c>
      <c r="D2739" s="1" t="s">
        <v>565</v>
      </c>
      <c r="E2739" s="26" t="s">
        <v>566</v>
      </c>
      <c r="F2739" s="28">
        <f>+(F2738-E2738)/E2738</f>
        <v>-2.2727272727273182E-2</v>
      </c>
      <c r="G2739" s="17">
        <v>2</v>
      </c>
      <c r="H2739" s="17" t="s">
        <v>9</v>
      </c>
      <c r="I2739" s="30" t="s">
        <v>57</v>
      </c>
      <c r="J2739" s="22">
        <f>9.45+9.55</f>
        <v>19</v>
      </c>
      <c r="K2739" s="22">
        <f>8.55+8.55</f>
        <v>17.100000000000001</v>
      </c>
      <c r="L2739" s="8">
        <f t="shared" ref="L2739:L2749" si="4110">+J2739-K2739</f>
        <v>1.8999999999999986</v>
      </c>
      <c r="M2739" s="24">
        <f t="shared" si="4052"/>
        <v>7.3643410852713156E-2</v>
      </c>
      <c r="N2739" s="14"/>
    </row>
    <row r="2740" spans="1:14" x14ac:dyDescent="0.25">
      <c r="A2740" s="20">
        <v>44616</v>
      </c>
      <c r="B2740" s="1">
        <f t="shared" ref="B2740" si="4111">B2738</f>
        <v>229</v>
      </c>
      <c r="C2740" s="1" t="s">
        <v>564</v>
      </c>
      <c r="D2740" s="1" t="s">
        <v>565</v>
      </c>
      <c r="E2740" s="26" t="e">
        <f>+#REF!</f>
        <v>#REF!</v>
      </c>
      <c r="F2740" s="26" t="e">
        <f>+#REF!</f>
        <v>#REF!</v>
      </c>
      <c r="G2740" s="17">
        <v>3</v>
      </c>
      <c r="H2740" s="17" t="s">
        <v>9</v>
      </c>
      <c r="I2740" s="30" t="s">
        <v>58</v>
      </c>
      <c r="J2740" s="22">
        <f>1.75+1.05</f>
        <v>2.8</v>
      </c>
      <c r="K2740" s="22">
        <f>0.55+0.55</f>
        <v>1.1000000000000001</v>
      </c>
      <c r="L2740" s="8">
        <f t="shared" si="4110"/>
        <v>1.6999999999999997</v>
      </c>
      <c r="M2740" s="24">
        <f t="shared" si="4052"/>
        <v>6.5891472868217074E-2</v>
      </c>
      <c r="N2740" s="14"/>
    </row>
    <row r="2741" spans="1:14" x14ac:dyDescent="0.25">
      <c r="A2741" s="20">
        <v>44616</v>
      </c>
      <c r="B2741" s="1">
        <f t="shared" ref="B2741" si="4112">B2738</f>
        <v>229</v>
      </c>
      <c r="C2741" s="1" t="s">
        <v>564</v>
      </c>
      <c r="D2741" s="1" t="s">
        <v>565</v>
      </c>
      <c r="E2741" s="26" t="e">
        <f t="shared" ref="E2741:F2741" si="4113">+E2740</f>
        <v>#REF!</v>
      </c>
      <c r="F2741" s="26" t="e">
        <f t="shared" si="4113"/>
        <v>#REF!</v>
      </c>
      <c r="G2741" s="17">
        <v>4</v>
      </c>
      <c r="H2741" s="17" t="s">
        <v>9</v>
      </c>
      <c r="I2741" s="30" t="s">
        <v>22</v>
      </c>
      <c r="J2741" s="22">
        <v>0.75</v>
      </c>
      <c r="K2741" s="22">
        <v>0.55000000000000004</v>
      </c>
      <c r="L2741" s="8">
        <f t="shared" si="4110"/>
        <v>0.19999999999999996</v>
      </c>
      <c r="M2741" s="24">
        <f t="shared" si="4052"/>
        <v>7.7519379844961257E-3</v>
      </c>
      <c r="N2741" s="14"/>
    </row>
    <row r="2742" spans="1:14" x14ac:dyDescent="0.25">
      <c r="A2742" s="20">
        <v>44616</v>
      </c>
      <c r="B2742" s="1">
        <f t="shared" ref="B2742" si="4114">B2738</f>
        <v>229</v>
      </c>
      <c r="C2742" s="1" t="s">
        <v>564</v>
      </c>
      <c r="D2742" s="1" t="s">
        <v>565</v>
      </c>
      <c r="E2742" s="26" t="e">
        <f t="shared" ref="E2742:F2742" si="4115">+E2741</f>
        <v>#REF!</v>
      </c>
      <c r="F2742" s="26" t="e">
        <f t="shared" si="4115"/>
        <v>#REF!</v>
      </c>
      <c r="G2742" s="17">
        <v>5</v>
      </c>
      <c r="H2742" s="17" t="s">
        <v>9</v>
      </c>
      <c r="I2742" s="30" t="s">
        <v>34</v>
      </c>
      <c r="J2742" s="22">
        <f>1</f>
        <v>1</v>
      </c>
      <c r="K2742" s="63">
        <v>0.55000000000000004</v>
      </c>
      <c r="L2742" s="8">
        <f t="shared" si="4110"/>
        <v>0.44999999999999996</v>
      </c>
      <c r="M2742" s="24">
        <f t="shared" si="4052"/>
        <v>1.7441860465116286E-2</v>
      </c>
      <c r="N2742" s="14"/>
    </row>
    <row r="2743" spans="1:14" x14ac:dyDescent="0.25">
      <c r="A2743" s="20">
        <v>44616</v>
      </c>
      <c r="B2743" s="1">
        <f t="shared" ref="B2743" si="4116">B2738</f>
        <v>229</v>
      </c>
      <c r="C2743" s="1" t="s">
        <v>564</v>
      </c>
      <c r="D2743" s="1" t="s">
        <v>565</v>
      </c>
      <c r="E2743" s="26" t="e">
        <f t="shared" ref="E2743:F2743" si="4117">+E2742</f>
        <v>#REF!</v>
      </c>
      <c r="F2743" s="26" t="e">
        <f t="shared" si="4117"/>
        <v>#REF!</v>
      </c>
      <c r="G2743" s="17">
        <v>6</v>
      </c>
      <c r="H2743" s="17" t="s">
        <v>9</v>
      </c>
      <c r="I2743" s="30" t="s">
        <v>35</v>
      </c>
      <c r="J2743" s="22">
        <v>0.8</v>
      </c>
      <c r="K2743" s="22">
        <v>0.55000000000000004</v>
      </c>
      <c r="L2743" s="8">
        <f t="shared" si="4110"/>
        <v>0.25</v>
      </c>
      <c r="M2743" s="24">
        <f t="shared" si="4052"/>
        <v>9.6899224806201584E-3</v>
      </c>
      <c r="N2743" s="14"/>
    </row>
    <row r="2744" spans="1:14" x14ac:dyDescent="0.25">
      <c r="A2744" s="20">
        <v>44616</v>
      </c>
      <c r="B2744" s="1">
        <f t="shared" ref="B2744" si="4118">B2738</f>
        <v>229</v>
      </c>
      <c r="C2744" s="1" t="s">
        <v>564</v>
      </c>
      <c r="D2744" s="1" t="s">
        <v>565</v>
      </c>
      <c r="E2744" s="26" t="e">
        <f t="shared" ref="E2744:F2744" si="4119">+E2743</f>
        <v>#REF!</v>
      </c>
      <c r="F2744" s="26" t="e">
        <f t="shared" si="4119"/>
        <v>#REF!</v>
      </c>
      <c r="G2744" s="17">
        <v>7</v>
      </c>
      <c r="H2744" s="17" t="s">
        <v>9</v>
      </c>
      <c r="I2744" s="30" t="s">
        <v>36</v>
      </c>
      <c r="J2744" s="22"/>
      <c r="K2744" s="22"/>
      <c r="L2744" s="8">
        <f t="shared" si="4110"/>
        <v>0</v>
      </c>
      <c r="M2744" s="24">
        <f t="shared" si="4052"/>
        <v>0</v>
      </c>
      <c r="N2744" s="14"/>
    </row>
    <row r="2745" spans="1:14" x14ac:dyDescent="0.25">
      <c r="A2745" s="20">
        <v>44616</v>
      </c>
      <c r="B2745" s="1">
        <f t="shared" ref="B2745" si="4120">B2738</f>
        <v>229</v>
      </c>
      <c r="C2745" s="1" t="s">
        <v>564</v>
      </c>
      <c r="D2745" s="1" t="s">
        <v>565</v>
      </c>
      <c r="E2745" s="26" t="e">
        <f>+E2744</f>
        <v>#REF!</v>
      </c>
      <c r="F2745" s="26" t="e">
        <f>+F2744</f>
        <v>#REF!</v>
      </c>
      <c r="G2745" s="17">
        <v>8</v>
      </c>
      <c r="H2745" s="17" t="s">
        <v>9</v>
      </c>
      <c r="I2745" s="30" t="s">
        <v>59</v>
      </c>
      <c r="J2745" s="22">
        <f>10.45</f>
        <v>10.45</v>
      </c>
      <c r="K2745" s="22">
        <f>8.3</f>
        <v>8.3000000000000007</v>
      </c>
      <c r="L2745" s="8">
        <f t="shared" si="4110"/>
        <v>2.1499999999999986</v>
      </c>
      <c r="M2745" s="24">
        <f t="shared" si="4052"/>
        <v>8.3333333333333315E-2</v>
      </c>
      <c r="N2745" s="14"/>
    </row>
    <row r="2746" spans="1:14" x14ac:dyDescent="0.25">
      <c r="A2746" s="20">
        <v>44616</v>
      </c>
      <c r="B2746" s="1">
        <f t="shared" ref="B2746" si="4121">B2738</f>
        <v>229</v>
      </c>
      <c r="C2746" s="1" t="s">
        <v>564</v>
      </c>
      <c r="D2746" s="1" t="s">
        <v>565</v>
      </c>
      <c r="E2746" s="26" t="e">
        <f t="shared" ref="E2746:F2746" si="4122">+E2745</f>
        <v>#REF!</v>
      </c>
      <c r="F2746" s="26" t="e">
        <f t="shared" si="4122"/>
        <v>#REF!</v>
      </c>
      <c r="G2746" s="17">
        <v>9</v>
      </c>
      <c r="H2746" s="17" t="s">
        <v>9</v>
      </c>
      <c r="I2746" s="30" t="s">
        <v>38</v>
      </c>
      <c r="J2746" s="22"/>
      <c r="K2746" s="22"/>
      <c r="L2746" s="8">
        <f t="shared" si="4110"/>
        <v>0</v>
      </c>
      <c r="M2746" s="24">
        <f t="shared" si="4052"/>
        <v>0</v>
      </c>
      <c r="N2746" s="14"/>
    </row>
    <row r="2747" spans="1:14" x14ac:dyDescent="0.25">
      <c r="A2747" s="20">
        <v>44616</v>
      </c>
      <c r="B2747" s="1">
        <f t="shared" ref="B2747" si="4123">B2738</f>
        <v>229</v>
      </c>
      <c r="C2747" s="1" t="s">
        <v>564</v>
      </c>
      <c r="D2747" s="1" t="s">
        <v>565</v>
      </c>
      <c r="E2747" s="26" t="e">
        <f t="shared" ref="E2747:F2747" si="4124">+E2746</f>
        <v>#REF!</v>
      </c>
      <c r="F2747" s="26" t="e">
        <f t="shared" si="4124"/>
        <v>#REF!</v>
      </c>
      <c r="G2747" s="17">
        <v>10</v>
      </c>
      <c r="H2747" s="17" t="s">
        <v>9</v>
      </c>
      <c r="I2747" s="30" t="s">
        <v>23</v>
      </c>
      <c r="J2747" s="22">
        <f>9.8+9+10.1</f>
        <v>28.9</v>
      </c>
      <c r="K2747" s="22">
        <f>8.55+8.5+8.55</f>
        <v>25.6</v>
      </c>
      <c r="L2747" s="8">
        <f t="shared" si="4110"/>
        <v>3.2999999999999972</v>
      </c>
      <c r="M2747" s="24">
        <f t="shared" si="4052"/>
        <v>0.127906976744186</v>
      </c>
      <c r="N2747" s="14"/>
    </row>
    <row r="2748" spans="1:14" x14ac:dyDescent="0.25">
      <c r="A2748" s="20">
        <v>44616</v>
      </c>
      <c r="B2748" s="1">
        <f t="shared" ref="B2748" si="4125">B2738</f>
        <v>229</v>
      </c>
      <c r="C2748" s="1" t="s">
        <v>564</v>
      </c>
      <c r="D2748" s="1" t="s">
        <v>565</v>
      </c>
      <c r="E2748" s="26" t="e">
        <f t="shared" ref="E2748:F2748" si="4126">+E2747</f>
        <v>#REF!</v>
      </c>
      <c r="F2748" s="26" t="e">
        <f t="shared" si="4126"/>
        <v>#REF!</v>
      </c>
      <c r="G2748" s="17">
        <v>11</v>
      </c>
      <c r="H2748" s="17" t="s">
        <v>9</v>
      </c>
      <c r="I2748" s="30" t="s">
        <v>60</v>
      </c>
      <c r="J2748" s="22">
        <f>0.75</f>
        <v>0.75</v>
      </c>
      <c r="K2748" s="22">
        <f>0.55</f>
        <v>0.55000000000000004</v>
      </c>
      <c r="L2748" s="8">
        <f t="shared" si="4110"/>
        <v>0.19999999999999996</v>
      </c>
      <c r="M2748" s="24">
        <f t="shared" si="4052"/>
        <v>7.7519379844961257E-3</v>
      </c>
      <c r="N2748" s="14"/>
    </row>
    <row r="2749" spans="1:14" ht="15.75" thickBot="1" x14ac:dyDescent="0.3">
      <c r="A2749" s="20">
        <v>44616</v>
      </c>
      <c r="B2749" s="57">
        <f t="shared" ref="B2749" si="4127">B2738</f>
        <v>229</v>
      </c>
      <c r="C2749" s="1" t="s">
        <v>564</v>
      </c>
      <c r="D2749" s="57" t="s">
        <v>565</v>
      </c>
      <c r="E2749" s="26" t="e">
        <f t="shared" ref="E2749:F2749" si="4128">+E2748</f>
        <v>#REF!</v>
      </c>
      <c r="F2749" s="26" t="e">
        <f t="shared" si="4128"/>
        <v>#REF!</v>
      </c>
      <c r="G2749" s="18">
        <f>+G2748+1</f>
        <v>12</v>
      </c>
      <c r="H2749" s="18" t="s">
        <v>10</v>
      </c>
      <c r="I2749" s="46" t="s">
        <v>10</v>
      </c>
      <c r="J2749" s="22">
        <f>15.05+11.1+13.35</f>
        <v>39.5</v>
      </c>
      <c r="K2749" s="63">
        <f>8.55+8.55+8.55</f>
        <v>25.650000000000002</v>
      </c>
      <c r="L2749" s="8">
        <f t="shared" si="4110"/>
        <v>13.849999999999998</v>
      </c>
      <c r="M2749" s="24">
        <f t="shared" si="4052"/>
        <v>0.53682170542635677</v>
      </c>
      <c r="N2749" s="14"/>
    </row>
    <row r="2750" spans="1:14" x14ac:dyDescent="0.25">
      <c r="A2750" s="19">
        <v>44616</v>
      </c>
      <c r="B2750" s="15">
        <f t="shared" ref="B2750" si="4129">B2738+1</f>
        <v>230</v>
      </c>
      <c r="C2750" s="15"/>
      <c r="D2750" s="15"/>
      <c r="E2750" s="25"/>
      <c r="F2750" s="25">
        <f>+SUM(L2750:L2761)</f>
        <v>0</v>
      </c>
      <c r="G2750" s="16">
        <v>1</v>
      </c>
      <c r="H2750" s="16" t="s">
        <v>9</v>
      </c>
      <c r="I2750" s="59" t="s">
        <v>56</v>
      </c>
      <c r="J2750" s="21"/>
      <c r="K2750" s="21"/>
      <c r="L2750" s="12">
        <f>+J2750-K2750</f>
        <v>0</v>
      </c>
      <c r="M2750" s="23" t="e">
        <f t="shared" si="4052"/>
        <v>#DIV/0!</v>
      </c>
      <c r="N2750" s="13"/>
    </row>
    <row r="2751" spans="1:14" x14ac:dyDescent="0.25">
      <c r="A2751" s="20">
        <v>44616</v>
      </c>
      <c r="B2751" s="1">
        <f t="shared" ref="B2751" si="4130">B2750</f>
        <v>230</v>
      </c>
      <c r="C2751" s="1"/>
      <c r="D2751" s="1"/>
      <c r="E2751" s="26">
        <f>+E2750</f>
        <v>0</v>
      </c>
      <c r="F2751" s="28" t="e">
        <f>+(F2750-E2750)/E2750</f>
        <v>#DIV/0!</v>
      </c>
      <c r="G2751" s="17">
        <v>2</v>
      </c>
      <c r="H2751" s="17" t="s">
        <v>9</v>
      </c>
      <c r="I2751" s="30" t="s">
        <v>57</v>
      </c>
      <c r="J2751" s="22"/>
      <c r="K2751" s="22"/>
      <c r="L2751" s="8">
        <f t="shared" ref="L2751:L2761" si="4131">+J2751-K2751</f>
        <v>0</v>
      </c>
      <c r="M2751" s="24" t="e">
        <f t="shared" si="4052"/>
        <v>#DIV/0!</v>
      </c>
      <c r="N2751" s="14"/>
    </row>
    <row r="2752" spans="1:14" x14ac:dyDescent="0.25">
      <c r="A2752" s="20">
        <v>44616</v>
      </c>
      <c r="B2752" s="1">
        <f t="shared" ref="B2752" si="4132">B2750</f>
        <v>230</v>
      </c>
      <c r="C2752" s="1"/>
      <c r="D2752" s="1"/>
      <c r="E2752" s="26" t="e">
        <f>+#REF!</f>
        <v>#REF!</v>
      </c>
      <c r="F2752" s="26" t="e">
        <f>+#REF!</f>
        <v>#REF!</v>
      </c>
      <c r="G2752" s="17">
        <v>3</v>
      </c>
      <c r="H2752" s="17" t="s">
        <v>9</v>
      </c>
      <c r="I2752" s="30" t="s">
        <v>58</v>
      </c>
      <c r="J2752" s="22"/>
      <c r="K2752" s="22"/>
      <c r="L2752" s="8">
        <f t="shared" si="4131"/>
        <v>0</v>
      </c>
      <c r="M2752" s="24" t="e">
        <f t="shared" si="4052"/>
        <v>#DIV/0!</v>
      </c>
      <c r="N2752" s="14"/>
    </row>
    <row r="2753" spans="1:14" x14ac:dyDescent="0.25">
      <c r="A2753" s="20">
        <v>44616</v>
      </c>
      <c r="B2753" s="1">
        <f t="shared" ref="B2753" si="4133">B2750</f>
        <v>230</v>
      </c>
      <c r="C2753" s="1"/>
      <c r="D2753" s="1"/>
      <c r="E2753" s="26" t="e">
        <f t="shared" ref="E2753:F2753" si="4134">+E2752</f>
        <v>#REF!</v>
      </c>
      <c r="F2753" s="26" t="e">
        <f t="shared" si="4134"/>
        <v>#REF!</v>
      </c>
      <c r="G2753" s="17">
        <v>4</v>
      </c>
      <c r="H2753" s="17" t="s">
        <v>9</v>
      </c>
      <c r="I2753" s="30" t="s">
        <v>22</v>
      </c>
      <c r="J2753" s="22"/>
      <c r="K2753" s="22"/>
      <c r="L2753" s="8">
        <f t="shared" si="4131"/>
        <v>0</v>
      </c>
      <c r="M2753" s="24" t="e">
        <f t="shared" si="4052"/>
        <v>#DIV/0!</v>
      </c>
      <c r="N2753" s="14"/>
    </row>
    <row r="2754" spans="1:14" x14ac:dyDescent="0.25">
      <c r="A2754" s="20">
        <v>44616</v>
      </c>
      <c r="B2754" s="1">
        <f t="shared" ref="B2754" si="4135">B2750</f>
        <v>230</v>
      </c>
      <c r="C2754" s="1"/>
      <c r="D2754" s="1"/>
      <c r="E2754" s="26" t="e">
        <f t="shared" ref="E2754:F2754" si="4136">+E2753</f>
        <v>#REF!</v>
      </c>
      <c r="F2754" s="26" t="e">
        <f t="shared" si="4136"/>
        <v>#REF!</v>
      </c>
      <c r="G2754" s="17">
        <v>5</v>
      </c>
      <c r="H2754" s="17" t="s">
        <v>9</v>
      </c>
      <c r="I2754" s="30" t="s">
        <v>34</v>
      </c>
      <c r="J2754" s="22"/>
      <c r="K2754" s="63"/>
      <c r="L2754" s="8">
        <f t="shared" si="4131"/>
        <v>0</v>
      </c>
      <c r="M2754" s="24" t="e">
        <f t="shared" si="4052"/>
        <v>#DIV/0!</v>
      </c>
      <c r="N2754" s="14"/>
    </row>
    <row r="2755" spans="1:14" x14ac:dyDescent="0.25">
      <c r="A2755" s="20">
        <v>44616</v>
      </c>
      <c r="B2755" s="1">
        <f t="shared" ref="B2755" si="4137">B2750</f>
        <v>230</v>
      </c>
      <c r="C2755" s="1"/>
      <c r="D2755" s="1"/>
      <c r="E2755" s="26" t="e">
        <f t="shared" ref="E2755:F2755" si="4138">+E2754</f>
        <v>#REF!</v>
      </c>
      <c r="F2755" s="26" t="e">
        <f t="shared" si="4138"/>
        <v>#REF!</v>
      </c>
      <c r="G2755" s="17">
        <v>6</v>
      </c>
      <c r="H2755" s="17" t="s">
        <v>9</v>
      </c>
      <c r="I2755" s="30" t="s">
        <v>35</v>
      </c>
      <c r="J2755" s="22"/>
      <c r="K2755" s="22"/>
      <c r="L2755" s="8">
        <f t="shared" si="4131"/>
        <v>0</v>
      </c>
      <c r="M2755" s="24" t="e">
        <f t="shared" si="4052"/>
        <v>#DIV/0!</v>
      </c>
      <c r="N2755" s="14"/>
    </row>
    <row r="2756" spans="1:14" x14ac:dyDescent="0.25">
      <c r="A2756" s="20">
        <v>44616</v>
      </c>
      <c r="B2756" s="1">
        <f t="shared" ref="B2756" si="4139">B2750</f>
        <v>230</v>
      </c>
      <c r="C2756" s="1"/>
      <c r="D2756" s="1"/>
      <c r="E2756" s="26" t="e">
        <f t="shared" ref="E2756:F2756" si="4140">+E2755</f>
        <v>#REF!</v>
      </c>
      <c r="F2756" s="26" t="e">
        <f t="shared" si="4140"/>
        <v>#REF!</v>
      </c>
      <c r="G2756" s="17">
        <v>7</v>
      </c>
      <c r="H2756" s="17" t="s">
        <v>9</v>
      </c>
      <c r="I2756" s="30" t="s">
        <v>36</v>
      </c>
      <c r="J2756" s="22"/>
      <c r="K2756" s="22"/>
      <c r="L2756" s="8">
        <f t="shared" si="4131"/>
        <v>0</v>
      </c>
      <c r="M2756" s="24" t="e">
        <f t="shared" si="4052"/>
        <v>#DIV/0!</v>
      </c>
      <c r="N2756" s="14"/>
    </row>
    <row r="2757" spans="1:14" x14ac:dyDescent="0.25">
      <c r="A2757" s="20">
        <v>44616</v>
      </c>
      <c r="B2757" s="1">
        <f t="shared" ref="B2757" si="4141">B2750</f>
        <v>230</v>
      </c>
      <c r="C2757" s="1"/>
      <c r="D2757" s="1"/>
      <c r="E2757" s="26" t="e">
        <f>+E2756</f>
        <v>#REF!</v>
      </c>
      <c r="F2757" s="26" t="e">
        <f>+F2756</f>
        <v>#REF!</v>
      </c>
      <c r="G2757" s="17">
        <v>8</v>
      </c>
      <c r="H2757" s="17" t="s">
        <v>9</v>
      </c>
      <c r="I2757" s="30" t="s">
        <v>59</v>
      </c>
      <c r="J2757" s="22"/>
      <c r="K2757" s="22"/>
      <c r="L2757" s="8">
        <f t="shared" si="4131"/>
        <v>0</v>
      </c>
      <c r="M2757" s="24" t="e">
        <f t="shared" si="4052"/>
        <v>#DIV/0!</v>
      </c>
      <c r="N2757" s="14"/>
    </row>
    <row r="2758" spans="1:14" x14ac:dyDescent="0.25">
      <c r="A2758" s="20">
        <v>44616</v>
      </c>
      <c r="B2758" s="1">
        <f t="shared" ref="B2758" si="4142">B2750</f>
        <v>230</v>
      </c>
      <c r="C2758" s="1"/>
      <c r="D2758" s="1"/>
      <c r="E2758" s="26" t="e">
        <f t="shared" ref="E2758:F2758" si="4143">+E2757</f>
        <v>#REF!</v>
      </c>
      <c r="F2758" s="26" t="e">
        <f t="shared" si="4143"/>
        <v>#REF!</v>
      </c>
      <c r="G2758" s="17">
        <v>9</v>
      </c>
      <c r="H2758" s="17" t="s">
        <v>9</v>
      </c>
      <c r="I2758" s="30" t="s">
        <v>38</v>
      </c>
      <c r="J2758" s="22"/>
      <c r="K2758" s="22"/>
      <c r="L2758" s="8">
        <f t="shared" si="4131"/>
        <v>0</v>
      </c>
      <c r="M2758" s="24" t="e">
        <f t="shared" si="4052"/>
        <v>#DIV/0!</v>
      </c>
      <c r="N2758" s="14"/>
    </row>
    <row r="2759" spans="1:14" x14ac:dyDescent="0.25">
      <c r="A2759" s="20">
        <v>44616</v>
      </c>
      <c r="B2759" s="1">
        <f t="shared" ref="B2759" si="4144">B2750</f>
        <v>230</v>
      </c>
      <c r="C2759" s="1"/>
      <c r="D2759" s="1"/>
      <c r="E2759" s="26" t="e">
        <f t="shared" ref="E2759:F2759" si="4145">+E2758</f>
        <v>#REF!</v>
      </c>
      <c r="F2759" s="26" t="e">
        <f t="shared" si="4145"/>
        <v>#REF!</v>
      </c>
      <c r="G2759" s="17">
        <v>10</v>
      </c>
      <c r="H2759" s="17" t="s">
        <v>9</v>
      </c>
      <c r="I2759" s="30" t="s">
        <v>23</v>
      </c>
      <c r="J2759" s="22"/>
      <c r="K2759" s="22"/>
      <c r="L2759" s="8">
        <f t="shared" si="4131"/>
        <v>0</v>
      </c>
      <c r="M2759" s="24" t="e">
        <f t="shared" si="4052"/>
        <v>#DIV/0!</v>
      </c>
      <c r="N2759" s="14"/>
    </row>
    <row r="2760" spans="1:14" x14ac:dyDescent="0.25">
      <c r="A2760" s="20">
        <v>44616</v>
      </c>
      <c r="B2760" s="1">
        <f t="shared" ref="B2760" si="4146">B2750</f>
        <v>230</v>
      </c>
      <c r="C2760" s="1"/>
      <c r="D2760" s="1"/>
      <c r="E2760" s="26" t="e">
        <f t="shared" ref="E2760:F2760" si="4147">+E2759</f>
        <v>#REF!</v>
      </c>
      <c r="F2760" s="26" t="e">
        <f t="shared" si="4147"/>
        <v>#REF!</v>
      </c>
      <c r="G2760" s="17">
        <v>11</v>
      </c>
      <c r="H2760" s="17" t="s">
        <v>9</v>
      </c>
      <c r="I2760" s="30" t="s">
        <v>60</v>
      </c>
      <c r="J2760" s="22"/>
      <c r="K2760" s="22"/>
      <c r="L2760" s="8">
        <f t="shared" si="4131"/>
        <v>0</v>
      </c>
      <c r="M2760" s="24" t="e">
        <f t="shared" si="4052"/>
        <v>#DIV/0!</v>
      </c>
      <c r="N2760" s="14"/>
    </row>
    <row r="2761" spans="1:14" ht="15.75" thickBot="1" x14ac:dyDescent="0.3">
      <c r="A2761" s="20">
        <v>44616</v>
      </c>
      <c r="B2761" s="57">
        <f t="shared" ref="B2761" si="4148">B2750</f>
        <v>230</v>
      </c>
      <c r="C2761" s="1"/>
      <c r="D2761" s="57"/>
      <c r="E2761" s="26" t="e">
        <f t="shared" ref="E2761:F2761" si="4149">+E2760</f>
        <v>#REF!</v>
      </c>
      <c r="F2761" s="26" t="e">
        <f t="shared" si="4149"/>
        <v>#REF!</v>
      </c>
      <c r="G2761" s="18">
        <f>+G2760+1</f>
        <v>12</v>
      </c>
      <c r="H2761" s="18" t="s">
        <v>10</v>
      </c>
      <c r="I2761" s="46" t="s">
        <v>10</v>
      </c>
      <c r="J2761" s="22"/>
      <c r="K2761" s="63"/>
      <c r="L2761" s="8">
        <f t="shared" si="4131"/>
        <v>0</v>
      </c>
      <c r="M2761" s="24" t="e">
        <f t="shared" si="4052"/>
        <v>#DIV/0!</v>
      </c>
      <c r="N2761" s="14"/>
    </row>
    <row r="2762" spans="1:14" x14ac:dyDescent="0.25">
      <c r="A2762" s="19">
        <v>44616</v>
      </c>
      <c r="B2762" s="15">
        <f t="shared" ref="B2762" si="4150">B2750+1</f>
        <v>231</v>
      </c>
      <c r="C2762" s="15"/>
      <c r="D2762" s="15"/>
      <c r="E2762" s="25"/>
      <c r="F2762" s="25">
        <f>+SUM(L2762:L2773)</f>
        <v>0</v>
      </c>
      <c r="G2762" s="16">
        <v>1</v>
      </c>
      <c r="H2762" s="16" t="s">
        <v>9</v>
      </c>
      <c r="I2762" s="59" t="s">
        <v>56</v>
      </c>
      <c r="J2762" s="21"/>
      <c r="K2762" s="21"/>
      <c r="L2762" s="12">
        <f>+J2762-K2762</f>
        <v>0</v>
      </c>
      <c r="M2762" s="23" t="e">
        <f t="shared" si="4052"/>
        <v>#DIV/0!</v>
      </c>
      <c r="N2762" s="13"/>
    </row>
    <row r="2763" spans="1:14" x14ac:dyDescent="0.25">
      <c r="A2763" s="20">
        <v>44616</v>
      </c>
      <c r="B2763" s="1">
        <f t="shared" ref="B2763" si="4151">B2762</f>
        <v>231</v>
      </c>
      <c r="C2763" s="1"/>
      <c r="D2763" s="1"/>
      <c r="E2763" s="26">
        <f>+E2762</f>
        <v>0</v>
      </c>
      <c r="F2763" s="28" t="e">
        <f>+(F2762-E2762)/E2762</f>
        <v>#DIV/0!</v>
      </c>
      <c r="G2763" s="17">
        <v>2</v>
      </c>
      <c r="H2763" s="17" t="s">
        <v>9</v>
      </c>
      <c r="I2763" s="30" t="s">
        <v>57</v>
      </c>
      <c r="J2763" s="22"/>
      <c r="K2763" s="22"/>
      <c r="L2763" s="8">
        <f t="shared" ref="L2763:L2773" si="4152">+J2763-K2763</f>
        <v>0</v>
      </c>
      <c r="M2763" s="24" t="e">
        <f t="shared" si="4052"/>
        <v>#DIV/0!</v>
      </c>
      <c r="N2763" s="14"/>
    </row>
    <row r="2764" spans="1:14" x14ac:dyDescent="0.25">
      <c r="A2764" s="20">
        <v>44616</v>
      </c>
      <c r="B2764" s="1">
        <f t="shared" ref="B2764" si="4153">B2762</f>
        <v>231</v>
      </c>
      <c r="C2764" s="1"/>
      <c r="D2764" s="1"/>
      <c r="E2764" s="26" t="e">
        <f>+#REF!</f>
        <v>#REF!</v>
      </c>
      <c r="F2764" s="26" t="e">
        <f>+#REF!</f>
        <v>#REF!</v>
      </c>
      <c r="G2764" s="17">
        <v>3</v>
      </c>
      <c r="H2764" s="17" t="s">
        <v>9</v>
      </c>
      <c r="I2764" s="30" t="s">
        <v>58</v>
      </c>
      <c r="J2764" s="22"/>
      <c r="K2764" s="22"/>
      <c r="L2764" s="8">
        <f t="shared" si="4152"/>
        <v>0</v>
      </c>
      <c r="M2764" s="24" t="e">
        <f t="shared" si="4052"/>
        <v>#DIV/0!</v>
      </c>
      <c r="N2764" s="14"/>
    </row>
    <row r="2765" spans="1:14" x14ac:dyDescent="0.25">
      <c r="A2765" s="20">
        <v>44616</v>
      </c>
      <c r="B2765" s="1">
        <f t="shared" ref="B2765" si="4154">B2762</f>
        <v>231</v>
      </c>
      <c r="C2765" s="1"/>
      <c r="D2765" s="1"/>
      <c r="E2765" s="26" t="e">
        <f t="shared" ref="E2765:F2765" si="4155">+E2764</f>
        <v>#REF!</v>
      </c>
      <c r="F2765" s="26" t="e">
        <f t="shared" si="4155"/>
        <v>#REF!</v>
      </c>
      <c r="G2765" s="17">
        <v>4</v>
      </c>
      <c r="H2765" s="17" t="s">
        <v>9</v>
      </c>
      <c r="I2765" s="30" t="s">
        <v>22</v>
      </c>
      <c r="J2765" s="22"/>
      <c r="K2765" s="22"/>
      <c r="L2765" s="8">
        <f t="shared" si="4152"/>
        <v>0</v>
      </c>
      <c r="M2765" s="24" t="e">
        <f t="shared" si="4052"/>
        <v>#DIV/0!</v>
      </c>
      <c r="N2765" s="14"/>
    </row>
    <row r="2766" spans="1:14" x14ac:dyDescent="0.25">
      <c r="A2766" s="20">
        <v>44616</v>
      </c>
      <c r="B2766" s="1">
        <f t="shared" ref="B2766" si="4156">B2762</f>
        <v>231</v>
      </c>
      <c r="C2766" s="1"/>
      <c r="D2766" s="1"/>
      <c r="E2766" s="26" t="e">
        <f t="shared" ref="E2766:F2766" si="4157">+E2765</f>
        <v>#REF!</v>
      </c>
      <c r="F2766" s="26" t="e">
        <f t="shared" si="4157"/>
        <v>#REF!</v>
      </c>
      <c r="G2766" s="17">
        <v>5</v>
      </c>
      <c r="H2766" s="17" t="s">
        <v>9</v>
      </c>
      <c r="I2766" s="30" t="s">
        <v>34</v>
      </c>
      <c r="J2766" s="22"/>
      <c r="K2766" s="63"/>
      <c r="L2766" s="8">
        <f t="shared" si="4152"/>
        <v>0</v>
      </c>
      <c r="M2766" s="24" t="e">
        <f t="shared" si="4052"/>
        <v>#DIV/0!</v>
      </c>
      <c r="N2766" s="14"/>
    </row>
    <row r="2767" spans="1:14" x14ac:dyDescent="0.25">
      <c r="A2767" s="20">
        <v>44616</v>
      </c>
      <c r="B2767" s="1">
        <f t="shared" ref="B2767" si="4158">B2762</f>
        <v>231</v>
      </c>
      <c r="C2767" s="1"/>
      <c r="D2767" s="1"/>
      <c r="E2767" s="26" t="e">
        <f t="shared" ref="E2767:F2767" si="4159">+E2766</f>
        <v>#REF!</v>
      </c>
      <c r="F2767" s="26" t="e">
        <f t="shared" si="4159"/>
        <v>#REF!</v>
      </c>
      <c r="G2767" s="17">
        <v>6</v>
      </c>
      <c r="H2767" s="17" t="s">
        <v>9</v>
      </c>
      <c r="I2767" s="30" t="s">
        <v>35</v>
      </c>
      <c r="J2767" s="22"/>
      <c r="K2767" s="22"/>
      <c r="L2767" s="8">
        <f t="shared" si="4152"/>
        <v>0</v>
      </c>
      <c r="M2767" s="24" t="e">
        <f t="shared" si="4052"/>
        <v>#DIV/0!</v>
      </c>
      <c r="N2767" s="14"/>
    </row>
    <row r="2768" spans="1:14" x14ac:dyDescent="0.25">
      <c r="A2768" s="20">
        <v>44616</v>
      </c>
      <c r="B2768" s="1">
        <f t="shared" ref="B2768" si="4160">B2762</f>
        <v>231</v>
      </c>
      <c r="C2768" s="1"/>
      <c r="D2768" s="1"/>
      <c r="E2768" s="26" t="e">
        <f t="shared" ref="E2768:F2768" si="4161">+E2767</f>
        <v>#REF!</v>
      </c>
      <c r="F2768" s="26" t="e">
        <f t="shared" si="4161"/>
        <v>#REF!</v>
      </c>
      <c r="G2768" s="17">
        <v>7</v>
      </c>
      <c r="H2768" s="17" t="s">
        <v>9</v>
      </c>
      <c r="I2768" s="30" t="s">
        <v>36</v>
      </c>
      <c r="J2768" s="22"/>
      <c r="K2768" s="22"/>
      <c r="L2768" s="8">
        <f t="shared" si="4152"/>
        <v>0</v>
      </c>
      <c r="M2768" s="24" t="e">
        <f t="shared" si="4052"/>
        <v>#DIV/0!</v>
      </c>
      <c r="N2768" s="14"/>
    </row>
    <row r="2769" spans="1:14" x14ac:dyDescent="0.25">
      <c r="A2769" s="20">
        <v>44616</v>
      </c>
      <c r="B2769" s="1">
        <f t="shared" ref="B2769" si="4162">B2762</f>
        <v>231</v>
      </c>
      <c r="C2769" s="1"/>
      <c r="D2769" s="1"/>
      <c r="E2769" s="26" t="e">
        <f>+E2768</f>
        <v>#REF!</v>
      </c>
      <c r="F2769" s="26" t="e">
        <f>+F2768</f>
        <v>#REF!</v>
      </c>
      <c r="G2769" s="17">
        <v>8</v>
      </c>
      <c r="H2769" s="17" t="s">
        <v>9</v>
      </c>
      <c r="I2769" s="30" t="s">
        <v>59</v>
      </c>
      <c r="J2769" s="22"/>
      <c r="K2769" s="22"/>
      <c r="L2769" s="8">
        <f t="shared" si="4152"/>
        <v>0</v>
      </c>
      <c r="M2769" s="24" t="e">
        <f t="shared" si="4052"/>
        <v>#DIV/0!</v>
      </c>
      <c r="N2769" s="14"/>
    </row>
    <row r="2770" spans="1:14" x14ac:dyDescent="0.25">
      <c r="A2770" s="20">
        <v>44616</v>
      </c>
      <c r="B2770" s="1">
        <f t="shared" ref="B2770" si="4163">B2762</f>
        <v>231</v>
      </c>
      <c r="C2770" s="1"/>
      <c r="D2770" s="1"/>
      <c r="E2770" s="26" t="e">
        <f t="shared" ref="E2770:F2770" si="4164">+E2769</f>
        <v>#REF!</v>
      </c>
      <c r="F2770" s="26" t="e">
        <f t="shared" si="4164"/>
        <v>#REF!</v>
      </c>
      <c r="G2770" s="17">
        <v>9</v>
      </c>
      <c r="H2770" s="17" t="s">
        <v>9</v>
      </c>
      <c r="I2770" s="30" t="s">
        <v>38</v>
      </c>
      <c r="J2770" s="22"/>
      <c r="K2770" s="22"/>
      <c r="L2770" s="8">
        <f t="shared" si="4152"/>
        <v>0</v>
      </c>
      <c r="M2770" s="24" t="e">
        <f t="shared" ref="M2770:M2785" si="4165">+L2770/SUMIF(C:C,C2770,L:L)</f>
        <v>#DIV/0!</v>
      </c>
      <c r="N2770" s="14"/>
    </row>
    <row r="2771" spans="1:14" x14ac:dyDescent="0.25">
      <c r="A2771" s="20">
        <v>44616</v>
      </c>
      <c r="B2771" s="1">
        <f t="shared" ref="B2771" si="4166">B2762</f>
        <v>231</v>
      </c>
      <c r="C2771" s="1"/>
      <c r="D2771" s="1"/>
      <c r="E2771" s="26" t="e">
        <f t="shared" ref="E2771:F2771" si="4167">+E2770</f>
        <v>#REF!</v>
      </c>
      <c r="F2771" s="26" t="e">
        <f t="shared" si="4167"/>
        <v>#REF!</v>
      </c>
      <c r="G2771" s="17">
        <v>10</v>
      </c>
      <c r="H2771" s="17" t="s">
        <v>9</v>
      </c>
      <c r="I2771" s="30" t="s">
        <v>23</v>
      </c>
      <c r="J2771" s="22"/>
      <c r="K2771" s="22"/>
      <c r="L2771" s="8">
        <f t="shared" si="4152"/>
        <v>0</v>
      </c>
      <c r="M2771" s="24" t="e">
        <f t="shared" si="4165"/>
        <v>#DIV/0!</v>
      </c>
      <c r="N2771" s="14"/>
    </row>
    <row r="2772" spans="1:14" x14ac:dyDescent="0.25">
      <c r="A2772" s="20">
        <v>44616</v>
      </c>
      <c r="B2772" s="1">
        <f t="shared" ref="B2772" si="4168">B2762</f>
        <v>231</v>
      </c>
      <c r="C2772" s="1"/>
      <c r="D2772" s="1"/>
      <c r="E2772" s="26" t="e">
        <f t="shared" ref="E2772:F2772" si="4169">+E2771</f>
        <v>#REF!</v>
      </c>
      <c r="F2772" s="26" t="e">
        <f t="shared" si="4169"/>
        <v>#REF!</v>
      </c>
      <c r="G2772" s="17">
        <v>11</v>
      </c>
      <c r="H2772" s="17" t="s">
        <v>9</v>
      </c>
      <c r="I2772" s="30" t="s">
        <v>60</v>
      </c>
      <c r="J2772" s="22"/>
      <c r="K2772" s="22"/>
      <c r="L2772" s="8">
        <f t="shared" si="4152"/>
        <v>0</v>
      </c>
      <c r="M2772" s="24" t="e">
        <f t="shared" si="4165"/>
        <v>#DIV/0!</v>
      </c>
      <c r="N2772" s="14"/>
    </row>
    <row r="2773" spans="1:14" ht="15.75" thickBot="1" x14ac:dyDescent="0.3">
      <c r="A2773" s="20">
        <v>44616</v>
      </c>
      <c r="B2773" s="57">
        <f t="shared" ref="B2773" si="4170">B2762</f>
        <v>231</v>
      </c>
      <c r="C2773" s="1"/>
      <c r="D2773" s="57"/>
      <c r="E2773" s="26" t="e">
        <f t="shared" ref="E2773:F2773" si="4171">+E2772</f>
        <v>#REF!</v>
      </c>
      <c r="F2773" s="26" t="e">
        <f t="shared" si="4171"/>
        <v>#REF!</v>
      </c>
      <c r="G2773" s="18">
        <f>+G2772+1</f>
        <v>12</v>
      </c>
      <c r="H2773" s="18" t="s">
        <v>10</v>
      </c>
      <c r="I2773" s="46" t="s">
        <v>10</v>
      </c>
      <c r="J2773" s="22"/>
      <c r="K2773" s="63"/>
      <c r="L2773" s="8">
        <f t="shared" si="4152"/>
        <v>0</v>
      </c>
      <c r="M2773" s="24" t="e">
        <f t="shared" si="4165"/>
        <v>#DIV/0!</v>
      </c>
      <c r="N2773" s="14"/>
    </row>
    <row r="2774" spans="1:14" x14ac:dyDescent="0.25">
      <c r="A2774" s="19">
        <v>44616</v>
      </c>
      <c r="B2774" s="15">
        <f t="shared" ref="B2774" si="4172">B2762+1</f>
        <v>232</v>
      </c>
      <c r="C2774" s="15"/>
      <c r="D2774" s="15"/>
      <c r="E2774" s="25"/>
      <c r="F2774" s="25">
        <f>+SUM(L2774:L2785)</f>
        <v>0</v>
      </c>
      <c r="G2774" s="16">
        <v>1</v>
      </c>
      <c r="H2774" s="16" t="s">
        <v>9</v>
      </c>
      <c r="I2774" s="59" t="s">
        <v>56</v>
      </c>
      <c r="J2774" s="21"/>
      <c r="K2774" s="21"/>
      <c r="L2774" s="12">
        <f>+J2774-K2774</f>
        <v>0</v>
      </c>
      <c r="M2774" s="23" t="e">
        <f t="shared" si="4165"/>
        <v>#DIV/0!</v>
      </c>
      <c r="N2774" s="13"/>
    </row>
    <row r="2775" spans="1:14" x14ac:dyDescent="0.25">
      <c r="A2775" s="20">
        <v>44616</v>
      </c>
      <c r="B2775" s="1">
        <f t="shared" ref="B2775" si="4173">B2774</f>
        <v>232</v>
      </c>
      <c r="C2775" s="1"/>
      <c r="D2775" s="1"/>
      <c r="E2775" s="26">
        <f>+E2774</f>
        <v>0</v>
      </c>
      <c r="F2775" s="28" t="e">
        <f>+(F2774-E2774)/E2774</f>
        <v>#DIV/0!</v>
      </c>
      <c r="G2775" s="17">
        <v>2</v>
      </c>
      <c r="H2775" s="17" t="s">
        <v>9</v>
      </c>
      <c r="I2775" s="30" t="s">
        <v>57</v>
      </c>
      <c r="J2775" s="22"/>
      <c r="K2775" s="22"/>
      <c r="L2775" s="8">
        <f t="shared" ref="L2775:L2785" si="4174">+J2775-K2775</f>
        <v>0</v>
      </c>
      <c r="M2775" s="24" t="e">
        <f t="shared" si="4165"/>
        <v>#DIV/0!</v>
      </c>
      <c r="N2775" s="14"/>
    </row>
    <row r="2776" spans="1:14" x14ac:dyDescent="0.25">
      <c r="A2776" s="20">
        <v>44616</v>
      </c>
      <c r="B2776" s="1">
        <f t="shared" ref="B2776" si="4175">B2774</f>
        <v>232</v>
      </c>
      <c r="C2776" s="1"/>
      <c r="D2776" s="1"/>
      <c r="E2776" s="26" t="e">
        <f>+#REF!</f>
        <v>#REF!</v>
      </c>
      <c r="F2776" s="26" t="e">
        <f>+#REF!</f>
        <v>#REF!</v>
      </c>
      <c r="G2776" s="17">
        <v>3</v>
      </c>
      <c r="H2776" s="17" t="s">
        <v>9</v>
      </c>
      <c r="I2776" s="30" t="s">
        <v>58</v>
      </c>
      <c r="J2776" s="22"/>
      <c r="K2776" s="22"/>
      <c r="L2776" s="8">
        <f t="shared" si="4174"/>
        <v>0</v>
      </c>
      <c r="M2776" s="24" t="e">
        <f t="shared" si="4165"/>
        <v>#DIV/0!</v>
      </c>
      <c r="N2776" s="14"/>
    </row>
    <row r="2777" spans="1:14" x14ac:dyDescent="0.25">
      <c r="A2777" s="20">
        <v>44616</v>
      </c>
      <c r="B2777" s="1">
        <f t="shared" ref="B2777" si="4176">B2774</f>
        <v>232</v>
      </c>
      <c r="C2777" s="1"/>
      <c r="D2777" s="1"/>
      <c r="E2777" s="26" t="e">
        <f t="shared" ref="E2777:F2777" si="4177">+E2776</f>
        <v>#REF!</v>
      </c>
      <c r="F2777" s="26" t="e">
        <f t="shared" si="4177"/>
        <v>#REF!</v>
      </c>
      <c r="G2777" s="17">
        <v>4</v>
      </c>
      <c r="H2777" s="17" t="s">
        <v>9</v>
      </c>
      <c r="I2777" s="30" t="s">
        <v>22</v>
      </c>
      <c r="J2777" s="22"/>
      <c r="K2777" s="22"/>
      <c r="L2777" s="8">
        <f t="shared" si="4174"/>
        <v>0</v>
      </c>
      <c r="M2777" s="24" t="e">
        <f t="shared" si="4165"/>
        <v>#DIV/0!</v>
      </c>
      <c r="N2777" s="14"/>
    </row>
    <row r="2778" spans="1:14" x14ac:dyDescent="0.25">
      <c r="A2778" s="20">
        <v>44616</v>
      </c>
      <c r="B2778" s="1">
        <f t="shared" ref="B2778" si="4178">B2774</f>
        <v>232</v>
      </c>
      <c r="C2778" s="1"/>
      <c r="D2778" s="1"/>
      <c r="E2778" s="26" t="e">
        <f t="shared" ref="E2778:F2778" si="4179">+E2777</f>
        <v>#REF!</v>
      </c>
      <c r="F2778" s="26" t="e">
        <f t="shared" si="4179"/>
        <v>#REF!</v>
      </c>
      <c r="G2778" s="17">
        <v>5</v>
      </c>
      <c r="H2778" s="17" t="s">
        <v>9</v>
      </c>
      <c r="I2778" s="30" t="s">
        <v>34</v>
      </c>
      <c r="J2778" s="22"/>
      <c r="K2778" s="63"/>
      <c r="L2778" s="8">
        <f t="shared" si="4174"/>
        <v>0</v>
      </c>
      <c r="M2778" s="24" t="e">
        <f t="shared" si="4165"/>
        <v>#DIV/0!</v>
      </c>
      <c r="N2778" s="14"/>
    </row>
    <row r="2779" spans="1:14" x14ac:dyDescent="0.25">
      <c r="A2779" s="20">
        <v>44616</v>
      </c>
      <c r="B2779" s="1">
        <f t="shared" ref="B2779" si="4180">B2774</f>
        <v>232</v>
      </c>
      <c r="C2779" s="1"/>
      <c r="D2779" s="1"/>
      <c r="E2779" s="26" t="e">
        <f t="shared" ref="E2779:F2779" si="4181">+E2778</f>
        <v>#REF!</v>
      </c>
      <c r="F2779" s="26" t="e">
        <f t="shared" si="4181"/>
        <v>#REF!</v>
      </c>
      <c r="G2779" s="17">
        <v>6</v>
      </c>
      <c r="H2779" s="17" t="s">
        <v>9</v>
      </c>
      <c r="I2779" s="30" t="s">
        <v>35</v>
      </c>
      <c r="J2779" s="22"/>
      <c r="K2779" s="22"/>
      <c r="L2779" s="8">
        <f t="shared" si="4174"/>
        <v>0</v>
      </c>
      <c r="M2779" s="24" t="e">
        <f t="shared" si="4165"/>
        <v>#DIV/0!</v>
      </c>
      <c r="N2779" s="14"/>
    </row>
    <row r="2780" spans="1:14" x14ac:dyDescent="0.25">
      <c r="A2780" s="20">
        <v>44616</v>
      </c>
      <c r="B2780" s="1">
        <f t="shared" ref="B2780" si="4182">B2774</f>
        <v>232</v>
      </c>
      <c r="C2780" s="1"/>
      <c r="D2780" s="1"/>
      <c r="E2780" s="26" t="e">
        <f t="shared" ref="E2780:F2780" si="4183">+E2779</f>
        <v>#REF!</v>
      </c>
      <c r="F2780" s="26" t="e">
        <f t="shared" si="4183"/>
        <v>#REF!</v>
      </c>
      <c r="G2780" s="17">
        <v>7</v>
      </c>
      <c r="H2780" s="17" t="s">
        <v>9</v>
      </c>
      <c r="I2780" s="30" t="s">
        <v>36</v>
      </c>
      <c r="J2780" s="22"/>
      <c r="K2780" s="22"/>
      <c r="L2780" s="8">
        <f t="shared" si="4174"/>
        <v>0</v>
      </c>
      <c r="M2780" s="24" t="e">
        <f t="shared" si="4165"/>
        <v>#DIV/0!</v>
      </c>
      <c r="N2780" s="14"/>
    </row>
    <row r="2781" spans="1:14" x14ac:dyDescent="0.25">
      <c r="A2781" s="20">
        <v>44616</v>
      </c>
      <c r="B2781" s="1">
        <f t="shared" ref="B2781" si="4184">B2774</f>
        <v>232</v>
      </c>
      <c r="C2781" s="1"/>
      <c r="D2781" s="1"/>
      <c r="E2781" s="26" t="e">
        <f>+E2780</f>
        <v>#REF!</v>
      </c>
      <c r="F2781" s="26" t="e">
        <f>+F2780</f>
        <v>#REF!</v>
      </c>
      <c r="G2781" s="17">
        <v>8</v>
      </c>
      <c r="H2781" s="17" t="s">
        <v>9</v>
      </c>
      <c r="I2781" s="30" t="s">
        <v>59</v>
      </c>
      <c r="J2781" s="22"/>
      <c r="K2781" s="22"/>
      <c r="L2781" s="8">
        <f t="shared" si="4174"/>
        <v>0</v>
      </c>
      <c r="M2781" s="24" t="e">
        <f t="shared" si="4165"/>
        <v>#DIV/0!</v>
      </c>
      <c r="N2781" s="14"/>
    </row>
    <row r="2782" spans="1:14" x14ac:dyDescent="0.25">
      <c r="A2782" s="20">
        <v>44616</v>
      </c>
      <c r="B2782" s="1">
        <f t="shared" ref="B2782" si="4185">B2774</f>
        <v>232</v>
      </c>
      <c r="C2782" s="1"/>
      <c r="D2782" s="1"/>
      <c r="E2782" s="26" t="e">
        <f t="shared" ref="E2782:F2782" si="4186">+E2781</f>
        <v>#REF!</v>
      </c>
      <c r="F2782" s="26" t="e">
        <f t="shared" si="4186"/>
        <v>#REF!</v>
      </c>
      <c r="G2782" s="17">
        <v>9</v>
      </c>
      <c r="H2782" s="17" t="s">
        <v>9</v>
      </c>
      <c r="I2782" s="30" t="s">
        <v>38</v>
      </c>
      <c r="J2782" s="22"/>
      <c r="K2782" s="22"/>
      <c r="L2782" s="8">
        <f t="shared" si="4174"/>
        <v>0</v>
      </c>
      <c r="M2782" s="24" t="e">
        <f t="shared" si="4165"/>
        <v>#DIV/0!</v>
      </c>
      <c r="N2782" s="14"/>
    </row>
    <row r="2783" spans="1:14" x14ac:dyDescent="0.25">
      <c r="A2783" s="20">
        <v>44616</v>
      </c>
      <c r="B2783" s="1">
        <f t="shared" ref="B2783" si="4187">B2774</f>
        <v>232</v>
      </c>
      <c r="C2783" s="1"/>
      <c r="D2783" s="1"/>
      <c r="E2783" s="26" t="e">
        <f t="shared" ref="E2783:F2783" si="4188">+E2782</f>
        <v>#REF!</v>
      </c>
      <c r="F2783" s="26" t="e">
        <f t="shared" si="4188"/>
        <v>#REF!</v>
      </c>
      <c r="G2783" s="17">
        <v>10</v>
      </c>
      <c r="H2783" s="17" t="s">
        <v>9</v>
      </c>
      <c r="I2783" s="30" t="s">
        <v>23</v>
      </c>
      <c r="J2783" s="22"/>
      <c r="K2783" s="22"/>
      <c r="L2783" s="8">
        <f t="shared" si="4174"/>
        <v>0</v>
      </c>
      <c r="M2783" s="24" t="e">
        <f t="shared" si="4165"/>
        <v>#DIV/0!</v>
      </c>
      <c r="N2783" s="14"/>
    </row>
    <row r="2784" spans="1:14" x14ac:dyDescent="0.25">
      <c r="A2784" s="20">
        <v>44616</v>
      </c>
      <c r="B2784" s="1">
        <f t="shared" ref="B2784" si="4189">B2774</f>
        <v>232</v>
      </c>
      <c r="C2784" s="1"/>
      <c r="D2784" s="1"/>
      <c r="E2784" s="26" t="e">
        <f t="shared" ref="E2784:F2784" si="4190">+E2783</f>
        <v>#REF!</v>
      </c>
      <c r="F2784" s="26" t="e">
        <f t="shared" si="4190"/>
        <v>#REF!</v>
      </c>
      <c r="G2784" s="17">
        <v>11</v>
      </c>
      <c r="H2784" s="17" t="s">
        <v>9</v>
      </c>
      <c r="I2784" s="30" t="s">
        <v>60</v>
      </c>
      <c r="J2784" s="22"/>
      <c r="K2784" s="22"/>
      <c r="L2784" s="8">
        <f t="shared" si="4174"/>
        <v>0</v>
      </c>
      <c r="M2784" s="24" t="e">
        <f t="shared" si="4165"/>
        <v>#DIV/0!</v>
      </c>
      <c r="N2784" s="14"/>
    </row>
    <row r="2785" spans="1:14" x14ac:dyDescent="0.25">
      <c r="A2785" s="20">
        <v>44616</v>
      </c>
      <c r="B2785" s="57">
        <f t="shared" ref="B2785" si="4191">B2774</f>
        <v>232</v>
      </c>
      <c r="C2785" s="1"/>
      <c r="D2785" s="57"/>
      <c r="E2785" s="26" t="e">
        <f t="shared" ref="E2785:F2785" si="4192">+E2784</f>
        <v>#REF!</v>
      </c>
      <c r="F2785" s="26" t="e">
        <f t="shared" si="4192"/>
        <v>#REF!</v>
      </c>
      <c r="G2785" s="18">
        <f>+G2784+1</f>
        <v>12</v>
      </c>
      <c r="H2785" s="18" t="s">
        <v>10</v>
      </c>
      <c r="I2785" s="46" t="s">
        <v>10</v>
      </c>
      <c r="J2785" s="22"/>
      <c r="K2785" s="63"/>
      <c r="L2785" s="8">
        <f t="shared" si="4174"/>
        <v>0</v>
      </c>
      <c r="M2785" s="24" t="e">
        <f t="shared" si="4165"/>
        <v>#DIV/0!</v>
      </c>
      <c r="N2785" s="14"/>
    </row>
  </sheetData>
  <autoFilter ref="C1:N1777" xr:uid="{00000000-0009-0000-0000-000000000000}"/>
  <phoneticPr fontId="13" type="noConversion"/>
  <conditionalFormatting sqref="F3 F15 F27 F39 F51 F63 F75 F87 F99 F111 F123 F135 F147 F159 F171 F183 F195 F207 F219 F231 F243 F255 F267 F279 F291 F303 F315 F327 F339 F351 F363 F375 F387 F399 F411 F423 F435 F447 F459 F471 F483 F495 F507 F519 F531 F543 F555 F567 F579 F591 F603 F615 F627 F639 F651 F663 F675 F687 F699 F711 F723 F735 F747 F759 F771 F783 F795 F807 F819 F831 F843 F855 F867 F879 F891 F903 F915 F927 F939 F951 F963 F975 F987 F999 F1011 F1023 F1035 F1047 F1059 F1071 F1083 F1095 F1107 F1119 F1131 F1143 F1155 F1167 F1179 F1191 F1203 F1215 F1227 F1239 F1251 F1263 F1275 F1287 F1299 F1311 F1323 F1335 F1347 F1359 F1371 F1383 F1395 F1407 F1419 F1431 F1443 F1455 F1467 F1479 F1491 F1503 F1515 F1527 F1539 F1551 F1563 F1575 F1587 F1599 F1611 F1623 F1635 F1647 F1659 F1671 F1683 F1695 F1707 F1719 F1731 F1743 F1755 F1767 F1779 F1791 F1803 F1815 F1827 F1839 F1851 F1863 F1875 F1887 F1899 F1911 F1923 F1935 F1947 F1959">
    <cfRule type="cellIs" dxfId="68" priority="282" operator="notBetween">
      <formula>-0.05</formula>
      <formula>0.05</formula>
    </cfRule>
  </conditionalFormatting>
  <conditionalFormatting sqref="F1971">
    <cfRule type="cellIs" dxfId="67" priority="78" operator="notBetween">
      <formula>-0.05</formula>
      <formula>0.05</formula>
    </cfRule>
  </conditionalFormatting>
  <conditionalFormatting sqref="F1983">
    <cfRule type="cellIs" dxfId="66" priority="77" operator="notBetween">
      <formula>-0.05</formula>
      <formula>0.05</formula>
    </cfRule>
  </conditionalFormatting>
  <conditionalFormatting sqref="F1995">
    <cfRule type="cellIs" dxfId="65" priority="75" operator="notBetween">
      <formula>-0.05</formula>
      <formula>0.05</formula>
    </cfRule>
  </conditionalFormatting>
  <conditionalFormatting sqref="F2007">
    <cfRule type="cellIs" dxfId="64" priority="74" operator="notBetween">
      <formula>-0.05</formula>
      <formula>0.05</formula>
    </cfRule>
  </conditionalFormatting>
  <conditionalFormatting sqref="F2019">
    <cfRule type="cellIs" dxfId="63" priority="73" operator="notBetween">
      <formula>-0.05</formula>
      <formula>0.05</formula>
    </cfRule>
  </conditionalFormatting>
  <conditionalFormatting sqref="F2031">
    <cfRule type="cellIs" dxfId="62" priority="72" operator="notBetween">
      <formula>-0.05</formula>
      <formula>0.05</formula>
    </cfRule>
  </conditionalFormatting>
  <conditionalFormatting sqref="F2043">
    <cfRule type="cellIs" dxfId="61" priority="71" operator="notBetween">
      <formula>-0.05</formula>
      <formula>0.05</formula>
    </cfRule>
  </conditionalFormatting>
  <conditionalFormatting sqref="F2055">
    <cfRule type="cellIs" dxfId="60" priority="70" operator="notBetween">
      <formula>-0.05</formula>
      <formula>0.05</formula>
    </cfRule>
  </conditionalFormatting>
  <conditionalFormatting sqref="F2067">
    <cfRule type="cellIs" dxfId="59" priority="69" operator="notBetween">
      <formula>-0.05</formula>
      <formula>0.05</formula>
    </cfRule>
  </conditionalFormatting>
  <conditionalFormatting sqref="F2079">
    <cfRule type="cellIs" dxfId="58" priority="68" operator="notBetween">
      <formula>-0.05</formula>
      <formula>0.05</formula>
    </cfRule>
  </conditionalFormatting>
  <conditionalFormatting sqref="F2091">
    <cfRule type="cellIs" dxfId="57" priority="60" operator="notBetween">
      <formula>-0.05</formula>
      <formula>0.05</formula>
    </cfRule>
  </conditionalFormatting>
  <conditionalFormatting sqref="F2103">
    <cfRule type="cellIs" dxfId="56" priority="59" operator="notBetween">
      <formula>-0.05</formula>
      <formula>0.05</formula>
    </cfRule>
  </conditionalFormatting>
  <conditionalFormatting sqref="F2115">
    <cfRule type="cellIs" dxfId="55" priority="58" operator="notBetween">
      <formula>-0.05</formula>
      <formula>0.05</formula>
    </cfRule>
  </conditionalFormatting>
  <conditionalFormatting sqref="F2127">
    <cfRule type="cellIs" dxfId="54" priority="64" operator="notBetween">
      <formula>-0.05</formula>
      <formula>0.05</formula>
    </cfRule>
  </conditionalFormatting>
  <conditionalFormatting sqref="F2139">
    <cfRule type="cellIs" dxfId="53" priority="55" operator="notBetween">
      <formula>-0.05</formula>
      <formula>0.05</formula>
    </cfRule>
  </conditionalFormatting>
  <conditionalFormatting sqref="F2151">
    <cfRule type="cellIs" dxfId="52" priority="54" operator="notBetween">
      <formula>-0.05</formula>
      <formula>0.05</formula>
    </cfRule>
  </conditionalFormatting>
  <conditionalFormatting sqref="F2163">
    <cfRule type="cellIs" dxfId="51" priority="53" operator="notBetween">
      <formula>-0.05</formula>
      <formula>0.05</formula>
    </cfRule>
  </conditionalFormatting>
  <conditionalFormatting sqref="F2175">
    <cfRule type="cellIs" dxfId="50" priority="52" operator="notBetween">
      <formula>-0.05</formula>
      <formula>0.05</formula>
    </cfRule>
  </conditionalFormatting>
  <conditionalFormatting sqref="F2187">
    <cfRule type="cellIs" dxfId="49" priority="51" operator="notBetween">
      <formula>-0.05</formula>
      <formula>0.05</formula>
    </cfRule>
  </conditionalFormatting>
  <conditionalFormatting sqref="F2199">
    <cfRule type="cellIs" dxfId="48" priority="50" operator="notBetween">
      <formula>-0.05</formula>
      <formula>0.05</formula>
    </cfRule>
  </conditionalFormatting>
  <conditionalFormatting sqref="F2211">
    <cfRule type="cellIs" dxfId="47" priority="49" operator="notBetween">
      <formula>-0.05</formula>
      <formula>0.05</formula>
    </cfRule>
  </conditionalFormatting>
  <conditionalFormatting sqref="F2223">
    <cfRule type="cellIs" dxfId="46" priority="48" operator="notBetween">
      <formula>-0.05</formula>
      <formula>0.05</formula>
    </cfRule>
  </conditionalFormatting>
  <conditionalFormatting sqref="F2235">
    <cfRule type="cellIs" dxfId="45" priority="47" operator="notBetween">
      <formula>-0.05</formula>
      <formula>0.05</formula>
    </cfRule>
  </conditionalFormatting>
  <conditionalFormatting sqref="F2247">
    <cfRule type="cellIs" dxfId="44" priority="46" operator="notBetween">
      <formula>-0.05</formula>
      <formula>0.05</formula>
    </cfRule>
  </conditionalFormatting>
  <conditionalFormatting sqref="F2259">
    <cfRule type="cellIs" dxfId="43" priority="45" operator="notBetween">
      <formula>-0.05</formula>
      <formula>0.05</formula>
    </cfRule>
  </conditionalFormatting>
  <conditionalFormatting sqref="F2271">
    <cfRule type="cellIs" dxfId="42" priority="44" operator="notBetween">
      <formula>-0.05</formula>
      <formula>0.05</formula>
    </cfRule>
  </conditionalFormatting>
  <conditionalFormatting sqref="F2283">
    <cfRule type="cellIs" dxfId="41" priority="43" operator="notBetween">
      <formula>-0.05</formula>
      <formula>0.05</formula>
    </cfRule>
  </conditionalFormatting>
  <conditionalFormatting sqref="F2295">
    <cfRule type="cellIs" dxfId="40" priority="42" operator="notBetween">
      <formula>-0.05</formula>
      <formula>0.05</formula>
    </cfRule>
  </conditionalFormatting>
  <conditionalFormatting sqref="F2307">
    <cfRule type="cellIs" dxfId="39" priority="41" operator="notBetween">
      <formula>-0.05</formula>
      <formula>0.05</formula>
    </cfRule>
  </conditionalFormatting>
  <conditionalFormatting sqref="F2319">
    <cfRule type="cellIs" dxfId="38" priority="40" operator="notBetween">
      <formula>-0.05</formula>
      <formula>0.05</formula>
    </cfRule>
  </conditionalFormatting>
  <conditionalFormatting sqref="F2331">
    <cfRule type="cellIs" dxfId="37" priority="39" operator="notBetween">
      <formula>-0.05</formula>
      <formula>0.05</formula>
    </cfRule>
  </conditionalFormatting>
  <conditionalFormatting sqref="F2343">
    <cfRule type="cellIs" dxfId="36" priority="38" operator="notBetween">
      <formula>-0.05</formula>
      <formula>0.05</formula>
    </cfRule>
  </conditionalFormatting>
  <conditionalFormatting sqref="F2355">
    <cfRule type="cellIs" dxfId="35" priority="37" operator="notBetween">
      <formula>-0.05</formula>
      <formula>0.05</formula>
    </cfRule>
  </conditionalFormatting>
  <conditionalFormatting sqref="F2367">
    <cfRule type="cellIs" dxfId="34" priority="36" operator="notBetween">
      <formula>-0.05</formula>
      <formula>0.05</formula>
    </cfRule>
  </conditionalFormatting>
  <conditionalFormatting sqref="F2379">
    <cfRule type="cellIs" dxfId="33" priority="35" operator="notBetween">
      <formula>-0.05</formula>
      <formula>0.05</formula>
    </cfRule>
  </conditionalFormatting>
  <conditionalFormatting sqref="F2391">
    <cfRule type="cellIs" dxfId="32" priority="34" operator="notBetween">
      <formula>-0.05</formula>
      <formula>0.05</formula>
    </cfRule>
  </conditionalFormatting>
  <conditionalFormatting sqref="F2403">
    <cfRule type="cellIs" dxfId="31" priority="33" operator="notBetween">
      <formula>-0.05</formula>
      <formula>0.05</formula>
    </cfRule>
  </conditionalFormatting>
  <conditionalFormatting sqref="F2415">
    <cfRule type="cellIs" dxfId="30" priority="31" operator="notBetween">
      <formula>-0.05</formula>
      <formula>0.05</formula>
    </cfRule>
  </conditionalFormatting>
  <conditionalFormatting sqref="F2427">
    <cfRule type="cellIs" dxfId="29" priority="30" operator="notBetween">
      <formula>-0.05</formula>
      <formula>0.05</formula>
    </cfRule>
  </conditionalFormatting>
  <conditionalFormatting sqref="F2439">
    <cfRule type="cellIs" dxfId="28" priority="29" operator="notBetween">
      <formula>-0.05</formula>
      <formula>0.05</formula>
    </cfRule>
  </conditionalFormatting>
  <conditionalFormatting sqref="F2451">
    <cfRule type="cellIs" dxfId="27" priority="28" operator="notBetween">
      <formula>-0.05</formula>
      <formula>0.05</formula>
    </cfRule>
  </conditionalFormatting>
  <conditionalFormatting sqref="F2463">
    <cfRule type="cellIs" dxfId="26" priority="27" operator="notBetween">
      <formula>-0.05</formula>
      <formula>0.05</formula>
    </cfRule>
  </conditionalFormatting>
  <conditionalFormatting sqref="F2475">
    <cfRule type="cellIs" dxfId="25" priority="26" operator="notBetween">
      <formula>-0.05</formula>
      <formula>0.05</formula>
    </cfRule>
  </conditionalFormatting>
  <conditionalFormatting sqref="F2487">
    <cfRule type="cellIs" dxfId="24" priority="25" operator="notBetween">
      <formula>-0.05</formula>
      <formula>0.05</formula>
    </cfRule>
  </conditionalFormatting>
  <conditionalFormatting sqref="F2499">
    <cfRule type="cellIs" dxfId="23" priority="24" operator="notBetween">
      <formula>-0.05</formula>
      <formula>0.05</formula>
    </cfRule>
  </conditionalFormatting>
  <conditionalFormatting sqref="F2511">
    <cfRule type="cellIs" dxfId="22" priority="23" operator="notBetween">
      <formula>-0.05</formula>
      <formula>0.05</formula>
    </cfRule>
  </conditionalFormatting>
  <conditionalFormatting sqref="F2523">
    <cfRule type="cellIs" dxfId="21" priority="22" operator="notBetween">
      <formula>-0.05</formula>
      <formula>0.05</formula>
    </cfRule>
  </conditionalFormatting>
  <conditionalFormatting sqref="F2535">
    <cfRule type="cellIs" dxfId="20" priority="21" operator="notBetween">
      <formula>-0.05</formula>
      <formula>0.05</formula>
    </cfRule>
  </conditionalFormatting>
  <conditionalFormatting sqref="F2547">
    <cfRule type="cellIs" dxfId="19" priority="20" operator="notBetween">
      <formula>-0.05</formula>
      <formula>0.05</formula>
    </cfRule>
  </conditionalFormatting>
  <conditionalFormatting sqref="F2559">
    <cfRule type="cellIs" dxfId="18" priority="19" operator="notBetween">
      <formula>-0.05</formula>
      <formula>0.05</formula>
    </cfRule>
  </conditionalFormatting>
  <conditionalFormatting sqref="F2571">
    <cfRule type="cellIs" dxfId="17" priority="18" operator="notBetween">
      <formula>-0.05</formula>
      <formula>0.05</formula>
    </cfRule>
  </conditionalFormatting>
  <conditionalFormatting sqref="F2583">
    <cfRule type="cellIs" dxfId="16" priority="17" operator="notBetween">
      <formula>-0.05</formula>
      <formula>0.05</formula>
    </cfRule>
  </conditionalFormatting>
  <conditionalFormatting sqref="F2595">
    <cfRule type="cellIs" dxfId="15" priority="16" operator="notBetween">
      <formula>-0.05</formula>
      <formula>0.05</formula>
    </cfRule>
  </conditionalFormatting>
  <conditionalFormatting sqref="F2607">
    <cfRule type="cellIs" dxfId="14" priority="15" operator="notBetween">
      <formula>-0.05</formula>
      <formula>0.05</formula>
    </cfRule>
  </conditionalFormatting>
  <conditionalFormatting sqref="F2619">
    <cfRule type="cellIs" dxfId="13" priority="14" operator="notBetween">
      <formula>-0.05</formula>
      <formula>0.05</formula>
    </cfRule>
  </conditionalFormatting>
  <conditionalFormatting sqref="F2631">
    <cfRule type="cellIs" dxfId="12" priority="13" operator="notBetween">
      <formula>-0.05</formula>
      <formula>0.05</formula>
    </cfRule>
  </conditionalFormatting>
  <conditionalFormatting sqref="F2643">
    <cfRule type="cellIs" dxfId="11" priority="12" operator="notBetween">
      <formula>-0.05</formula>
      <formula>0.05</formula>
    </cfRule>
  </conditionalFormatting>
  <conditionalFormatting sqref="F2655">
    <cfRule type="cellIs" dxfId="10" priority="11" operator="notBetween">
      <formula>-0.05</formula>
      <formula>0.05</formula>
    </cfRule>
  </conditionalFormatting>
  <conditionalFormatting sqref="F2667">
    <cfRule type="cellIs" dxfId="9" priority="10" operator="notBetween">
      <formula>-0.05</formula>
      <formula>0.05</formula>
    </cfRule>
  </conditionalFormatting>
  <conditionalFormatting sqref="F2679">
    <cfRule type="cellIs" dxfId="8" priority="9" operator="notBetween">
      <formula>-0.05</formula>
      <formula>0.05</formula>
    </cfRule>
  </conditionalFormatting>
  <conditionalFormatting sqref="F2691">
    <cfRule type="cellIs" dxfId="7" priority="8" operator="notBetween">
      <formula>-0.05</formula>
      <formula>0.05</formula>
    </cfRule>
  </conditionalFormatting>
  <conditionalFormatting sqref="F2703">
    <cfRule type="cellIs" dxfId="6" priority="7" operator="notBetween">
      <formula>-0.05</formula>
      <formula>0.05</formula>
    </cfRule>
  </conditionalFormatting>
  <conditionalFormatting sqref="F2715">
    <cfRule type="cellIs" dxfId="5" priority="6" operator="notBetween">
      <formula>-0.05</formula>
      <formula>0.05</formula>
    </cfRule>
  </conditionalFormatting>
  <conditionalFormatting sqref="F2727">
    <cfRule type="cellIs" dxfId="4" priority="5" operator="notBetween">
      <formula>-0.05</formula>
      <formula>0.05</formula>
    </cfRule>
  </conditionalFormatting>
  <conditionalFormatting sqref="F2739">
    <cfRule type="cellIs" dxfId="3" priority="4" operator="notBetween">
      <formula>-0.05</formula>
      <formula>0.05</formula>
    </cfRule>
  </conditionalFormatting>
  <conditionalFormatting sqref="F2751">
    <cfRule type="cellIs" dxfId="2" priority="3" operator="notBetween">
      <formula>-0.05</formula>
      <formula>0.05</formula>
    </cfRule>
  </conditionalFormatting>
  <conditionalFormatting sqref="F2763">
    <cfRule type="cellIs" dxfId="1" priority="2" operator="notBetween">
      <formula>-0.05</formula>
      <formula>0.05</formula>
    </cfRule>
  </conditionalFormatting>
  <conditionalFormatting sqref="F2775">
    <cfRule type="cellIs" dxfId="0" priority="1" operator="notBetween">
      <formula>-0.05</formula>
      <formula>0.05</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AR23"/>
  <sheetViews>
    <sheetView topLeftCell="G1" zoomScale="80" zoomScaleNormal="80" workbookViewId="0">
      <selection activeCell="AR18" sqref="AR18"/>
    </sheetView>
  </sheetViews>
  <sheetFormatPr baseColWidth="10" defaultRowHeight="15" x14ac:dyDescent="0.25"/>
  <cols>
    <col min="1" max="6" width="14.28515625" hidden="1" customWidth="1"/>
    <col min="7" max="7" width="14.28515625" customWidth="1"/>
    <col min="8" max="8" width="41.7109375" customWidth="1"/>
    <col min="9" max="9" width="16.85546875" bestFit="1" customWidth="1"/>
    <col min="10" max="10" width="20.140625" customWidth="1"/>
    <col min="11" max="11" width="22.85546875" bestFit="1" customWidth="1"/>
    <col min="12" max="12" width="7.140625" customWidth="1"/>
    <col min="13" max="13" width="59.140625" hidden="1" customWidth="1"/>
    <col min="14" max="14" width="23.42578125" hidden="1" customWidth="1"/>
    <col min="15" max="16" width="17.28515625" hidden="1" customWidth="1"/>
    <col min="17" max="17" width="12.42578125" hidden="1" customWidth="1"/>
    <col min="18" max="18" width="14.28515625" hidden="1" customWidth="1"/>
    <col min="19" max="19" width="19.140625" hidden="1" customWidth="1"/>
    <col min="20" max="20" width="28.5703125" customWidth="1"/>
    <col min="21" max="21" width="16.28515625" bestFit="1" customWidth="1"/>
    <col min="22" max="22" width="19.28515625" bestFit="1" customWidth="1"/>
    <col min="23" max="23" width="16.28515625" bestFit="1" customWidth="1"/>
    <col min="24" max="24" width="7.140625" customWidth="1"/>
    <col min="25" max="25" width="59.140625" hidden="1" customWidth="1"/>
    <col min="26" max="26" width="23.42578125" hidden="1" customWidth="1"/>
    <col min="27" max="28" width="17.28515625" hidden="1" customWidth="1"/>
    <col min="29" max="29" width="12.42578125" hidden="1" customWidth="1"/>
    <col min="30" max="30" width="14.28515625" hidden="1" customWidth="1"/>
    <col min="31" max="31" width="19.140625" hidden="1" customWidth="1"/>
    <col min="32" max="32" width="28.5703125" customWidth="1"/>
    <col min="33" max="33" width="16.28515625" bestFit="1" customWidth="1"/>
    <col min="34" max="34" width="19.28515625" bestFit="1" customWidth="1"/>
    <col min="35" max="35" width="16.28515625" bestFit="1" customWidth="1"/>
    <col min="36" max="36" width="7.140625" customWidth="1"/>
    <col min="37" max="37" width="53.28515625" hidden="1" customWidth="1"/>
    <col min="38" max="38" width="23.7109375" hidden="1" customWidth="1"/>
    <col min="39" max="39" width="17.28515625" hidden="1" customWidth="1"/>
    <col min="40" max="41" width="12.28515625" hidden="1" customWidth="1"/>
    <col min="42" max="42" width="28.5703125" customWidth="1"/>
    <col min="43" max="43" width="16.28515625" bestFit="1" customWidth="1"/>
    <col min="44" max="44" width="19.28515625" bestFit="1" customWidth="1"/>
    <col min="45" max="45" width="11.5703125"/>
  </cols>
  <sheetData>
    <row r="1" spans="1:44" ht="21" x14ac:dyDescent="0.35">
      <c r="A1" s="47" t="s">
        <v>16</v>
      </c>
      <c r="B1" t="s">
        <v>55</v>
      </c>
      <c r="H1" s="105" t="s">
        <v>345</v>
      </c>
      <c r="I1" s="105"/>
      <c r="J1" s="105"/>
      <c r="K1" s="105"/>
      <c r="T1" s="105" t="s">
        <v>346</v>
      </c>
      <c r="U1" s="105"/>
      <c r="V1" s="105"/>
      <c r="W1" s="105"/>
      <c r="AF1" s="105" t="s">
        <v>545</v>
      </c>
      <c r="AG1" s="105"/>
      <c r="AH1" s="105"/>
      <c r="AI1" s="105"/>
      <c r="AP1" s="106" t="s">
        <v>544</v>
      </c>
      <c r="AQ1" s="106"/>
      <c r="AR1" s="106"/>
    </row>
    <row r="3" spans="1:44" x14ac:dyDescent="0.25">
      <c r="A3" s="47" t="s">
        <v>30</v>
      </c>
      <c r="B3" s="47" t="s">
        <v>29</v>
      </c>
      <c r="M3" s="47" t="s">
        <v>30</v>
      </c>
      <c r="N3" s="47" t="s">
        <v>29</v>
      </c>
      <c r="Y3" s="47" t="s">
        <v>30</v>
      </c>
      <c r="Z3" s="47" t="s">
        <v>29</v>
      </c>
      <c r="AK3" s="47" t="s">
        <v>30</v>
      </c>
      <c r="AL3" s="47" t="s">
        <v>29</v>
      </c>
    </row>
    <row r="4" spans="1:44" x14ac:dyDescent="0.25">
      <c r="A4" s="47" t="s">
        <v>27</v>
      </c>
      <c r="B4" t="s">
        <v>40</v>
      </c>
      <c r="C4" t="s">
        <v>41</v>
      </c>
      <c r="D4" t="s">
        <v>42</v>
      </c>
      <c r="E4" t="s">
        <v>28</v>
      </c>
      <c r="I4" s="50" t="str">
        <f>B4</f>
        <v>FLUX_ENTRANT_1</v>
      </c>
      <c r="J4" s="50" t="str">
        <f t="shared" ref="J4:K16" si="0">C4</f>
        <v>FLUX_ENTRANT_2</v>
      </c>
      <c r="K4" s="50" t="str">
        <f t="shared" si="0"/>
        <v>FLUX_ENTRANT_3</v>
      </c>
      <c r="M4" s="47" t="s">
        <v>27</v>
      </c>
      <c r="N4" t="s">
        <v>341</v>
      </c>
      <c r="O4" t="s">
        <v>343</v>
      </c>
      <c r="P4" t="s">
        <v>344</v>
      </c>
      <c r="Q4" t="s">
        <v>28</v>
      </c>
      <c r="U4" s="50" t="str">
        <f>N4</f>
        <v>FLUX_ENTRANT_4</v>
      </c>
      <c r="V4" s="50" t="str">
        <f t="shared" ref="V4:W16" si="1">O4</f>
        <v>FLUX_ENTRANT_5</v>
      </c>
      <c r="W4" s="50" t="str">
        <f t="shared" si="1"/>
        <v>FLUX_ENTRANT_6</v>
      </c>
      <c r="Y4" s="47" t="s">
        <v>27</v>
      </c>
      <c r="Z4" t="s">
        <v>415</v>
      </c>
      <c r="AA4" t="s">
        <v>416</v>
      </c>
      <c r="AB4" t="s">
        <v>418</v>
      </c>
      <c r="AC4" t="s">
        <v>28</v>
      </c>
      <c r="AG4" s="50" t="str">
        <f>Z4</f>
        <v>FLUX_ENTRANT_7</v>
      </c>
      <c r="AH4" s="50" t="str">
        <f t="shared" ref="AH4:AH16" si="2">AA4</f>
        <v>FLUX_ENTRANT_8</v>
      </c>
      <c r="AI4" s="50" t="str">
        <f t="shared" ref="AI4:AI16" si="3">AB4</f>
        <v>FLUX_ENTRANT_9</v>
      </c>
      <c r="AK4" s="47" t="s">
        <v>27</v>
      </c>
      <c r="AL4" t="s">
        <v>539</v>
      </c>
      <c r="AM4" t="s">
        <v>540</v>
      </c>
      <c r="AN4" t="s">
        <v>28</v>
      </c>
      <c r="AQ4" s="50" t="str">
        <f t="shared" ref="AQ4:AQ16" si="4">AL4</f>
        <v>FLUX_ENTRANT_10</v>
      </c>
      <c r="AR4" s="50" t="str">
        <f t="shared" ref="AR4:AR16" si="5">AM4</f>
        <v>FLUX_ENTRANT_11</v>
      </c>
    </row>
    <row r="5" spans="1:44" x14ac:dyDescent="0.25">
      <c r="A5" s="48" t="s">
        <v>38</v>
      </c>
      <c r="B5" s="67">
        <v>4.0785498489425989E-2</v>
      </c>
      <c r="C5" s="67">
        <v>3.0020703933747412E-2</v>
      </c>
      <c r="D5" s="67">
        <v>3.56718192627824E-2</v>
      </c>
      <c r="E5" s="67">
        <v>0.1064780216859558</v>
      </c>
      <c r="H5" s="54" t="str">
        <f>A5</f>
        <v>Acier</v>
      </c>
      <c r="I5" s="49">
        <f>B5</f>
        <v>4.0785498489425989E-2</v>
      </c>
      <c r="J5" s="49">
        <f t="shared" si="0"/>
        <v>3.0020703933747412E-2</v>
      </c>
      <c r="K5" s="49">
        <f t="shared" si="0"/>
        <v>3.56718192627824E-2</v>
      </c>
      <c r="M5" s="48" t="s">
        <v>38</v>
      </c>
      <c r="N5" s="98">
        <v>2.3421588594704685E-2</v>
      </c>
      <c r="O5" s="98">
        <v>2.835538752362949E-2</v>
      </c>
      <c r="P5" s="98">
        <v>3.0277544154751888E-2</v>
      </c>
      <c r="Q5" s="98">
        <v>8.2054520273086073E-2</v>
      </c>
      <c r="T5" s="54" t="str">
        <f>M5</f>
        <v>Acier</v>
      </c>
      <c r="U5" s="49">
        <f>N5</f>
        <v>2.3421588594704685E-2</v>
      </c>
      <c r="V5" s="49">
        <f t="shared" si="1"/>
        <v>2.835538752362949E-2</v>
      </c>
      <c r="W5" s="49">
        <f t="shared" si="1"/>
        <v>3.0277544154751888E-2</v>
      </c>
      <c r="Y5" s="48" t="s">
        <v>38</v>
      </c>
      <c r="Z5" s="98">
        <v>3.8703870387038715E-2</v>
      </c>
      <c r="AA5" s="98">
        <v>3.8267875125881173E-2</v>
      </c>
      <c r="AB5" s="98">
        <v>4.4133476856835316E-2</v>
      </c>
      <c r="AC5" s="98">
        <v>0.1211052223697552</v>
      </c>
      <c r="AF5" s="54" t="str">
        <f>Y5</f>
        <v>Acier</v>
      </c>
      <c r="AG5" s="49">
        <f>Z5</f>
        <v>3.8703870387038715E-2</v>
      </c>
      <c r="AH5" s="49">
        <f t="shared" si="2"/>
        <v>3.8267875125881173E-2</v>
      </c>
      <c r="AI5" s="49">
        <f t="shared" si="3"/>
        <v>4.4133476856835316E-2</v>
      </c>
      <c r="AK5" s="48" t="s">
        <v>38</v>
      </c>
      <c r="AL5" s="98">
        <v>8.7330873308733098E-2</v>
      </c>
      <c r="AM5" s="98">
        <v>5.3022269353128322E-2</v>
      </c>
      <c r="AN5" s="98">
        <v>0.14035314266186141</v>
      </c>
      <c r="AP5" s="54" t="str">
        <f>AK5</f>
        <v>Acier</v>
      </c>
      <c r="AQ5" s="49">
        <f t="shared" si="4"/>
        <v>8.7330873308733098E-2</v>
      </c>
      <c r="AR5" s="49">
        <f t="shared" si="5"/>
        <v>5.3022269353128322E-2</v>
      </c>
    </row>
    <row r="6" spans="1:44" x14ac:dyDescent="0.25">
      <c r="A6" s="48" t="s">
        <v>34</v>
      </c>
      <c r="B6" s="67">
        <v>3.7764350453172212E-3</v>
      </c>
      <c r="C6" s="67">
        <v>5.175983436853002E-3</v>
      </c>
      <c r="D6" s="67">
        <v>7.1343638525564763E-3</v>
      </c>
      <c r="E6" s="67">
        <v>1.6086782334726699E-2</v>
      </c>
      <c r="H6" s="54" t="str">
        <f t="shared" ref="H6:H16" si="6">A6</f>
        <v>Aluminiums</v>
      </c>
      <c r="I6" s="49">
        <f t="shared" ref="I6:I16" si="7">B6</f>
        <v>3.7764350453172212E-3</v>
      </c>
      <c r="J6" s="49">
        <f t="shared" si="0"/>
        <v>5.175983436853002E-3</v>
      </c>
      <c r="K6" s="49">
        <f t="shared" si="0"/>
        <v>7.1343638525564763E-3</v>
      </c>
      <c r="M6" s="48" t="s">
        <v>34</v>
      </c>
      <c r="N6" s="98">
        <v>6.109979633401221E-3</v>
      </c>
      <c r="O6" s="98">
        <v>5.6710775047258966E-3</v>
      </c>
      <c r="P6" s="98">
        <v>8.4104289318755257E-3</v>
      </c>
      <c r="Q6" s="98">
        <v>2.0191486070002644E-2</v>
      </c>
      <c r="T6" s="54" t="str">
        <f t="shared" ref="T6:T16" si="8">M6</f>
        <v>Aluminiums</v>
      </c>
      <c r="U6" s="49">
        <f t="shared" ref="U6:U16" si="9">N6</f>
        <v>6.109979633401221E-3</v>
      </c>
      <c r="V6" s="49">
        <f t="shared" si="1"/>
        <v>5.6710775047258966E-3</v>
      </c>
      <c r="W6" s="49">
        <f t="shared" si="1"/>
        <v>8.4104289318755257E-3</v>
      </c>
      <c r="Y6" s="48" t="s">
        <v>34</v>
      </c>
      <c r="Z6" s="98">
        <v>1.0801080108010799E-2</v>
      </c>
      <c r="AA6" s="98">
        <v>6.0422960725075529E-3</v>
      </c>
      <c r="AB6" s="98">
        <v>1.0764262648008614E-2</v>
      </c>
      <c r="AC6" s="98">
        <v>2.7607638828526966E-2</v>
      </c>
      <c r="AF6" s="54" t="str">
        <f t="shared" ref="AF6:AF9" si="10">Y6</f>
        <v>Aluminiums</v>
      </c>
      <c r="AG6" s="49">
        <f t="shared" ref="AG6:AG16" si="11">Z6</f>
        <v>1.0801080108010799E-2</v>
      </c>
      <c r="AH6" s="49">
        <f t="shared" si="2"/>
        <v>6.0422960725075529E-3</v>
      </c>
      <c r="AI6" s="49">
        <f t="shared" si="3"/>
        <v>1.0764262648008614E-2</v>
      </c>
      <c r="AK6" s="48" t="s">
        <v>34</v>
      </c>
      <c r="AL6" s="98">
        <v>9.8400984009840101E-3</v>
      </c>
      <c r="AM6" s="98">
        <v>2.3329798515376463E-2</v>
      </c>
      <c r="AN6" s="98">
        <v>3.3169896916360471E-2</v>
      </c>
      <c r="AP6" s="54" t="str">
        <f>AK6</f>
        <v>Aluminiums</v>
      </c>
      <c r="AQ6" s="49">
        <f t="shared" si="4"/>
        <v>9.8400984009840101E-3</v>
      </c>
      <c r="AR6" s="49">
        <f t="shared" si="5"/>
        <v>2.3329798515376463E-2</v>
      </c>
    </row>
    <row r="7" spans="1:44" x14ac:dyDescent="0.25">
      <c r="A7" s="48" t="s">
        <v>35</v>
      </c>
      <c r="B7" s="67">
        <v>7.5528700906344324E-4</v>
      </c>
      <c r="C7" s="67">
        <v>1.0351966873705992E-3</v>
      </c>
      <c r="D7" s="67">
        <v>1.1890606420927453E-3</v>
      </c>
      <c r="E7" s="67">
        <v>2.979544338526788E-3</v>
      </c>
      <c r="H7" s="54" t="str">
        <f t="shared" si="6"/>
        <v>Aluminiums souples</v>
      </c>
      <c r="I7" s="49">
        <f t="shared" si="7"/>
        <v>7.5528700906344324E-4</v>
      </c>
      <c r="J7" s="49">
        <f t="shared" si="0"/>
        <v>1.0351966873705992E-3</v>
      </c>
      <c r="K7" s="49">
        <f t="shared" si="0"/>
        <v>1.1890606420927453E-3</v>
      </c>
      <c r="M7" s="48" t="s">
        <v>35</v>
      </c>
      <c r="N7" s="98">
        <v>1.0183299389002047E-3</v>
      </c>
      <c r="O7" s="98">
        <v>9.4517958412098171E-4</v>
      </c>
      <c r="P7" s="98">
        <v>1.6820857863751046E-3</v>
      </c>
      <c r="Q7" s="98">
        <v>3.6455953093962909E-3</v>
      </c>
      <c r="T7" s="54" t="str">
        <f t="shared" si="8"/>
        <v>Aluminiums souples</v>
      </c>
      <c r="U7" s="49">
        <f t="shared" si="9"/>
        <v>1.0183299389002047E-3</v>
      </c>
      <c r="V7" s="49">
        <f t="shared" si="1"/>
        <v>9.4517958412098171E-4</v>
      </c>
      <c r="W7" s="49">
        <f t="shared" si="1"/>
        <v>1.6820857863751046E-3</v>
      </c>
      <c r="Y7" s="48" t="s">
        <v>35</v>
      </c>
      <c r="Z7" s="98">
        <v>0</v>
      </c>
      <c r="AA7" s="98">
        <v>0</v>
      </c>
      <c r="AB7" s="98">
        <v>0</v>
      </c>
      <c r="AC7" s="98">
        <v>0</v>
      </c>
      <c r="AF7" s="54" t="str">
        <f t="shared" si="10"/>
        <v>Aluminiums souples</v>
      </c>
      <c r="AG7" s="49">
        <f t="shared" si="11"/>
        <v>0</v>
      </c>
      <c r="AH7" s="49">
        <f t="shared" si="2"/>
        <v>0</v>
      </c>
      <c r="AI7" s="49">
        <f t="shared" si="3"/>
        <v>0</v>
      </c>
      <c r="AK7" s="48" t="s">
        <v>35</v>
      </c>
      <c r="AL7" s="98">
        <v>1.2300123001230026E-3</v>
      </c>
      <c r="AM7" s="98">
        <v>3.1813361611876976E-3</v>
      </c>
      <c r="AN7" s="98">
        <v>4.4113484613107004E-3</v>
      </c>
      <c r="AP7" s="54" t="str">
        <f>AK7</f>
        <v>Aluminiums souples</v>
      </c>
      <c r="AQ7" s="49">
        <f t="shared" si="4"/>
        <v>1.2300123001230026E-3</v>
      </c>
      <c r="AR7" s="49">
        <f t="shared" si="5"/>
        <v>3.1813361611876976E-3</v>
      </c>
    </row>
    <row r="8" spans="1:44" x14ac:dyDescent="0.25">
      <c r="A8" s="48" t="s">
        <v>22</v>
      </c>
      <c r="B8" s="67">
        <v>1.7371601208459216E-2</v>
      </c>
      <c r="C8" s="67">
        <v>1.5527950310559008E-2</v>
      </c>
      <c r="D8" s="67">
        <v>2.1403091557669441E-2</v>
      </c>
      <c r="E8" s="67">
        <v>5.4302643076687668E-2</v>
      </c>
      <c r="H8" s="54" t="str">
        <f t="shared" si="6"/>
        <v>ELA</v>
      </c>
      <c r="I8" s="49">
        <f t="shared" si="7"/>
        <v>1.7371601208459216E-2</v>
      </c>
      <c r="J8" s="49">
        <f t="shared" si="0"/>
        <v>1.5527950310559008E-2</v>
      </c>
      <c r="K8" s="49">
        <f t="shared" si="0"/>
        <v>2.1403091557669441E-2</v>
      </c>
      <c r="M8" s="48" t="s">
        <v>22</v>
      </c>
      <c r="N8" s="98">
        <v>1.3238289205702648E-2</v>
      </c>
      <c r="O8" s="98">
        <v>2.2684310018903593E-2</v>
      </c>
      <c r="P8" s="98">
        <v>2.5231286795626574E-2</v>
      </c>
      <c r="Q8" s="98">
        <v>6.115388602023282E-2</v>
      </c>
      <c r="T8" s="54" t="str">
        <f t="shared" si="8"/>
        <v>ELA</v>
      </c>
      <c r="U8" s="49">
        <f t="shared" si="9"/>
        <v>1.3238289205702648E-2</v>
      </c>
      <c r="V8" s="49">
        <f t="shared" si="1"/>
        <v>2.2684310018903593E-2</v>
      </c>
      <c r="W8" s="49">
        <f t="shared" si="1"/>
        <v>2.5231286795626574E-2</v>
      </c>
      <c r="Y8" s="48" t="s">
        <v>22</v>
      </c>
      <c r="Z8" s="98">
        <v>2.3402340234023405E-2</v>
      </c>
      <c r="AA8" s="98">
        <v>2.1148036253776439E-2</v>
      </c>
      <c r="AB8" s="98">
        <v>3.0139935414424116E-2</v>
      </c>
      <c r="AC8" s="98">
        <v>7.4690311902223958E-2</v>
      </c>
      <c r="AF8" s="54" t="str">
        <f t="shared" si="10"/>
        <v>ELA</v>
      </c>
      <c r="AG8" s="49">
        <f t="shared" si="11"/>
        <v>2.3402340234023405E-2</v>
      </c>
      <c r="AH8" s="49">
        <f t="shared" si="2"/>
        <v>2.1148036253776439E-2</v>
      </c>
      <c r="AI8" s="49">
        <f t="shared" si="3"/>
        <v>3.0139935414424116E-2</v>
      </c>
      <c r="AK8" s="48" t="s">
        <v>22</v>
      </c>
      <c r="AL8" s="98">
        <v>5.6580565805658067E-2</v>
      </c>
      <c r="AM8" s="98">
        <v>2.969247083775186E-2</v>
      </c>
      <c r="AN8" s="98">
        <v>8.6273036643409934E-2</v>
      </c>
      <c r="AP8" s="54" t="str">
        <f>AK8</f>
        <v>ELA</v>
      </c>
      <c r="AQ8" s="49">
        <f t="shared" si="4"/>
        <v>5.6580565805658067E-2</v>
      </c>
      <c r="AR8" s="49">
        <f t="shared" si="5"/>
        <v>2.969247083775186E-2</v>
      </c>
    </row>
    <row r="9" spans="1:44" x14ac:dyDescent="0.25">
      <c r="A9" s="48" t="s">
        <v>23</v>
      </c>
      <c r="B9" s="67">
        <v>0.26510574018126887</v>
      </c>
      <c r="C9" s="67">
        <v>0.23913043478260865</v>
      </c>
      <c r="D9" s="67">
        <v>0.25683709869203325</v>
      </c>
      <c r="E9" s="67">
        <v>0.76107327365591071</v>
      </c>
      <c r="H9" s="54" t="str">
        <f t="shared" si="6"/>
        <v>EMR</v>
      </c>
      <c r="I9" s="49">
        <f t="shared" si="7"/>
        <v>0.26510574018126887</v>
      </c>
      <c r="J9" s="49">
        <f t="shared" si="0"/>
        <v>0.23913043478260865</v>
      </c>
      <c r="K9" s="49">
        <f t="shared" si="0"/>
        <v>0.25683709869203325</v>
      </c>
      <c r="M9" s="48" t="s">
        <v>23</v>
      </c>
      <c r="N9" s="98">
        <v>0.18228105906313646</v>
      </c>
      <c r="O9" s="98">
        <v>0.275992438563327</v>
      </c>
      <c r="P9" s="98">
        <v>0.22287636669470143</v>
      </c>
      <c r="Q9" s="98">
        <v>0.68114986432116487</v>
      </c>
      <c r="T9" s="54" t="str">
        <f t="shared" si="8"/>
        <v>EMR</v>
      </c>
      <c r="U9" s="49">
        <f t="shared" si="9"/>
        <v>0.18228105906313646</v>
      </c>
      <c r="V9" s="49">
        <f t="shared" si="1"/>
        <v>0.275992438563327</v>
      </c>
      <c r="W9" s="49">
        <f t="shared" si="1"/>
        <v>0.22287636669470143</v>
      </c>
      <c r="Y9" s="48" t="s">
        <v>23</v>
      </c>
      <c r="Z9" s="98">
        <v>0.3303330333033303</v>
      </c>
      <c r="AA9" s="98">
        <v>0.24572004028197383</v>
      </c>
      <c r="AB9" s="98">
        <v>0.36060279870828849</v>
      </c>
      <c r="AC9" s="98">
        <v>0.9366558722935926</v>
      </c>
      <c r="AF9" s="54" t="str">
        <f t="shared" si="10"/>
        <v>EMR</v>
      </c>
      <c r="AG9" s="49">
        <f t="shared" si="11"/>
        <v>0.3303330333033303</v>
      </c>
      <c r="AH9" s="49">
        <f t="shared" si="2"/>
        <v>0.24572004028197383</v>
      </c>
      <c r="AI9" s="49">
        <f t="shared" si="3"/>
        <v>0.36060279870828849</v>
      </c>
      <c r="AK9" s="48" t="s">
        <v>23</v>
      </c>
      <c r="AL9" s="98">
        <v>0.28536285362853631</v>
      </c>
      <c r="AM9" s="98">
        <v>0.31813361611876995</v>
      </c>
      <c r="AN9" s="98">
        <v>0.6034964697473062</v>
      </c>
      <c r="AP9" s="54" t="str">
        <f>AK9</f>
        <v>EMR</v>
      </c>
      <c r="AQ9" s="49">
        <f t="shared" si="4"/>
        <v>0.28536285362853631</v>
      </c>
      <c r="AR9" s="49">
        <f t="shared" si="5"/>
        <v>0.31813361611876995</v>
      </c>
    </row>
    <row r="10" spans="1:44" x14ac:dyDescent="0.25">
      <c r="A10" s="48" t="s">
        <v>177</v>
      </c>
      <c r="B10">
        <v>2.7945619335347404E-2</v>
      </c>
      <c r="C10">
        <v>4.4513457556935865E-2</v>
      </c>
      <c r="D10">
        <v>4.5184304399524429E-2</v>
      </c>
      <c r="E10">
        <v>0.11764338129180771</v>
      </c>
      <c r="H10" s="54" t="str">
        <f t="shared" si="6"/>
        <v>Film PEBD2</v>
      </c>
      <c r="I10" s="49">
        <f t="shared" si="7"/>
        <v>2.7945619335347404E-2</v>
      </c>
      <c r="J10" s="49">
        <f t="shared" si="0"/>
        <v>4.4513457556935865E-2</v>
      </c>
      <c r="K10" s="49">
        <f t="shared" si="0"/>
        <v>4.5184304399524429E-2</v>
      </c>
      <c r="M10" s="48" t="s">
        <v>177</v>
      </c>
      <c r="N10" s="98">
        <v>1.629327902240324E-2</v>
      </c>
      <c r="O10" s="98">
        <v>2.1739130434782584E-2</v>
      </c>
      <c r="P10" s="98">
        <v>2.6913372582001674E-2</v>
      </c>
      <c r="Q10" s="98">
        <v>6.4945782039187494E-2</v>
      </c>
      <c r="T10" s="54" t="s">
        <v>60</v>
      </c>
      <c r="U10" s="49">
        <f t="shared" si="9"/>
        <v>1.629327902240324E-2</v>
      </c>
      <c r="V10" s="49">
        <f t="shared" si="1"/>
        <v>2.1739130434782584E-2</v>
      </c>
      <c r="W10" s="49">
        <f t="shared" si="1"/>
        <v>2.6913372582001674E-2</v>
      </c>
      <c r="Y10" s="48" t="s">
        <v>177</v>
      </c>
      <c r="Z10" s="98">
        <v>2.3402340234023353E-2</v>
      </c>
      <c r="AA10" s="98">
        <v>1.5105740181268885E-2</v>
      </c>
      <c r="AB10" s="98">
        <v>1.1840688912809415E-2</v>
      </c>
      <c r="AC10" s="98">
        <v>5.0348769328101652E-2</v>
      </c>
      <c r="AF10" s="54" t="s">
        <v>60</v>
      </c>
      <c r="AG10" s="49">
        <f t="shared" si="11"/>
        <v>2.3402340234023353E-2</v>
      </c>
      <c r="AH10" s="49">
        <f t="shared" si="2"/>
        <v>1.5105740181268885E-2</v>
      </c>
      <c r="AI10" s="49">
        <f t="shared" si="3"/>
        <v>1.1840688912809415E-2</v>
      </c>
      <c r="AK10" s="48" t="s">
        <v>177</v>
      </c>
      <c r="AL10" s="98">
        <v>1.9680196801967996E-2</v>
      </c>
      <c r="AM10" s="98">
        <v>3.1813361611876992E-2</v>
      </c>
      <c r="AN10" s="98">
        <v>5.1493558413844988E-2</v>
      </c>
      <c r="AP10" s="54" t="s">
        <v>60</v>
      </c>
      <c r="AQ10" s="49">
        <f t="shared" si="4"/>
        <v>1.9680196801967996E-2</v>
      </c>
      <c r="AR10" s="49">
        <f t="shared" si="5"/>
        <v>3.1813361611876992E-2</v>
      </c>
    </row>
    <row r="11" spans="1:44" x14ac:dyDescent="0.25">
      <c r="A11" s="48" t="s">
        <v>175</v>
      </c>
      <c r="B11">
        <v>3.62537764350453E-2</v>
      </c>
      <c r="C11">
        <v>5.6935817805383024E-2</v>
      </c>
      <c r="D11">
        <v>5.3507728894173608E-2</v>
      </c>
      <c r="E11">
        <v>0.14669732313460193</v>
      </c>
      <c r="H11" s="54" t="str">
        <f t="shared" si="6"/>
        <v>Flux Développement2</v>
      </c>
      <c r="I11" s="49">
        <f t="shared" si="7"/>
        <v>3.62537764350453E-2</v>
      </c>
      <c r="J11" s="49">
        <f t="shared" si="0"/>
        <v>5.6935817805383024E-2</v>
      </c>
      <c r="K11" s="49">
        <f t="shared" si="0"/>
        <v>5.3507728894173608E-2</v>
      </c>
      <c r="M11" s="48" t="s">
        <v>175</v>
      </c>
      <c r="N11" s="98">
        <v>0.14663951120162932</v>
      </c>
      <c r="O11" s="98">
        <v>4.9149338374291113E-2</v>
      </c>
      <c r="P11" s="98">
        <v>6.1396131202691308E-2</v>
      </c>
      <c r="Q11" s="98">
        <v>0.25718498077861174</v>
      </c>
      <c r="T11" s="54" t="str">
        <f t="shared" si="8"/>
        <v>Flux Développement2</v>
      </c>
      <c r="U11" s="49">
        <f t="shared" si="9"/>
        <v>0.14663951120162932</v>
      </c>
      <c r="V11" s="49">
        <f t="shared" si="1"/>
        <v>4.9149338374291113E-2</v>
      </c>
      <c r="W11" s="49">
        <f t="shared" si="1"/>
        <v>6.1396131202691308E-2</v>
      </c>
      <c r="Y11" s="48" t="s">
        <v>175</v>
      </c>
      <c r="Z11" s="98">
        <v>7.2007200720072009E-2</v>
      </c>
      <c r="AA11" s="98">
        <v>5.0352467270896283E-2</v>
      </c>
      <c r="AB11" s="98">
        <v>4.8439181916038763E-2</v>
      </c>
      <c r="AC11" s="98">
        <v>0.17079884990700706</v>
      </c>
      <c r="AF11" s="54" t="str">
        <f t="shared" ref="AF11:AF16" si="12">Y11</f>
        <v>Flux Développement2</v>
      </c>
      <c r="AG11" s="49">
        <f t="shared" si="11"/>
        <v>7.2007200720072009E-2</v>
      </c>
      <c r="AH11" s="49">
        <f t="shared" si="2"/>
        <v>5.0352467270896283E-2</v>
      </c>
      <c r="AI11" s="49">
        <f t="shared" si="3"/>
        <v>4.8439181916038763E-2</v>
      </c>
      <c r="AK11" s="48" t="s">
        <v>175</v>
      </c>
      <c r="AL11" s="98">
        <v>7.2570725707257033E-2</v>
      </c>
      <c r="AM11" s="98">
        <v>6.8928950159066818E-2</v>
      </c>
      <c r="AN11" s="98">
        <v>0.14149967586632384</v>
      </c>
      <c r="AP11" s="54" t="str">
        <f t="shared" ref="AP11:AP16" si="13">AK11</f>
        <v>Flux Développement2</v>
      </c>
      <c r="AQ11" s="49">
        <f t="shared" si="4"/>
        <v>7.2570725707257033E-2</v>
      </c>
      <c r="AR11" s="49">
        <f t="shared" si="5"/>
        <v>6.8928950159066818E-2</v>
      </c>
    </row>
    <row r="12" spans="1:44" x14ac:dyDescent="0.25">
      <c r="A12" s="48" t="s">
        <v>59</v>
      </c>
      <c r="B12">
        <v>0.29380664652567973</v>
      </c>
      <c r="C12">
        <v>0.341614906832298</v>
      </c>
      <c r="D12">
        <v>0.27824019024970276</v>
      </c>
      <c r="E12">
        <v>0.91366174360768038</v>
      </c>
      <c r="H12" s="54" t="str">
        <f t="shared" si="6"/>
        <v>Papiers (1.11)</v>
      </c>
      <c r="I12" s="49">
        <f t="shared" si="7"/>
        <v>0.29380664652567973</v>
      </c>
      <c r="J12" s="49">
        <f t="shared" si="0"/>
        <v>0.341614906832298</v>
      </c>
      <c r="K12" s="49">
        <f t="shared" si="0"/>
        <v>0.27824019024970276</v>
      </c>
      <c r="M12" s="48" t="s">
        <v>59</v>
      </c>
      <c r="N12" s="98">
        <v>0.23319755600814665</v>
      </c>
      <c r="O12" s="98">
        <v>0.32325141776937621</v>
      </c>
      <c r="P12" s="98">
        <v>0.32548359966358287</v>
      </c>
      <c r="Q12" s="98">
        <v>0.88193257344110576</v>
      </c>
      <c r="T12" s="54" t="str">
        <f t="shared" si="8"/>
        <v>Papiers (1.11)</v>
      </c>
      <c r="U12" s="49">
        <f t="shared" si="9"/>
        <v>0.23319755600814665</v>
      </c>
      <c r="V12" s="49">
        <f t="shared" si="1"/>
        <v>0.32325141776937621</v>
      </c>
      <c r="W12" s="49">
        <f t="shared" si="1"/>
        <v>0.32548359966358287</v>
      </c>
      <c r="Y12" s="48" t="s">
        <v>59</v>
      </c>
      <c r="Z12" s="98">
        <v>0.27272727272727271</v>
      </c>
      <c r="AA12" s="98">
        <v>0.26183282980866068</v>
      </c>
      <c r="AB12" s="98">
        <v>0.31108719052744893</v>
      </c>
      <c r="AC12" s="98">
        <v>0.84564729306338238</v>
      </c>
      <c r="AF12" s="54" t="str">
        <f t="shared" si="12"/>
        <v>Papiers (1.11)</v>
      </c>
      <c r="AG12" s="49">
        <f t="shared" si="11"/>
        <v>0.27272727272727271</v>
      </c>
      <c r="AH12" s="49">
        <f t="shared" si="2"/>
        <v>0.26183282980866068</v>
      </c>
      <c r="AI12" s="49">
        <f t="shared" si="3"/>
        <v>0.31108719052744893</v>
      </c>
      <c r="AK12" s="48" t="s">
        <v>59</v>
      </c>
      <c r="AL12" s="98">
        <v>7.6260762607626084E-2</v>
      </c>
      <c r="AM12" s="98">
        <v>9.0137857900318155E-2</v>
      </c>
      <c r="AN12" s="98">
        <v>0.16639862050794424</v>
      </c>
      <c r="AP12" s="54" t="str">
        <f t="shared" si="13"/>
        <v>Papiers (1.11)</v>
      </c>
      <c r="AQ12" s="49">
        <f t="shared" si="4"/>
        <v>7.6260762607626084E-2</v>
      </c>
      <c r="AR12" s="49">
        <f t="shared" si="5"/>
        <v>9.0137857900318155E-2</v>
      </c>
    </row>
    <row r="13" spans="1:44" x14ac:dyDescent="0.25">
      <c r="A13" s="48" t="s">
        <v>36</v>
      </c>
      <c r="B13" s="67">
        <v>1.0574018126888221E-2</v>
      </c>
      <c r="C13" s="67">
        <v>8.2815734989648108E-3</v>
      </c>
      <c r="D13" s="67">
        <v>1.0701545778834726E-2</v>
      </c>
      <c r="E13" s="67">
        <v>2.955713740468776E-2</v>
      </c>
      <c r="H13" s="54" t="str">
        <f t="shared" si="6"/>
        <v>Papiers Cartons Mélés (= gros de magasin) : fibreux &gt; 120x50</v>
      </c>
      <c r="I13" s="49">
        <f t="shared" si="7"/>
        <v>1.0574018126888221E-2</v>
      </c>
      <c r="J13" s="49">
        <f t="shared" si="0"/>
        <v>8.2815734989648108E-3</v>
      </c>
      <c r="K13" s="49">
        <f t="shared" si="0"/>
        <v>1.0701545778834726E-2</v>
      </c>
      <c r="M13" s="48" t="s">
        <v>36</v>
      </c>
      <c r="N13" s="98">
        <v>1.2219959266802456E-2</v>
      </c>
      <c r="O13" s="98">
        <v>1.2287334593572785E-2</v>
      </c>
      <c r="P13" s="98">
        <v>1.9343986543313714E-2</v>
      </c>
      <c r="Q13" s="98">
        <v>4.3851280403688957E-2</v>
      </c>
      <c r="T13" s="54" t="str">
        <f t="shared" si="8"/>
        <v>Papiers Cartons Mélés (= gros de magasin) : fibreux &gt; 120x50</v>
      </c>
      <c r="U13" s="49">
        <f t="shared" si="9"/>
        <v>1.2219959266802456E-2</v>
      </c>
      <c r="V13" s="49">
        <f t="shared" si="1"/>
        <v>1.2287334593572785E-2</v>
      </c>
      <c r="W13" s="49">
        <f t="shared" si="1"/>
        <v>1.9343986543313714E-2</v>
      </c>
      <c r="Y13" s="48" t="s">
        <v>36</v>
      </c>
      <c r="Z13" s="98">
        <v>2.0702070207020709E-2</v>
      </c>
      <c r="AA13" s="98">
        <v>1.0070493454179257E-2</v>
      </c>
      <c r="AB13" s="98">
        <v>8.6114101184068918E-3</v>
      </c>
      <c r="AC13" s="98">
        <v>3.9383973779606854E-2</v>
      </c>
      <c r="AF13" s="54" t="str">
        <f t="shared" si="12"/>
        <v>Papiers Cartons Mélés (= gros de magasin) : fibreux &gt; 120x50</v>
      </c>
      <c r="AG13" s="49">
        <f t="shared" si="11"/>
        <v>2.0702070207020709E-2</v>
      </c>
      <c r="AH13" s="49">
        <f t="shared" si="2"/>
        <v>1.0070493454179257E-2</v>
      </c>
      <c r="AI13" s="49">
        <f t="shared" si="3"/>
        <v>8.6114101184068918E-3</v>
      </c>
      <c r="AK13" s="48" t="s">
        <v>36</v>
      </c>
      <c r="AL13" s="98">
        <v>1.722017220172202E-2</v>
      </c>
      <c r="AM13" s="98">
        <v>1.484623541887593E-2</v>
      </c>
      <c r="AN13" s="98">
        <v>3.2066407620597953E-2</v>
      </c>
      <c r="AP13" s="54" t="str">
        <f t="shared" si="13"/>
        <v>Papiers Cartons Mélés (= gros de magasin) : fibreux &gt; 120x50</v>
      </c>
      <c r="AQ13" s="49">
        <f t="shared" si="4"/>
        <v>1.722017220172202E-2</v>
      </c>
      <c r="AR13" s="49">
        <f t="shared" si="5"/>
        <v>1.484623541887593E-2</v>
      </c>
    </row>
    <row r="14" spans="1:44" x14ac:dyDescent="0.25">
      <c r="A14" s="48" t="s">
        <v>176</v>
      </c>
      <c r="B14">
        <v>3.6253776435045328E-2</v>
      </c>
      <c r="C14">
        <v>2.7950310559006205E-2</v>
      </c>
      <c r="D14">
        <v>4.3995243757431621E-2</v>
      </c>
      <c r="E14">
        <v>0.10819933075148315</v>
      </c>
      <c r="H14" s="54" t="str">
        <f t="shared" si="6"/>
        <v>PEHD/PP2</v>
      </c>
      <c r="I14" s="49">
        <f t="shared" si="7"/>
        <v>3.6253776435045328E-2</v>
      </c>
      <c r="J14" s="49">
        <f t="shared" si="0"/>
        <v>2.7950310559006205E-2</v>
      </c>
      <c r="K14" s="49">
        <f t="shared" si="0"/>
        <v>4.3995243757431621E-2</v>
      </c>
      <c r="M14" s="48" t="s">
        <v>176</v>
      </c>
      <c r="N14" s="98">
        <v>0.17107942973523421</v>
      </c>
      <c r="O14" s="98">
        <v>7.0888468809073721E-2</v>
      </c>
      <c r="P14" s="98">
        <v>8.7468460891505451E-2</v>
      </c>
      <c r="Q14" s="98">
        <v>0.3294363594358134</v>
      </c>
      <c r="T14" s="54" t="str">
        <f t="shared" si="8"/>
        <v>PEHD/PP2</v>
      </c>
      <c r="U14" s="49">
        <f t="shared" si="9"/>
        <v>0.17107942973523421</v>
      </c>
      <c r="V14" s="49">
        <f t="shared" si="1"/>
        <v>7.0888468809073721E-2</v>
      </c>
      <c r="W14" s="49">
        <f t="shared" si="1"/>
        <v>8.7468460891505451E-2</v>
      </c>
      <c r="Y14" s="48" t="s">
        <v>176</v>
      </c>
      <c r="Z14" s="98">
        <v>3.3303330333033301E-2</v>
      </c>
      <c r="AA14" s="98">
        <v>3.3232628398791521E-2</v>
      </c>
      <c r="AB14" s="98">
        <v>3.7674919268030148E-2</v>
      </c>
      <c r="AC14" s="98">
        <v>0.10421087799985498</v>
      </c>
      <c r="AF14" s="54" t="str">
        <f t="shared" si="12"/>
        <v>PEHD/PP2</v>
      </c>
      <c r="AG14" s="49">
        <f t="shared" si="11"/>
        <v>3.3303330333033301E-2</v>
      </c>
      <c r="AH14" s="49">
        <f t="shared" si="2"/>
        <v>3.3232628398791521E-2</v>
      </c>
      <c r="AI14" s="49">
        <f t="shared" si="3"/>
        <v>3.7674919268030148E-2</v>
      </c>
      <c r="AK14" s="48" t="s">
        <v>176</v>
      </c>
      <c r="AL14" s="98">
        <v>7.2570725707257033E-2</v>
      </c>
      <c r="AM14" s="98">
        <v>7.9533404029692445E-2</v>
      </c>
      <c r="AN14" s="98">
        <v>0.15210412973694948</v>
      </c>
      <c r="AP14" s="54" t="str">
        <f t="shared" si="13"/>
        <v>PEHD/PP2</v>
      </c>
      <c r="AQ14" s="49">
        <f t="shared" si="4"/>
        <v>7.2570725707257033E-2</v>
      </c>
      <c r="AR14" s="49">
        <f t="shared" si="5"/>
        <v>7.9533404029692445E-2</v>
      </c>
    </row>
    <row r="15" spans="1:44" x14ac:dyDescent="0.25">
      <c r="A15" s="48" t="s">
        <v>174</v>
      </c>
      <c r="B15">
        <v>3.7009063444108758E-2</v>
      </c>
      <c r="C15">
        <v>4.5548654244306409E-2</v>
      </c>
      <c r="D15">
        <v>4.9940546967895356E-2</v>
      </c>
      <c r="E15">
        <v>0.13249826465631051</v>
      </c>
      <c r="H15" s="54" t="str">
        <f t="shared" si="6"/>
        <v>PET Clair Bouteilles / flacons2</v>
      </c>
      <c r="I15" s="49">
        <f t="shared" si="7"/>
        <v>3.7009063444108758E-2</v>
      </c>
      <c r="J15" s="49">
        <f t="shared" si="0"/>
        <v>4.5548654244306409E-2</v>
      </c>
      <c r="K15" s="49">
        <f t="shared" si="0"/>
        <v>4.9940546967895356E-2</v>
      </c>
      <c r="M15" s="48" t="s">
        <v>174</v>
      </c>
      <c r="N15" s="98">
        <v>6.517311608961307E-2</v>
      </c>
      <c r="O15" s="98">
        <v>4.2533081285444238E-2</v>
      </c>
      <c r="P15" s="98">
        <v>4.2052144659377629E-2</v>
      </c>
      <c r="Q15" s="98">
        <v>0.14975834203443494</v>
      </c>
      <c r="T15" s="54" t="str">
        <f t="shared" si="8"/>
        <v>PET Clair Bouteilles / flacons2</v>
      </c>
      <c r="U15" s="49">
        <f t="shared" si="9"/>
        <v>6.517311608961307E-2</v>
      </c>
      <c r="V15" s="49">
        <f t="shared" si="1"/>
        <v>4.2533081285444238E-2</v>
      </c>
      <c r="W15" s="49">
        <f t="shared" si="1"/>
        <v>4.2052144659377629E-2</v>
      </c>
      <c r="Y15" s="48" t="s">
        <v>174</v>
      </c>
      <c r="Z15" s="98">
        <v>4.0504050405040508E-2</v>
      </c>
      <c r="AA15" s="98">
        <v>2.7190332326283987E-2</v>
      </c>
      <c r="AB15" s="98">
        <v>3.0139935414424127E-2</v>
      </c>
      <c r="AC15" s="98">
        <v>9.7834318145748625E-2</v>
      </c>
      <c r="AF15" s="54" t="str">
        <f t="shared" si="12"/>
        <v>PET Clair Bouteilles / flacons2</v>
      </c>
      <c r="AG15" s="49">
        <f t="shared" si="11"/>
        <v>4.0504050405040508E-2</v>
      </c>
      <c r="AH15" s="49">
        <f t="shared" si="2"/>
        <v>2.7190332326283987E-2</v>
      </c>
      <c r="AI15" s="49">
        <f t="shared" si="3"/>
        <v>3.0139935414424127E-2</v>
      </c>
      <c r="AK15" s="48" t="s">
        <v>174</v>
      </c>
      <c r="AL15" s="98">
        <v>7.2570725707257075E-2</v>
      </c>
      <c r="AM15" s="98">
        <v>9.4379639448568323E-2</v>
      </c>
      <c r="AN15" s="98">
        <v>0.1669503651558254</v>
      </c>
      <c r="AP15" s="54" t="str">
        <f t="shared" si="13"/>
        <v>PET Clair Bouteilles / flacons2</v>
      </c>
      <c r="AQ15" s="49">
        <f t="shared" si="4"/>
        <v>7.2570725707257075E-2</v>
      </c>
      <c r="AR15" s="49">
        <f t="shared" si="5"/>
        <v>9.4379639448568323E-2</v>
      </c>
    </row>
    <row r="16" spans="1:44" x14ac:dyDescent="0.25">
      <c r="A16" s="48" t="s">
        <v>10</v>
      </c>
      <c r="B16" s="67">
        <v>0.23036253776435045</v>
      </c>
      <c r="C16" s="67">
        <v>0.18426501035196693</v>
      </c>
      <c r="D16" s="67">
        <v>0.19619500594530323</v>
      </c>
      <c r="E16" s="67">
        <v>0.61082255406162067</v>
      </c>
      <c r="H16" s="54" t="str">
        <f t="shared" si="6"/>
        <v>Refus</v>
      </c>
      <c r="I16" s="49">
        <f t="shared" si="7"/>
        <v>0.23036253776435045</v>
      </c>
      <c r="J16" s="49">
        <f t="shared" si="0"/>
        <v>0.18426501035196693</v>
      </c>
      <c r="K16" s="49">
        <f t="shared" si="0"/>
        <v>0.19619500594530323</v>
      </c>
      <c r="M16" s="48" t="s">
        <v>10</v>
      </c>
      <c r="N16" s="98">
        <v>0.12932790224032584</v>
      </c>
      <c r="O16" s="98">
        <v>0.14650283553875237</v>
      </c>
      <c r="P16" s="98">
        <v>0.14886459209419681</v>
      </c>
      <c r="Q16" s="98">
        <v>0.42469532987327496</v>
      </c>
      <c r="T16" s="54" t="str">
        <f t="shared" si="8"/>
        <v>Refus</v>
      </c>
      <c r="U16" s="49">
        <f t="shared" si="9"/>
        <v>0.12932790224032584</v>
      </c>
      <c r="V16" s="49">
        <f t="shared" si="1"/>
        <v>0.14650283553875237</v>
      </c>
      <c r="W16" s="49">
        <f t="shared" si="1"/>
        <v>0.14886459209419681</v>
      </c>
      <c r="Y16" s="48" t="s">
        <v>10</v>
      </c>
      <c r="Z16" s="98">
        <v>0.13411341134113411</v>
      </c>
      <c r="AA16" s="98">
        <v>0.29103726082578052</v>
      </c>
      <c r="AB16" s="98">
        <v>0.10656620021528519</v>
      </c>
      <c r="AC16" s="98">
        <v>0.53171687238219978</v>
      </c>
      <c r="AF16" s="54" t="str">
        <f t="shared" si="12"/>
        <v>Refus</v>
      </c>
      <c r="AG16" s="49">
        <f t="shared" si="11"/>
        <v>0.13411341134113411</v>
      </c>
      <c r="AH16" s="49">
        <f t="shared" si="2"/>
        <v>0.29103726082578052</v>
      </c>
      <c r="AI16" s="49">
        <f t="shared" si="3"/>
        <v>0.10656620021528519</v>
      </c>
      <c r="AK16" s="48" t="s">
        <v>10</v>
      </c>
      <c r="AL16" s="98">
        <v>0.22878228782287829</v>
      </c>
      <c r="AM16" s="98">
        <v>0.19300106044538706</v>
      </c>
      <c r="AN16" s="98">
        <v>0.42178334826826536</v>
      </c>
      <c r="AP16" s="54" t="str">
        <f t="shared" si="13"/>
        <v>Refus</v>
      </c>
      <c r="AQ16" s="49">
        <f t="shared" si="4"/>
        <v>0.22878228782287829</v>
      </c>
      <c r="AR16" s="49">
        <f t="shared" si="5"/>
        <v>0.19300106044538706</v>
      </c>
    </row>
    <row r="17" spans="1:44" x14ac:dyDescent="0.25">
      <c r="A17" s="48" t="s">
        <v>28</v>
      </c>
      <c r="B17">
        <v>0.99999999999999989</v>
      </c>
      <c r="C17">
        <v>1</v>
      </c>
      <c r="D17">
        <v>1</v>
      </c>
      <c r="E17">
        <v>2.9999999999999996</v>
      </c>
      <c r="H17" s="52" t="s">
        <v>31</v>
      </c>
      <c r="I17" s="53">
        <f>SUM(I5:I16)</f>
        <v>0.99999999999999989</v>
      </c>
      <c r="J17" s="53">
        <f>SUM(J5:J16)</f>
        <v>1</v>
      </c>
      <c r="K17" s="53">
        <f>SUM(K5:K16)</f>
        <v>1</v>
      </c>
      <c r="M17" s="48" t="s">
        <v>28</v>
      </c>
      <c r="N17">
        <v>1</v>
      </c>
      <c r="O17">
        <v>1</v>
      </c>
      <c r="P17">
        <v>1</v>
      </c>
      <c r="Q17">
        <v>3</v>
      </c>
      <c r="T17" s="52" t="s">
        <v>31</v>
      </c>
      <c r="U17" s="53">
        <f>SUM(U5:U16)</f>
        <v>1</v>
      </c>
      <c r="V17" s="53">
        <f>SUM(V5:V16)</f>
        <v>1</v>
      </c>
      <c r="W17" s="53">
        <f>SUM(W5:W16)</f>
        <v>1</v>
      </c>
      <c r="Y17" s="48" t="s">
        <v>28</v>
      </c>
      <c r="Z17">
        <v>0.99999999999999989</v>
      </c>
      <c r="AA17">
        <v>1</v>
      </c>
      <c r="AB17">
        <v>1.0000000000000002</v>
      </c>
      <c r="AC17">
        <v>3</v>
      </c>
      <c r="AF17" s="52" t="s">
        <v>31</v>
      </c>
      <c r="AG17" s="53">
        <f>SUM(AG5:AG16)</f>
        <v>0.99999999999999989</v>
      </c>
      <c r="AH17" s="53">
        <f>SUM(AH5:AH16)</f>
        <v>1</v>
      </c>
      <c r="AI17" s="53">
        <f>SUM(AI5:AI16)</f>
        <v>1.0000000000000002</v>
      </c>
      <c r="AK17" s="48" t="s">
        <v>28</v>
      </c>
      <c r="AL17">
        <v>1</v>
      </c>
      <c r="AM17">
        <v>1</v>
      </c>
      <c r="AN17">
        <v>1.9999999999999996</v>
      </c>
      <c r="AP17" s="52" t="s">
        <v>31</v>
      </c>
      <c r="AQ17" s="53">
        <f>SUM(AQ5:AQ16)</f>
        <v>1</v>
      </c>
      <c r="AR17" s="53">
        <f>SUM(AR5:AR16)</f>
        <v>1</v>
      </c>
    </row>
    <row r="18" spans="1:44" ht="36" x14ac:dyDescent="0.25">
      <c r="H18" s="69" t="s">
        <v>64</v>
      </c>
      <c r="I18" s="57"/>
      <c r="J18" s="70" t="s">
        <v>66</v>
      </c>
      <c r="K18" s="70" t="s">
        <v>67</v>
      </c>
      <c r="U18" s="57"/>
      <c r="V18" s="70" t="s">
        <v>399</v>
      </c>
      <c r="W18" s="70"/>
      <c r="AG18" s="57"/>
      <c r="AH18" s="70" t="s">
        <v>480</v>
      </c>
      <c r="AI18" s="70"/>
      <c r="AQ18" s="57"/>
      <c r="AR18" s="70"/>
    </row>
    <row r="21" spans="1:44" x14ac:dyDescent="0.25">
      <c r="I21" s="50" t="str">
        <f>I4</f>
        <v>FLUX_ENTRANT_1</v>
      </c>
      <c r="J21" s="50" t="str">
        <f t="shared" ref="J21:K21" si="14">J4</f>
        <v>FLUX_ENTRANT_2</v>
      </c>
      <c r="K21" s="50" t="str">
        <f t="shared" si="14"/>
        <v>FLUX_ENTRANT_3</v>
      </c>
      <c r="U21" s="50" t="str">
        <f>U4</f>
        <v>FLUX_ENTRANT_4</v>
      </c>
      <c r="V21" s="50" t="str">
        <f t="shared" ref="V21:W21" si="15">V4</f>
        <v>FLUX_ENTRANT_5</v>
      </c>
      <c r="W21" s="50" t="str">
        <f t="shared" si="15"/>
        <v>FLUX_ENTRANT_6</v>
      </c>
      <c r="AG21" s="50" t="str">
        <f>AG4</f>
        <v>FLUX_ENTRANT_7</v>
      </c>
      <c r="AH21" s="50" t="str">
        <f t="shared" ref="AH21:AI21" si="16">AH4</f>
        <v>FLUX_ENTRANT_8</v>
      </c>
      <c r="AI21" s="50" t="str">
        <f t="shared" si="16"/>
        <v>FLUX_ENTRANT_9</v>
      </c>
      <c r="AQ21" s="50" t="str">
        <f>AQ4</f>
        <v>FLUX_ENTRANT_10</v>
      </c>
      <c r="AR21" s="50" t="str">
        <f t="shared" ref="AR21" si="17">AR4</f>
        <v>FLUX_ENTRANT_11</v>
      </c>
    </row>
    <row r="22" spans="1:44" x14ac:dyDescent="0.25">
      <c r="H22" s="55" t="s">
        <v>33</v>
      </c>
      <c r="I22" s="51">
        <f>I16</f>
        <v>0.23036253776435045</v>
      </c>
      <c r="J22" s="51">
        <f t="shared" ref="J22:K22" si="18">J16</f>
        <v>0.18426501035196693</v>
      </c>
      <c r="K22" s="51">
        <f t="shared" si="18"/>
        <v>0.19619500594530323</v>
      </c>
      <c r="T22" s="55" t="s">
        <v>33</v>
      </c>
      <c r="U22" s="51">
        <f>U16</f>
        <v>0.12932790224032584</v>
      </c>
      <c r="V22" s="51">
        <f t="shared" ref="V22:W22" si="19">V16</f>
        <v>0.14650283553875237</v>
      </c>
      <c r="W22" s="51">
        <f t="shared" si="19"/>
        <v>0.14886459209419681</v>
      </c>
      <c r="AF22" s="55" t="s">
        <v>33</v>
      </c>
      <c r="AG22" s="51">
        <f>AG16</f>
        <v>0.13411341134113411</v>
      </c>
      <c r="AH22" s="51">
        <f t="shared" ref="AH22:AI22" si="20">AH16</f>
        <v>0.29103726082578052</v>
      </c>
      <c r="AI22" s="51">
        <f t="shared" si="20"/>
        <v>0.10656620021528519</v>
      </c>
      <c r="AP22" s="55" t="s">
        <v>33</v>
      </c>
      <c r="AQ22" s="51">
        <f>AQ16</f>
        <v>0.22878228782287829</v>
      </c>
      <c r="AR22" s="51">
        <f t="shared" ref="AR22" si="21">AR16</f>
        <v>0.19300106044538706</v>
      </c>
    </row>
    <row r="23" spans="1:44" x14ac:dyDescent="0.25">
      <c r="H23" s="56" t="s">
        <v>32</v>
      </c>
      <c r="I23" s="51">
        <f>100%-I22</f>
        <v>0.76963746223564955</v>
      </c>
      <c r="J23" s="51">
        <f t="shared" ref="J23:K23" si="22">100%-J22</f>
        <v>0.81573498964803304</v>
      </c>
      <c r="K23" s="51">
        <f t="shared" si="22"/>
        <v>0.80380499405469674</v>
      </c>
      <c r="T23" s="56" t="s">
        <v>32</v>
      </c>
      <c r="U23" s="51">
        <f>100%-U22</f>
        <v>0.87067209775967414</v>
      </c>
      <c r="V23" s="51">
        <f t="shared" ref="V23:W23" si="23">100%-V22</f>
        <v>0.85349716446124768</v>
      </c>
      <c r="W23" s="51">
        <f t="shared" si="23"/>
        <v>0.85113540790580322</v>
      </c>
      <c r="AF23" s="56" t="s">
        <v>32</v>
      </c>
      <c r="AG23" s="51">
        <f>100%-AG22</f>
        <v>0.86588658865886592</v>
      </c>
      <c r="AH23" s="51">
        <f t="shared" ref="AH23:AI23" si="24">100%-AH22</f>
        <v>0.70896273917421948</v>
      </c>
      <c r="AI23" s="51">
        <f t="shared" si="24"/>
        <v>0.89343379978471482</v>
      </c>
      <c r="AP23" s="56" t="s">
        <v>32</v>
      </c>
      <c r="AQ23" s="51">
        <f>100%-AQ22</f>
        <v>0.77121771217712176</v>
      </c>
      <c r="AR23" s="51">
        <f t="shared" ref="AR23" si="25">100%-AR22</f>
        <v>0.80699893955461288</v>
      </c>
    </row>
  </sheetData>
  <mergeCells count="4">
    <mergeCell ref="H1:K1"/>
    <mergeCell ref="T1:W1"/>
    <mergeCell ref="AF1:AI1"/>
    <mergeCell ref="AP1:AR1"/>
  </mergeCells>
  <conditionalFormatting sqref="I5:K16">
    <cfRule type="colorScale" priority="54">
      <colorScale>
        <cfvo type="min"/>
        <cfvo type="percentile" val="50"/>
        <cfvo type="max"/>
        <color rgb="FF63BE7B"/>
        <color rgb="FFFFEB84"/>
        <color rgb="FFF8696B"/>
      </colorScale>
    </cfRule>
  </conditionalFormatting>
  <conditionalFormatting sqref="U5:W16">
    <cfRule type="colorScale" priority="3">
      <colorScale>
        <cfvo type="min"/>
        <cfvo type="percentile" val="50"/>
        <cfvo type="max"/>
        <color rgb="FF63BE7B"/>
        <color rgb="FFFFEB84"/>
        <color rgb="FFF8696B"/>
      </colorScale>
    </cfRule>
  </conditionalFormatting>
  <conditionalFormatting sqref="AG5:AI16">
    <cfRule type="colorScale" priority="2">
      <colorScale>
        <cfvo type="min"/>
        <cfvo type="percentile" val="50"/>
        <cfvo type="max"/>
        <color rgb="FF63BE7B"/>
        <color rgb="FFFFEB84"/>
        <color rgb="FFF8696B"/>
      </colorScale>
    </cfRule>
  </conditionalFormatting>
  <conditionalFormatting sqref="AQ5:AR16">
    <cfRule type="colorScale" priority="292">
      <colorScale>
        <cfvo type="min"/>
        <cfvo type="percentile" val="50"/>
        <cfvo type="max"/>
        <color rgb="FF63BE7B"/>
        <color rgb="FFFFEB84"/>
        <color rgb="FFF8696B"/>
      </colorScale>
    </cfRule>
  </conditionalFormatting>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AX192"/>
  <sheetViews>
    <sheetView topLeftCell="A19" zoomScale="80" zoomScaleNormal="80" workbookViewId="0">
      <pane xSplit="1" topLeftCell="B1" activePane="topRight" state="frozen"/>
      <selection pane="topRight" activeCell="A51" sqref="A51:XFD63"/>
    </sheetView>
  </sheetViews>
  <sheetFormatPr baseColWidth="10" defaultRowHeight="15" outlineLevelRow="2" x14ac:dyDescent="0.25"/>
  <cols>
    <col min="1" max="1" width="28.28515625" customWidth="1"/>
    <col min="2" max="50" width="17.7109375" customWidth="1"/>
  </cols>
  <sheetData>
    <row r="1" spans="1:50" ht="21" x14ac:dyDescent="0.35">
      <c r="A1" s="105" t="s">
        <v>400</v>
      </c>
      <c r="B1" s="105"/>
      <c r="C1" s="105"/>
      <c r="D1" s="105"/>
      <c r="E1" s="105"/>
      <c r="F1" s="105"/>
      <c r="G1" s="105"/>
      <c r="H1" s="105"/>
    </row>
    <row r="2" spans="1:50" ht="15.75" thickBot="1" x14ac:dyDescent="0.3"/>
    <row r="3" spans="1:50" s="5" customFormat="1" ht="30" x14ac:dyDescent="0.25">
      <c r="B3" s="74" t="str">
        <f>'TCD sortants série 1 (novembre)'!B5</f>
        <v>Refus_1</v>
      </c>
      <c r="C3" s="75" t="str">
        <f>'TCD sortants série 1 (novembre)'!C5</f>
        <v>Refus_2</v>
      </c>
      <c r="D3" s="75" t="str">
        <f>'TCD sortants série 1 (novembre)'!D5</f>
        <v>Refus_3</v>
      </c>
      <c r="E3" s="76" t="s">
        <v>201</v>
      </c>
      <c r="F3" s="74" t="str">
        <f>'TCD sortants série 1 (novembre)'!F5</f>
        <v>PET_clair_1</v>
      </c>
      <c r="G3" s="75" t="str">
        <f>'TCD sortants série 1 (novembre)'!G5</f>
        <v>PET_clair_2</v>
      </c>
      <c r="H3" s="75" t="str">
        <f>'TCD sortants série 1 (novembre)'!H5</f>
        <v>PET_clair_3</v>
      </c>
      <c r="I3" s="76" t="s">
        <v>202</v>
      </c>
      <c r="J3" s="74" t="str">
        <f>'TCD sortants série 1 (novembre)'!J5</f>
        <v>EMR_1</v>
      </c>
      <c r="K3" s="75" t="str">
        <f>'TCD sortants série 1 (novembre)'!K5</f>
        <v>EMR_2</v>
      </c>
      <c r="L3" s="75" t="str">
        <f>'TCD sortants série 1 (novembre)'!L5</f>
        <v>EMR_3</v>
      </c>
      <c r="M3" s="76" t="s">
        <v>203</v>
      </c>
      <c r="N3" s="74" t="str">
        <f>'TCD sortants série 1 (novembre)'!N5</f>
        <v>PCM_1</v>
      </c>
      <c r="O3" s="75" t="str">
        <f>'TCD sortants série 1 (novembre)'!O5</f>
        <v>PCM_2</v>
      </c>
      <c r="P3" s="75" t="str">
        <f>'TCD sortants série 1 (novembre)'!P5</f>
        <v>PCM_3</v>
      </c>
      <c r="Q3" s="76" t="s">
        <v>204</v>
      </c>
      <c r="R3" s="74" t="str">
        <f>'TCD sortants série 1 (novembre)'!R5</f>
        <v>JRM_1</v>
      </c>
      <c r="S3" s="75" t="str">
        <f>'TCD sortants série 1 (novembre)'!S5</f>
        <v>JRM_2</v>
      </c>
      <c r="T3" s="75" t="str">
        <f>'TCD sortants série 1 (novembre)'!T5</f>
        <v>JRM_3</v>
      </c>
      <c r="U3" s="76" t="s">
        <v>205</v>
      </c>
      <c r="V3" s="74" t="str">
        <f>'TCD sortants série 1 (novembre)'!V5</f>
        <v>Gros_cartons_1</v>
      </c>
      <c r="W3" s="75" t="str">
        <f>'TCD sortants série 1 (novembre)'!W5</f>
        <v>Gros_cartons_2</v>
      </c>
      <c r="X3" s="75" t="str">
        <f>'TCD sortants série 1 (novembre)'!X5</f>
        <v>Gros_cartons_3</v>
      </c>
      <c r="Y3" s="76" t="s">
        <v>206</v>
      </c>
      <c r="Z3" s="74" t="str">
        <f>'TCD sortants série 1 (novembre)'!Z5</f>
        <v>ELA_1</v>
      </c>
      <c r="AA3" s="75" t="str">
        <f>'TCD sortants série 1 (novembre)'!AA5</f>
        <v>ELA_2</v>
      </c>
      <c r="AB3" s="75" t="str">
        <f>'TCD sortants série 1 (novembre)'!AB5</f>
        <v>ELA_3</v>
      </c>
      <c r="AC3" s="76" t="s">
        <v>207</v>
      </c>
      <c r="AD3" s="74" t="str">
        <f>'TCD sortants série 1 (novembre)'!AD5</f>
        <v>PEHD/PP_1</v>
      </c>
      <c r="AE3" s="75" t="str">
        <f>'TCD sortants série 1 (novembre)'!AE5</f>
        <v>PEHD/PP_2</v>
      </c>
      <c r="AF3" s="75" t="str">
        <f>'TCD sortants série 1 (novembre)'!AF5</f>
        <v>PEHD/PP_3</v>
      </c>
      <c r="AG3" s="76" t="s">
        <v>208</v>
      </c>
      <c r="AH3" s="74" t="str">
        <f>'TCD sortants série 1 (novembre)'!AH5</f>
        <v>FLUX_DEV_1</v>
      </c>
      <c r="AI3" s="75" t="str">
        <f>'TCD sortants série 1 (novembre)'!AI5</f>
        <v>FLUX_DEV_2</v>
      </c>
      <c r="AJ3" s="75" t="str">
        <f>'TCD sortants série 1 (novembre)'!AJ5</f>
        <v>FLUX_DEV_3</v>
      </c>
      <c r="AK3" s="76" t="s">
        <v>209</v>
      </c>
      <c r="AL3" s="74" t="str">
        <f>'TCD sortants série 1 (novembre)'!AL5</f>
        <v>FILM_PE_1</v>
      </c>
      <c r="AM3" s="75" t="str">
        <f>'TCD sortants série 1 (novembre)'!AM5</f>
        <v>FILM_PE_2</v>
      </c>
      <c r="AN3" s="75" t="str">
        <f>'TCD sortants série 1 (novembre)'!AN5</f>
        <v>FILM_PE_3</v>
      </c>
      <c r="AO3" s="76" t="s">
        <v>210</v>
      </c>
      <c r="AP3" s="74" t="str">
        <f>'TCD sortants série 1 (novembre)'!AP5</f>
        <v>Acier_1</v>
      </c>
      <c r="AQ3" s="75" t="str">
        <f>'TCD sortants série 1 (novembre)'!AQ5</f>
        <v>Acier_2</v>
      </c>
      <c r="AR3" s="75" t="str">
        <f>'TCD sortants série 1 (novembre)'!AR5</f>
        <v>Acier_3</v>
      </c>
      <c r="AS3" s="76" t="s">
        <v>211</v>
      </c>
      <c r="AT3" s="74" t="str">
        <f>'TCD sortants série 1 (novembre)'!AT5</f>
        <v>Aluminium_1</v>
      </c>
      <c r="AU3" s="75" t="str">
        <f>'TCD sortants série 1 (novembre)'!AU5</f>
        <v>Aluminium_2</v>
      </c>
      <c r="AV3" s="75" t="str">
        <f>'TCD sortants série 1 (novembre)'!AV5</f>
        <v>Aluminium_3</v>
      </c>
      <c r="AW3" s="76" t="s">
        <v>212</v>
      </c>
      <c r="AX3" s="76" t="str">
        <f>'TCD sortants série 1 (novembre)'!AX5</f>
        <v>Petits_alus_1</v>
      </c>
    </row>
    <row r="4" spans="1:50" x14ac:dyDescent="0.25">
      <c r="A4" s="82" t="s">
        <v>38</v>
      </c>
      <c r="B4" s="71">
        <f>'TCD sortants série 1 (novembre)'!B6</f>
        <v>2.1186440677966076E-3</v>
      </c>
      <c r="C4" s="49">
        <f>'TCD sortants série 1 (novembre)'!C6</f>
        <v>0</v>
      </c>
      <c r="D4" s="72">
        <f>'TCD sortants série 1 (novembre)'!D6</f>
        <v>0</v>
      </c>
      <c r="E4" s="73">
        <f>AVERAGE(B4:D4)</f>
        <v>7.0621468926553585E-4</v>
      </c>
      <c r="F4" s="71">
        <f>'TCD sortants série 1 (novembre)'!F6</f>
        <v>0</v>
      </c>
      <c r="G4" s="49">
        <f>'TCD sortants série 1 (novembre)'!G6</f>
        <v>0</v>
      </c>
      <c r="H4" s="72">
        <f>'TCD sortants série 1 (novembre)'!H6</f>
        <v>0</v>
      </c>
      <c r="I4" s="73">
        <f>AVERAGE(F4:H4)</f>
        <v>0</v>
      </c>
      <c r="J4" s="71">
        <f>'TCD sortants série 1 (novembre)'!J6</f>
        <v>0</v>
      </c>
      <c r="K4" s="49">
        <f>'TCD sortants série 1 (novembre)'!K6</f>
        <v>0</v>
      </c>
      <c r="L4" s="72">
        <f>'TCD sortants série 1 (novembre)'!L6</f>
        <v>0</v>
      </c>
      <c r="M4" s="73">
        <f>AVERAGE(J4:L4)</f>
        <v>0</v>
      </c>
      <c r="N4" s="71">
        <f>'TCD sortants série 1 (novembre)'!N6</f>
        <v>1.699346405228758E-2</v>
      </c>
      <c r="O4" s="49">
        <f>'TCD sortants série 1 (novembre)'!O6</f>
        <v>4.5801526717557228E-3</v>
      </c>
      <c r="P4" s="72">
        <f>'TCD sortants série 1 (novembre)'!P6</f>
        <v>1.2915129151291515E-2</v>
      </c>
      <c r="Q4" s="73">
        <f>AVERAGE(N4:P4)</f>
        <v>1.1496248625111607E-2</v>
      </c>
      <c r="R4" s="71">
        <f>'TCD sortants série 1 (novembre)'!R6</f>
        <v>0</v>
      </c>
      <c r="S4" s="49">
        <f>'TCD sortants série 1 (novembre)'!S6</f>
        <v>0</v>
      </c>
      <c r="T4" s="72">
        <f>'TCD sortants série 1 (novembre)'!T6</f>
        <v>1.8072289156626502E-2</v>
      </c>
      <c r="U4" s="73">
        <f>AVERAGE(R4:T4)</f>
        <v>6.0240963855421673E-3</v>
      </c>
      <c r="V4" s="71">
        <f>'TCD sortants série 1 (novembre)'!V6</f>
        <v>0</v>
      </c>
      <c r="W4" s="49">
        <f>'TCD sortants série 1 (novembre)'!W6</f>
        <v>0</v>
      </c>
      <c r="X4" s="72">
        <f>'TCD sortants série 1 (novembre)'!X6</f>
        <v>0</v>
      </c>
      <c r="Y4" s="73">
        <f>AVERAGE(V4:X4)</f>
        <v>0</v>
      </c>
      <c r="Z4" s="71">
        <f>'TCD sortants série 1 (novembre)'!Z6</f>
        <v>0</v>
      </c>
      <c r="AA4" s="49">
        <f>'TCD sortants série 1 (novembre)'!AA6</f>
        <v>0</v>
      </c>
      <c r="AB4" s="72">
        <f>'TCD sortants série 1 (novembre)'!AB6</f>
        <v>0</v>
      </c>
      <c r="AC4" s="73">
        <f>AVERAGE(Z4:AB4)</f>
        <v>0</v>
      </c>
      <c r="AD4" s="71">
        <f>'TCD sortants série 1 (novembre)'!AD6</f>
        <v>0</v>
      </c>
      <c r="AE4" s="49">
        <f>'TCD sortants série 1 (novembre)'!AE6</f>
        <v>0</v>
      </c>
      <c r="AF4" s="72">
        <f>'TCD sortants série 1 (novembre)'!AF6</f>
        <v>0</v>
      </c>
      <c r="AG4" s="73">
        <f>AVERAGE(AD4:AF4)</f>
        <v>0</v>
      </c>
      <c r="AH4" s="71">
        <f>'TCD sortants série 1 (novembre)'!AH6</f>
        <v>0</v>
      </c>
      <c r="AI4" s="49">
        <f>'TCD sortants série 1 (novembre)'!AI6</f>
        <v>0</v>
      </c>
      <c r="AJ4" s="72">
        <f>'TCD sortants série 1 (novembre)'!AJ6</f>
        <v>0</v>
      </c>
      <c r="AK4" s="73">
        <f>AVERAGE(AH4:AJ4)</f>
        <v>0</v>
      </c>
      <c r="AL4" s="71">
        <f>'TCD sortants série 1 (novembre)'!AL6</f>
        <v>0</v>
      </c>
      <c r="AM4" s="49">
        <f>'TCD sortants série 1 (novembre)'!AM6</f>
        <v>0</v>
      </c>
      <c r="AN4" s="72">
        <f>'TCD sortants série 1 (novembre)'!AN6</f>
        <v>0</v>
      </c>
      <c r="AO4" s="73">
        <f>AVERAGE(AL4:AN4)</f>
        <v>0</v>
      </c>
      <c r="AP4" s="71">
        <f>'TCD sortants série 1 (novembre)'!AP6</f>
        <v>0.86604361370716509</v>
      </c>
      <c r="AQ4" s="49">
        <f>'TCD sortants série 1 (novembre)'!AQ6</f>
        <v>0.88876276958002287</v>
      </c>
      <c r="AR4" s="72">
        <f>'TCD sortants série 1 (novembre)'!AR6</f>
        <v>0.87927350427350426</v>
      </c>
      <c r="AS4" s="73">
        <f>AVERAGE(AP4:AR4)</f>
        <v>0.87802662918689744</v>
      </c>
      <c r="AT4" s="71">
        <f>'TCD sortants série 1 (novembre)'!AT6</f>
        <v>0</v>
      </c>
      <c r="AU4" s="49">
        <f>'TCD sortants série 1 (novembre)'!AU6</f>
        <v>0</v>
      </c>
      <c r="AV4" s="72">
        <f>'TCD sortants série 1 (novembre)'!AV6</f>
        <v>0</v>
      </c>
      <c r="AW4" s="73">
        <f>AVERAGE(AT4:AV4)</f>
        <v>0</v>
      </c>
      <c r="AX4" s="71">
        <f>'TCD sortants série 1 (novembre)'!AX6</f>
        <v>0</v>
      </c>
    </row>
    <row r="5" spans="1:50" x14ac:dyDescent="0.25">
      <c r="A5" s="82" t="s">
        <v>34</v>
      </c>
      <c r="B5" s="71">
        <f>'TCD sortants série 1 (novembre)'!B7</f>
        <v>1.0593220338983052E-2</v>
      </c>
      <c r="C5" s="49">
        <f>'TCD sortants série 1 (novembre)'!C7</f>
        <v>2.3305084745762719E-2</v>
      </c>
      <c r="D5" s="72">
        <f>'TCD sortants série 1 (novembre)'!D7</f>
        <v>1.3698630136986306E-2</v>
      </c>
      <c r="E5" s="73">
        <f t="shared" ref="E5:E15" si="0">AVERAGE(B5:D5)</f>
        <v>1.5865645073910691E-2</v>
      </c>
      <c r="F5" s="71">
        <f>'TCD sortants série 1 (novembre)'!F7</f>
        <v>1.1337868480725607E-3</v>
      </c>
      <c r="G5" s="49">
        <f>'TCD sortants série 1 (novembre)'!G7</f>
        <v>0</v>
      </c>
      <c r="H5" s="72">
        <f>'TCD sortants série 1 (novembre)'!H7</f>
        <v>2.2573363431151253E-3</v>
      </c>
      <c r="I5" s="73">
        <f t="shared" ref="I5:I15" si="1">AVERAGE(F5:H5)</f>
        <v>1.1303743970625618E-3</v>
      </c>
      <c r="J5" s="71">
        <f>'TCD sortants série 1 (novembre)'!J7</f>
        <v>1.1013215859030821E-3</v>
      </c>
      <c r="K5" s="49">
        <f>'TCD sortants série 1 (novembre)'!K7</f>
        <v>0</v>
      </c>
      <c r="L5" s="72">
        <f>'TCD sortants série 1 (novembre)'!L7</f>
        <v>0</v>
      </c>
      <c r="M5" s="73">
        <f t="shared" ref="M5:M15" si="2">AVERAGE(J5:L5)</f>
        <v>3.6710719530102734E-4</v>
      </c>
      <c r="N5" s="71">
        <f>'TCD sortants série 1 (novembre)'!N7</f>
        <v>5.2287581699346393E-3</v>
      </c>
      <c r="O5" s="49">
        <f>'TCD sortants série 1 (novembre)'!O7</f>
        <v>3.0534351145038163E-3</v>
      </c>
      <c r="P5" s="72">
        <f>'TCD sortants série 1 (novembre)'!P7</f>
        <v>1.8450184501844998E-3</v>
      </c>
      <c r="Q5" s="73">
        <f t="shared" ref="Q5:Q15" si="3">AVERAGE(N5:P5)</f>
        <v>3.3757372448743185E-3</v>
      </c>
      <c r="R5" s="71">
        <f>'TCD sortants série 1 (novembre)'!R7</f>
        <v>0</v>
      </c>
      <c r="S5" s="49">
        <f>'TCD sortants série 1 (novembre)'!S7</f>
        <v>0</v>
      </c>
      <c r="T5" s="72">
        <f>'TCD sortants série 1 (novembre)'!T7</f>
        <v>6.0240963855421673E-3</v>
      </c>
      <c r="U5" s="73">
        <f t="shared" ref="U5:U15" si="4">AVERAGE(R5:T5)</f>
        <v>2.0080321285140556E-3</v>
      </c>
      <c r="V5" s="71">
        <f>'TCD sortants série 1 (novembre)'!V7</f>
        <v>4.1493775933609933E-3</v>
      </c>
      <c r="W5" s="49">
        <f>'TCD sortants série 1 (novembre)'!W7</f>
        <v>0</v>
      </c>
      <c r="X5" s="72">
        <f>'TCD sortants série 1 (novembre)'!X7</f>
        <v>0</v>
      </c>
      <c r="Y5" s="73">
        <f t="shared" ref="Y5:Y15" si="5">AVERAGE(V5:X5)</f>
        <v>1.3831258644536645E-3</v>
      </c>
      <c r="Z5" s="71">
        <f>'TCD sortants série 1 (novembre)'!Z7</f>
        <v>2.3923444976076532E-3</v>
      </c>
      <c r="AA5" s="49">
        <f>'TCD sortants série 1 (novembre)'!AA7</f>
        <v>1.6420361247947476E-3</v>
      </c>
      <c r="AB5" s="72">
        <f>'TCD sortants série 1 (novembre)'!AB7</f>
        <v>0</v>
      </c>
      <c r="AC5" s="73">
        <f t="shared" ref="AC5:AC15" si="6">AVERAGE(Z5:AB5)</f>
        <v>1.3447935408008004E-3</v>
      </c>
      <c r="AD5" s="71">
        <f>'TCD sortants série 1 (novembre)'!AD7</f>
        <v>5.2724077328646793E-3</v>
      </c>
      <c r="AE5" s="49">
        <f>'TCD sortants série 1 (novembre)'!AE7</f>
        <v>5.2539404553415044E-3</v>
      </c>
      <c r="AF5" s="72">
        <f>'TCD sortants série 1 (novembre)'!AF7</f>
        <v>2.1978021978021956E-3</v>
      </c>
      <c r="AG5" s="73">
        <f t="shared" ref="AG5:AG15" si="7">AVERAGE(AD5:AF5)</f>
        <v>4.2413834620027933E-3</v>
      </c>
      <c r="AH5" s="71">
        <f>'TCD sortants série 1 (novembre)'!AH7</f>
        <v>8.8105726872246722E-3</v>
      </c>
      <c r="AI5" s="49">
        <f>'TCD sortants série 1 (novembre)'!AI7</f>
        <v>2.3809523809523819E-2</v>
      </c>
      <c r="AJ5" s="72">
        <f>'TCD sortants série 1 (novembre)'!AJ7</f>
        <v>2.3305084745762716E-2</v>
      </c>
      <c r="AK5" s="73">
        <f t="shared" ref="AK5:AK15" si="8">AVERAGE(AH5:AJ5)</f>
        <v>1.864172708083707E-2</v>
      </c>
      <c r="AL5" s="71">
        <f>'TCD sortants série 1 (novembre)'!AL7</f>
        <v>1.9047619047619046E-2</v>
      </c>
      <c r="AM5" s="49">
        <f>'TCD sortants série 1 (novembre)'!AM7</f>
        <v>4.7169811320754828E-3</v>
      </c>
      <c r="AN5" s="72">
        <f>'TCD sortants série 1 (novembre)'!AN7</f>
        <v>8.438818565400838E-3</v>
      </c>
      <c r="AO5" s="73">
        <f t="shared" ref="AO5:AO15" si="9">AVERAGE(AL5:AN5)</f>
        <v>1.0734472915031788E-2</v>
      </c>
      <c r="AP5" s="71">
        <f>'TCD sortants série 1 (novembre)'!AP7</f>
        <v>2.0768431983385249E-3</v>
      </c>
      <c r="AQ5" s="49">
        <f>'TCD sortants série 1 (novembre)'!AQ7</f>
        <v>1.1350737797956871E-3</v>
      </c>
      <c r="AR5" s="72">
        <f>'TCD sortants série 1 (novembre)'!AR7</f>
        <v>2.1367521367521365E-3</v>
      </c>
      <c r="AS5" s="73">
        <f t="shared" ref="AS5:AS15" si="10">AVERAGE(AP5:AR5)</f>
        <v>1.7828897049621164E-3</v>
      </c>
      <c r="AT5" s="71">
        <f>'TCD sortants série 1 (novembre)'!AT7</f>
        <v>0.85151116951379779</v>
      </c>
      <c r="AU5" s="49">
        <f>'TCD sortants série 1 (novembre)'!AU7</f>
        <v>0.88400702987697721</v>
      </c>
      <c r="AV5" s="72">
        <f>'TCD sortants série 1 (novembre)'!AV7</f>
        <v>0.84902309058614567</v>
      </c>
      <c r="AW5" s="73">
        <f t="shared" ref="AW5:AW15" si="11">AVERAGE(AT5:AV5)</f>
        <v>0.86151376332564011</v>
      </c>
      <c r="AX5" s="71">
        <f>'TCD sortants série 1 (novembre)'!AX7</f>
        <v>0.18057663125948401</v>
      </c>
    </row>
    <row r="6" spans="1:50" x14ac:dyDescent="0.25">
      <c r="A6" s="82" t="s">
        <v>35</v>
      </c>
      <c r="B6" s="71">
        <f>'TCD sortants série 1 (novembre)'!B8</f>
        <v>2.1186440677966076E-3</v>
      </c>
      <c r="C6" s="49">
        <f>'TCD sortants série 1 (novembre)'!C8</f>
        <v>0</v>
      </c>
      <c r="D6" s="72">
        <f>'TCD sortants série 1 (novembre)'!D8</f>
        <v>0</v>
      </c>
      <c r="E6" s="73">
        <f t="shared" si="0"/>
        <v>7.0621468926553585E-4</v>
      </c>
      <c r="F6" s="71">
        <f>'TCD sortants série 1 (novembre)'!F8</f>
        <v>0</v>
      </c>
      <c r="G6" s="49">
        <f>'TCD sortants série 1 (novembre)'!G8</f>
        <v>0</v>
      </c>
      <c r="H6" s="72">
        <f>'TCD sortants série 1 (novembre)'!H8</f>
        <v>0</v>
      </c>
      <c r="I6" s="73">
        <f t="shared" si="1"/>
        <v>0</v>
      </c>
      <c r="J6" s="71">
        <f>'TCD sortants série 1 (novembre)'!J8</f>
        <v>0</v>
      </c>
      <c r="K6" s="49">
        <f>'TCD sortants série 1 (novembre)'!K8</f>
        <v>0</v>
      </c>
      <c r="L6" s="72">
        <f>'TCD sortants série 1 (novembre)'!L8</f>
        <v>0</v>
      </c>
      <c r="M6" s="73">
        <f t="shared" si="2"/>
        <v>0</v>
      </c>
      <c r="N6" s="71">
        <f>'TCD sortants série 1 (novembre)'!N8</f>
        <v>1.3071895424836583E-3</v>
      </c>
      <c r="O6" s="49">
        <f>'TCD sortants série 1 (novembre)'!O8</f>
        <v>0</v>
      </c>
      <c r="P6" s="72">
        <f>'TCD sortants série 1 (novembre)'!P8</f>
        <v>0</v>
      </c>
      <c r="Q6" s="73">
        <f t="shared" si="3"/>
        <v>4.3572984749455277E-4</v>
      </c>
      <c r="R6" s="71">
        <f>'TCD sortants série 1 (novembre)'!R8</f>
        <v>0</v>
      </c>
      <c r="S6" s="49">
        <f>'TCD sortants série 1 (novembre)'!S8</f>
        <v>0</v>
      </c>
      <c r="T6" s="72">
        <f>'TCD sortants série 1 (novembre)'!T8</f>
        <v>0</v>
      </c>
      <c r="U6" s="73">
        <f t="shared" si="4"/>
        <v>0</v>
      </c>
      <c r="V6" s="71">
        <f>'TCD sortants série 1 (novembre)'!V8</f>
        <v>0</v>
      </c>
      <c r="W6" s="49">
        <f>'TCD sortants série 1 (novembre)'!W8</f>
        <v>0</v>
      </c>
      <c r="X6" s="72">
        <f>'TCD sortants série 1 (novembre)'!X8</f>
        <v>0</v>
      </c>
      <c r="Y6" s="73">
        <f t="shared" si="5"/>
        <v>0</v>
      </c>
      <c r="Z6" s="71">
        <f>'TCD sortants série 1 (novembre)'!Z8</f>
        <v>0</v>
      </c>
      <c r="AA6" s="49">
        <f>'TCD sortants série 1 (novembre)'!AA8</f>
        <v>0</v>
      </c>
      <c r="AB6" s="72">
        <f>'TCD sortants série 1 (novembre)'!AB8</f>
        <v>0</v>
      </c>
      <c r="AC6" s="73">
        <f t="shared" si="6"/>
        <v>0</v>
      </c>
      <c r="AD6" s="71">
        <f>'TCD sortants série 1 (novembre)'!AD8</f>
        <v>0</v>
      </c>
      <c r="AE6" s="49">
        <f>'TCD sortants série 1 (novembre)'!AE8</f>
        <v>0</v>
      </c>
      <c r="AF6" s="72">
        <f>'TCD sortants série 1 (novembre)'!AF8</f>
        <v>0</v>
      </c>
      <c r="AG6" s="73">
        <f t="shared" si="7"/>
        <v>0</v>
      </c>
      <c r="AH6" s="71">
        <f>'TCD sortants série 1 (novembre)'!AH8</f>
        <v>0</v>
      </c>
      <c r="AI6" s="49">
        <f>'TCD sortants série 1 (novembre)'!AI8</f>
        <v>0</v>
      </c>
      <c r="AJ6" s="72">
        <f>'TCD sortants série 1 (novembre)'!AJ8</f>
        <v>0</v>
      </c>
      <c r="AK6" s="73">
        <f t="shared" si="8"/>
        <v>0</v>
      </c>
      <c r="AL6" s="71">
        <f>'TCD sortants série 1 (novembre)'!AL8</f>
        <v>0</v>
      </c>
      <c r="AM6" s="49">
        <f>'TCD sortants série 1 (novembre)'!AM8</f>
        <v>0</v>
      </c>
      <c r="AN6" s="72">
        <f>'TCD sortants série 1 (novembre)'!AN8</f>
        <v>0</v>
      </c>
      <c r="AO6" s="73">
        <f t="shared" si="9"/>
        <v>0</v>
      </c>
      <c r="AP6" s="71">
        <f>'TCD sortants série 1 (novembre)'!AP8</f>
        <v>0</v>
      </c>
      <c r="AQ6" s="49">
        <f>'TCD sortants série 1 (novembre)'!AQ8</f>
        <v>0</v>
      </c>
      <c r="AR6" s="72">
        <f>'TCD sortants série 1 (novembre)'!AR8</f>
        <v>0</v>
      </c>
      <c r="AS6" s="73">
        <f t="shared" si="10"/>
        <v>0</v>
      </c>
      <c r="AT6" s="71">
        <f>'TCD sortants série 1 (novembre)'!AT8</f>
        <v>1.4454664914586073E-2</v>
      </c>
      <c r="AU6" s="49">
        <f>'TCD sortants série 1 (novembre)'!AU8</f>
        <v>1.5817223198594025E-2</v>
      </c>
      <c r="AV6" s="72">
        <f>'TCD sortants série 1 (novembre)'!AV8</f>
        <v>1.5985790408525762E-2</v>
      </c>
      <c r="AW6" s="73">
        <f t="shared" si="11"/>
        <v>1.5419226173901951E-2</v>
      </c>
      <c r="AX6" s="71">
        <f>'TCD sortants série 1 (novembre)'!AX8</f>
        <v>0.6540212443095601</v>
      </c>
    </row>
    <row r="7" spans="1:50" x14ac:dyDescent="0.25">
      <c r="A7" s="82" t="s">
        <v>22</v>
      </c>
      <c r="B7" s="71">
        <f>'TCD sortants série 1 (novembre)'!B9</f>
        <v>2.542372881355932E-2</v>
      </c>
      <c r="C7" s="49">
        <f>'TCD sortants série 1 (novembre)'!C9</f>
        <v>6.3559322033898327E-3</v>
      </c>
      <c r="D7" s="72">
        <f>'TCD sortants série 1 (novembre)'!D9</f>
        <v>1.9569471624266152E-3</v>
      </c>
      <c r="E7" s="73">
        <f t="shared" si="0"/>
        <v>1.1245536059791922E-2</v>
      </c>
      <c r="F7" s="71">
        <f>'TCD sortants série 1 (novembre)'!F9</f>
        <v>0</v>
      </c>
      <c r="G7" s="49">
        <f>'TCD sortants série 1 (novembre)'!G9</f>
        <v>0</v>
      </c>
      <c r="H7" s="72">
        <f>'TCD sortants série 1 (novembre)'!H9</f>
        <v>0</v>
      </c>
      <c r="I7" s="73">
        <f t="shared" si="1"/>
        <v>0</v>
      </c>
      <c r="J7" s="71">
        <f>'TCD sortants série 1 (novembre)'!J9</f>
        <v>0</v>
      </c>
      <c r="K7" s="49">
        <f>'TCD sortants série 1 (novembre)'!K9</f>
        <v>0</v>
      </c>
      <c r="L7" s="72">
        <f>'TCD sortants série 1 (novembre)'!L9</f>
        <v>1.9880715705765379E-3</v>
      </c>
      <c r="M7" s="73">
        <f t="shared" si="2"/>
        <v>6.6269052352551261E-4</v>
      </c>
      <c r="N7" s="71">
        <f>'TCD sortants série 1 (novembre)'!N9</f>
        <v>3.9215686274509812E-3</v>
      </c>
      <c r="O7" s="49">
        <f>'TCD sortants série 1 (novembre)'!O9</f>
        <v>1.5267175572519064E-3</v>
      </c>
      <c r="P7" s="72">
        <f>'TCD sortants série 1 (novembre)'!P9</f>
        <v>0</v>
      </c>
      <c r="Q7" s="73">
        <f t="shared" si="3"/>
        <v>1.8160953949009626E-3</v>
      </c>
      <c r="R7" s="71">
        <f>'TCD sortants série 1 (novembre)'!R9</f>
        <v>0</v>
      </c>
      <c r="S7" s="49">
        <f>'TCD sortants série 1 (novembre)'!S9</f>
        <v>0</v>
      </c>
      <c r="T7" s="72">
        <f>'TCD sortants série 1 (novembre)'!T9</f>
        <v>1.2048192771084345E-3</v>
      </c>
      <c r="U7" s="73">
        <f t="shared" si="4"/>
        <v>4.0160642570281148E-4</v>
      </c>
      <c r="V7" s="71">
        <f>'TCD sortants série 1 (novembre)'!V9</f>
        <v>0</v>
      </c>
      <c r="W7" s="49">
        <f>'TCD sortants série 1 (novembre)'!W9</f>
        <v>0</v>
      </c>
      <c r="X7" s="72">
        <f>'TCD sortants série 1 (novembre)'!X9</f>
        <v>0</v>
      </c>
      <c r="Y7" s="73">
        <f t="shared" si="5"/>
        <v>0</v>
      </c>
      <c r="Z7" s="71">
        <f>'TCD sortants série 1 (novembre)'!Z9</f>
        <v>0.89712918660287089</v>
      </c>
      <c r="AA7" s="49">
        <f>'TCD sortants série 1 (novembre)'!AA9</f>
        <v>0.83743842364532051</v>
      </c>
      <c r="AB7" s="72">
        <f>'TCD sortants série 1 (novembre)'!AB9</f>
        <v>0.81229773462783161</v>
      </c>
      <c r="AC7" s="73">
        <f t="shared" si="6"/>
        <v>0.84895511495867426</v>
      </c>
      <c r="AD7" s="71">
        <f>'TCD sortants série 1 (novembre)'!AD9</f>
        <v>6.8541300527240806E-2</v>
      </c>
      <c r="AE7" s="49">
        <f>'TCD sortants série 1 (novembre)'!AE9</f>
        <v>1.4010507880910683E-2</v>
      </c>
      <c r="AF7" s="72">
        <f>'TCD sortants série 1 (novembre)'!AF9</f>
        <v>1.0989010989010992E-2</v>
      </c>
      <c r="AG7" s="73">
        <f t="shared" si="7"/>
        <v>3.1180273132387495E-2</v>
      </c>
      <c r="AH7" s="71">
        <f>'TCD sortants série 1 (novembre)'!AH9</f>
        <v>0</v>
      </c>
      <c r="AI7" s="49">
        <f>'TCD sortants série 1 (novembre)'!AI9</f>
        <v>1.1904761904761909E-2</v>
      </c>
      <c r="AJ7" s="72">
        <f>'TCD sortants série 1 (novembre)'!AJ9</f>
        <v>1.0593220338983052E-2</v>
      </c>
      <c r="AK7" s="73">
        <f t="shared" si="8"/>
        <v>7.4993274145816538E-3</v>
      </c>
      <c r="AL7" s="71">
        <f>'TCD sortants série 1 (novembre)'!AL9</f>
        <v>0</v>
      </c>
      <c r="AM7" s="49">
        <f>'TCD sortants série 1 (novembre)'!AM9</f>
        <v>4.7169811320754828E-3</v>
      </c>
      <c r="AN7" s="72">
        <f>'TCD sortants série 1 (novembre)'!AN9</f>
        <v>0</v>
      </c>
      <c r="AO7" s="73">
        <f t="shared" si="9"/>
        <v>1.572327044025161E-3</v>
      </c>
      <c r="AP7" s="71">
        <f>'TCD sortants série 1 (novembre)'!AP9</f>
        <v>2.0768431983385254E-3</v>
      </c>
      <c r="AQ7" s="49">
        <f>'TCD sortants série 1 (novembre)'!AQ9</f>
        <v>3.4052213393870614E-3</v>
      </c>
      <c r="AR7" s="72">
        <f>'TCD sortants série 1 (novembre)'!AR9</f>
        <v>2.1367521367521365E-3</v>
      </c>
      <c r="AS7" s="73">
        <f t="shared" si="10"/>
        <v>2.5396055581592409E-3</v>
      </c>
      <c r="AT7" s="71">
        <f>'TCD sortants série 1 (novembre)'!AT9</f>
        <v>5.2562417871222069E-3</v>
      </c>
      <c r="AU7" s="49">
        <f>'TCD sortants série 1 (novembre)'!AU9</f>
        <v>1.7574692442882229E-3</v>
      </c>
      <c r="AV7" s="72">
        <f>'TCD sortants série 1 (novembre)'!AV9</f>
        <v>1.7761989342806404E-3</v>
      </c>
      <c r="AW7" s="73">
        <f t="shared" si="11"/>
        <v>2.9299699885636903E-3</v>
      </c>
      <c r="AX7" s="71">
        <f>'TCD sortants série 1 (novembre)'!AX9</f>
        <v>4.7040971168437043E-2</v>
      </c>
    </row>
    <row r="8" spans="1:50" x14ac:dyDescent="0.25">
      <c r="A8" s="82" t="s">
        <v>23</v>
      </c>
      <c r="B8" s="71">
        <f>'TCD sortants série 1 (novembre)'!B10</f>
        <v>0.14406779661016944</v>
      </c>
      <c r="C8" s="49">
        <f>'TCD sortants série 1 (novembre)'!C10</f>
        <v>8.2627118644067785E-2</v>
      </c>
      <c r="D8" s="72">
        <f>'TCD sortants série 1 (novembre)'!D10</f>
        <v>0.14677103718199613</v>
      </c>
      <c r="E8" s="73">
        <f t="shared" si="0"/>
        <v>0.12448865081207779</v>
      </c>
      <c r="F8" s="71">
        <f>'TCD sortants série 1 (novembre)'!F10</f>
        <v>1.1337868480725607E-3</v>
      </c>
      <c r="G8" s="49">
        <f>'TCD sortants série 1 (novembre)'!G10</f>
        <v>0</v>
      </c>
      <c r="H8" s="72">
        <f>'TCD sortants série 1 (novembre)'!H10</f>
        <v>0</v>
      </c>
      <c r="I8" s="73">
        <f t="shared" si="1"/>
        <v>3.779289493575202E-4</v>
      </c>
      <c r="J8" s="71">
        <f>'TCD sortants série 1 (novembre)'!J10</f>
        <v>0.84471365638766527</v>
      </c>
      <c r="K8" s="49">
        <f>'TCD sortants série 1 (novembre)'!K10</f>
        <v>0.82307692307692304</v>
      </c>
      <c r="L8" s="72">
        <f>'TCD sortants série 1 (novembre)'!L10</f>
        <v>0.84493041749502973</v>
      </c>
      <c r="M8" s="73">
        <f t="shared" si="2"/>
        <v>0.83757366565320612</v>
      </c>
      <c r="N8" s="71">
        <f>'TCD sortants série 1 (novembre)'!N10</f>
        <v>3.3986928104575181E-2</v>
      </c>
      <c r="O8" s="49">
        <f>'TCD sortants série 1 (novembre)'!O10</f>
        <v>0.134351145038168</v>
      </c>
      <c r="P8" s="72">
        <f>'TCD sortants série 1 (novembre)'!P10</f>
        <v>0.11439114391143906</v>
      </c>
      <c r="Q8" s="73">
        <f t="shared" si="3"/>
        <v>9.4243072351394078E-2</v>
      </c>
      <c r="R8" s="71">
        <f>'TCD sortants série 1 (novembre)'!R10</f>
        <v>5.1118210862619737E-2</v>
      </c>
      <c r="S8" s="49">
        <f>'TCD sortants série 1 (novembre)'!S10</f>
        <v>0.11356119073869897</v>
      </c>
      <c r="T8" s="72">
        <f>'TCD sortants série 1 (novembre)'!T10</f>
        <v>0.17590361445783131</v>
      </c>
      <c r="U8" s="73">
        <f t="shared" si="4"/>
        <v>0.11352767201971668</v>
      </c>
      <c r="V8" s="71">
        <f>'TCD sortants série 1 (novembre)'!V10</f>
        <v>0.95850622406639008</v>
      </c>
      <c r="W8" s="49">
        <f>'TCD sortants série 1 (novembre)'!W10</f>
        <v>0.97136563876651993</v>
      </c>
      <c r="X8" s="72">
        <f>'TCD sortants série 1 (novembre)'!X10</f>
        <v>0.967409948542024</v>
      </c>
      <c r="Y8" s="73">
        <f t="shared" si="5"/>
        <v>0.96576060379164463</v>
      </c>
      <c r="Z8" s="71">
        <f>'TCD sortants série 1 (novembre)'!Z10</f>
        <v>2.3923444976076565E-2</v>
      </c>
      <c r="AA8" s="49">
        <f>'TCD sortants série 1 (novembre)'!AA10</f>
        <v>3.4482758620689634E-2</v>
      </c>
      <c r="AB8" s="72">
        <f>'TCD sortants série 1 (novembre)'!AB10</f>
        <v>8.899676375404536E-2</v>
      </c>
      <c r="AC8" s="73">
        <f t="shared" si="6"/>
        <v>4.9134322450270516E-2</v>
      </c>
      <c r="AD8" s="71">
        <f>'TCD sortants série 1 (novembre)'!AD10</f>
        <v>9.4903339191564184E-2</v>
      </c>
      <c r="AE8" s="49">
        <f>'TCD sortants série 1 (novembre)'!AE10</f>
        <v>2.6269702276707538E-2</v>
      </c>
      <c r="AF8" s="72">
        <f>'TCD sortants série 1 (novembre)'!AF10</f>
        <v>3.5164835164835054E-2</v>
      </c>
      <c r="AG8" s="73">
        <f t="shared" si="7"/>
        <v>5.2112625544368928E-2</v>
      </c>
      <c r="AH8" s="71">
        <f>'TCD sortants série 1 (novembre)'!AH10</f>
        <v>1.1013215859030843E-2</v>
      </c>
      <c r="AI8" s="49">
        <f>'TCD sortants série 1 (novembre)'!AI10</f>
        <v>3.333333333333334E-2</v>
      </c>
      <c r="AJ8" s="72">
        <f>'TCD sortants série 1 (novembre)'!AJ10</f>
        <v>2.3305084745762716E-2</v>
      </c>
      <c r="AK8" s="73">
        <f t="shared" si="8"/>
        <v>2.2550544646042298E-2</v>
      </c>
      <c r="AL8" s="71">
        <f>'TCD sortants série 1 (novembre)'!AL10</f>
        <v>2.8571428571428581E-2</v>
      </c>
      <c r="AM8" s="49">
        <f>'TCD sortants série 1 (novembre)'!AM10</f>
        <v>4.7169811320754828E-3</v>
      </c>
      <c r="AN8" s="72">
        <f>'TCD sortants série 1 (novembre)'!AN10</f>
        <v>4.2194092827004138E-3</v>
      </c>
      <c r="AO8" s="73">
        <f t="shared" si="9"/>
        <v>1.2502606328734825E-2</v>
      </c>
      <c r="AP8" s="71">
        <f>'TCD sortants série 1 (novembre)'!AP10</f>
        <v>3.4267912772585667E-2</v>
      </c>
      <c r="AQ8" s="49">
        <f>'TCD sortants série 1 (novembre)'!AQ10</f>
        <v>2.0431328036322367E-2</v>
      </c>
      <c r="AR8" s="72">
        <f>'TCD sortants série 1 (novembre)'!AR10</f>
        <v>1.1752136752136754E-2</v>
      </c>
      <c r="AS8" s="73">
        <f t="shared" si="10"/>
        <v>2.2150459187014929E-2</v>
      </c>
      <c r="AT8" s="71">
        <f>'TCD sortants série 1 (novembre)'!AT10</f>
        <v>3.2851511169513799E-2</v>
      </c>
      <c r="AU8" s="49">
        <f>'TCD sortants série 1 (novembre)'!AU10</f>
        <v>2.1089630931458696E-2</v>
      </c>
      <c r="AV8" s="72">
        <f>'TCD sortants série 1 (novembre)'!AV10</f>
        <v>3.1971580817051523E-2</v>
      </c>
      <c r="AW8" s="73">
        <f t="shared" si="11"/>
        <v>2.8637574306008006E-2</v>
      </c>
      <c r="AX8" s="71">
        <f>'TCD sortants série 1 (novembre)'!AX10</f>
        <v>6.0698027314112302E-3</v>
      </c>
    </row>
    <row r="9" spans="1:50" x14ac:dyDescent="0.25">
      <c r="A9" s="82" t="s">
        <v>60</v>
      </c>
      <c r="B9" s="71">
        <f>'TCD sortants série 1 (novembre)'!B11</f>
        <v>3.8135593220339076E-2</v>
      </c>
      <c r="C9" s="49">
        <f>'TCD sortants série 1 (novembre)'!C11</f>
        <v>1.4830508474576273E-2</v>
      </c>
      <c r="D9" s="72">
        <f>'TCD sortants série 1 (novembre)'!D11</f>
        <v>1.5655577299412866E-2</v>
      </c>
      <c r="E9" s="73">
        <f t="shared" si="0"/>
        <v>2.2873892998109407E-2</v>
      </c>
      <c r="F9" s="71">
        <f>'TCD sortants série 1 (novembre)'!F11</f>
        <v>1.1337868480725607E-3</v>
      </c>
      <c r="G9" s="49">
        <f>'TCD sortants série 1 (novembre)'!G11</f>
        <v>0</v>
      </c>
      <c r="H9" s="72">
        <f>'TCD sortants série 1 (novembre)'!H11</f>
        <v>0</v>
      </c>
      <c r="I9" s="73">
        <f t="shared" si="1"/>
        <v>3.779289493575202E-4</v>
      </c>
      <c r="J9" s="71">
        <f>'TCD sortants série 1 (novembre)'!J11</f>
        <v>0</v>
      </c>
      <c r="K9" s="49">
        <f>'TCD sortants série 1 (novembre)'!K11</f>
        <v>1.5384615384615398E-3</v>
      </c>
      <c r="L9" s="72">
        <f>'TCD sortants série 1 (novembre)'!L11</f>
        <v>1.9880715705765379E-3</v>
      </c>
      <c r="M9" s="73">
        <f t="shared" si="2"/>
        <v>1.175511036346026E-3</v>
      </c>
      <c r="N9" s="71">
        <f>'TCD sortants série 1 (novembre)'!N11</f>
        <v>0</v>
      </c>
      <c r="O9" s="49">
        <f>'TCD sortants série 1 (novembre)'!O11</f>
        <v>0</v>
      </c>
      <c r="P9" s="72">
        <f>'TCD sortants série 1 (novembre)'!P11</f>
        <v>0</v>
      </c>
      <c r="Q9" s="73">
        <f t="shared" si="3"/>
        <v>0</v>
      </c>
      <c r="R9" s="71">
        <f>'TCD sortants série 1 (novembre)'!R11</f>
        <v>1.5974440894568668E-3</v>
      </c>
      <c r="S9" s="49">
        <f>'TCD sortants série 1 (novembre)'!S11</f>
        <v>0</v>
      </c>
      <c r="T9" s="72">
        <f>'TCD sortants série 1 (novembre)'!T11</f>
        <v>1.2048192771084345E-3</v>
      </c>
      <c r="U9" s="73">
        <f t="shared" si="4"/>
        <v>9.3408778885510039E-4</v>
      </c>
      <c r="V9" s="71">
        <f>'TCD sortants série 1 (novembre)'!V11</f>
        <v>0</v>
      </c>
      <c r="W9" s="49">
        <f>'TCD sortants série 1 (novembre)'!W11</f>
        <v>0</v>
      </c>
      <c r="X9" s="72">
        <f>'TCD sortants série 1 (novembre)'!X11</f>
        <v>0</v>
      </c>
      <c r="Y9" s="73">
        <f t="shared" si="5"/>
        <v>0</v>
      </c>
      <c r="Z9" s="71">
        <f>'TCD sortants série 1 (novembre)'!Z11</f>
        <v>0</v>
      </c>
      <c r="AA9" s="49">
        <f>'TCD sortants série 1 (novembre)'!AA11</f>
        <v>4.9261083743842356E-3</v>
      </c>
      <c r="AB9" s="72">
        <f>'TCD sortants série 1 (novembre)'!AB11</f>
        <v>3.2362459546925581E-3</v>
      </c>
      <c r="AC9" s="73">
        <f t="shared" si="6"/>
        <v>2.7207847763589311E-3</v>
      </c>
      <c r="AD9" s="71">
        <f>'TCD sortants série 1 (novembre)'!AD11</f>
        <v>1.2302284710017581E-2</v>
      </c>
      <c r="AE9" s="49">
        <f>'TCD sortants série 1 (novembre)'!AE11</f>
        <v>0</v>
      </c>
      <c r="AF9" s="72">
        <f>'TCD sortants série 1 (novembre)'!AF11</f>
        <v>0</v>
      </c>
      <c r="AG9" s="73">
        <f t="shared" si="7"/>
        <v>4.1007615700058607E-3</v>
      </c>
      <c r="AH9" s="71">
        <f>'TCD sortants série 1 (novembre)'!AH11</f>
        <v>2.2026431718061706E-3</v>
      </c>
      <c r="AI9" s="49">
        <f>'TCD sortants série 1 (novembre)'!AI11</f>
        <v>7.1428571428571409E-3</v>
      </c>
      <c r="AJ9" s="72">
        <f>'TCD sortants série 1 (novembre)'!AJ11</f>
        <v>1.0593220338983052E-2</v>
      </c>
      <c r="AK9" s="73">
        <f t="shared" si="8"/>
        <v>6.6462402178821224E-3</v>
      </c>
      <c r="AL9" s="71">
        <f>'TCD sortants série 1 (novembre)'!AL11</f>
        <v>0.66666666666666674</v>
      </c>
      <c r="AM9" s="49">
        <f>'TCD sortants série 1 (novembre)'!AM11</f>
        <v>0.82075471698113223</v>
      </c>
      <c r="AN9" s="72">
        <f>'TCD sortants série 1 (novembre)'!AN11</f>
        <v>0.86075949367088644</v>
      </c>
      <c r="AO9" s="73">
        <f t="shared" si="9"/>
        <v>0.78272695910622847</v>
      </c>
      <c r="AP9" s="71">
        <f>'TCD sortants série 1 (novembre)'!AP11</f>
        <v>1.0384215991692626E-2</v>
      </c>
      <c r="AQ9" s="49">
        <f>'TCD sortants série 1 (novembre)'!AQ11</f>
        <v>1.9296254256526632E-2</v>
      </c>
      <c r="AR9" s="72">
        <f>'TCD sortants série 1 (novembre)'!AR11</f>
        <v>1.8162393162393157E-2</v>
      </c>
      <c r="AS9" s="73">
        <f t="shared" si="10"/>
        <v>1.5947621136870805E-2</v>
      </c>
      <c r="AT9" s="71">
        <f>'TCD sortants série 1 (novembre)'!AT11</f>
        <v>1.3140604467805502E-3</v>
      </c>
      <c r="AU9" s="49">
        <f>'TCD sortants série 1 (novembre)'!AU11</f>
        <v>0</v>
      </c>
      <c r="AV9" s="72">
        <f>'TCD sortants série 1 (novembre)'!AV11</f>
        <v>1.7761989342806378E-3</v>
      </c>
      <c r="AW9" s="73">
        <f t="shared" si="11"/>
        <v>1.0300864603537292E-3</v>
      </c>
      <c r="AX9" s="71">
        <f>'TCD sortants série 1 (novembre)'!AX11</f>
        <v>0</v>
      </c>
    </row>
    <row r="10" spans="1:50" x14ac:dyDescent="0.25">
      <c r="A10" s="82" t="s">
        <v>57</v>
      </c>
      <c r="B10" s="71">
        <f>'TCD sortants série 1 (novembre)'!B12</f>
        <v>6.9915254237288088E-2</v>
      </c>
      <c r="C10" s="49">
        <f>'TCD sortants série 1 (novembre)'!C12</f>
        <v>0.12288135593220335</v>
      </c>
      <c r="D10" s="72">
        <f>'TCD sortants série 1 (novembre)'!D12</f>
        <v>7.6320939334637961E-2</v>
      </c>
      <c r="E10" s="73">
        <f t="shared" si="0"/>
        <v>8.9705849834709805E-2</v>
      </c>
      <c r="F10" s="71">
        <f>'TCD sortants série 1 (novembre)'!F12</f>
        <v>0.12244897959183668</v>
      </c>
      <c r="G10" s="49">
        <f>'TCD sortants série 1 (novembre)'!G12</f>
        <v>9.870129870129879E-2</v>
      </c>
      <c r="H10" s="72">
        <f>'TCD sortants série 1 (novembre)'!H12</f>
        <v>0.14221218961625282</v>
      </c>
      <c r="I10" s="73">
        <f t="shared" si="1"/>
        <v>0.12112082263646277</v>
      </c>
      <c r="J10" s="71">
        <f>'TCD sortants série 1 (novembre)'!J12</f>
        <v>1.1013215859030821E-3</v>
      </c>
      <c r="K10" s="49">
        <f>'TCD sortants série 1 (novembre)'!K12</f>
        <v>1.5384615384615365E-3</v>
      </c>
      <c r="L10" s="72">
        <f>'TCD sortants série 1 (novembre)'!L12</f>
        <v>1.9880715705765379E-3</v>
      </c>
      <c r="M10" s="73">
        <f t="shared" si="2"/>
        <v>1.5426182316470522E-3</v>
      </c>
      <c r="N10" s="71">
        <f>'TCD sortants série 1 (novembre)'!N12</f>
        <v>2.3529411764705844E-2</v>
      </c>
      <c r="O10" s="49">
        <f>'TCD sortants série 1 (novembre)'!O12</f>
        <v>6.1068702290076327E-3</v>
      </c>
      <c r="P10" s="72">
        <f>'TCD sortants série 1 (novembre)'!P12</f>
        <v>5.5350553505535034E-3</v>
      </c>
      <c r="Q10" s="73">
        <f t="shared" si="3"/>
        <v>1.172377911475566E-2</v>
      </c>
      <c r="R10" s="71">
        <f>'TCD sortants série 1 (novembre)'!R12</f>
        <v>0</v>
      </c>
      <c r="S10" s="49">
        <f>'TCD sortants série 1 (novembre)'!S12</f>
        <v>2.2050716648291066E-3</v>
      </c>
      <c r="T10" s="72">
        <f>'TCD sortants série 1 (novembre)'!T12</f>
        <v>1.3253012048192771E-2</v>
      </c>
      <c r="U10" s="73">
        <f t="shared" si="4"/>
        <v>5.152694571007292E-3</v>
      </c>
      <c r="V10" s="71">
        <f>'TCD sortants série 1 (novembre)'!V12</f>
        <v>0</v>
      </c>
      <c r="W10" s="49">
        <f>'TCD sortants série 1 (novembre)'!W12</f>
        <v>0</v>
      </c>
      <c r="X10" s="72">
        <f>'TCD sortants série 1 (novembre)'!X12</f>
        <v>0</v>
      </c>
      <c r="Y10" s="73">
        <f t="shared" si="5"/>
        <v>0</v>
      </c>
      <c r="Z10" s="71">
        <f>'TCD sortants série 1 (novembre)'!Z12</f>
        <v>9.5693779904306234E-3</v>
      </c>
      <c r="AA10" s="49">
        <f>'TCD sortants série 1 (novembre)'!AA12</f>
        <v>2.6272577996715937E-2</v>
      </c>
      <c r="AB10" s="72">
        <f>'TCD sortants série 1 (novembre)'!AB12</f>
        <v>9.7087378640776743E-3</v>
      </c>
      <c r="AC10" s="73">
        <f t="shared" si="6"/>
        <v>1.5183564617074744E-2</v>
      </c>
      <c r="AD10" s="71">
        <f>'TCD sortants série 1 (novembre)'!AD12</f>
        <v>4.0421792618629153E-2</v>
      </c>
      <c r="AE10" s="49">
        <f>'TCD sortants série 1 (novembre)'!AE12</f>
        <v>2.2767075306479877E-2</v>
      </c>
      <c r="AF10" s="72">
        <f>'TCD sortants série 1 (novembre)'!AF12</f>
        <v>1.7582417582417683E-2</v>
      </c>
      <c r="AG10" s="73">
        <f t="shared" si="7"/>
        <v>2.6923761835842237E-2</v>
      </c>
      <c r="AH10" s="71">
        <f>'TCD sortants série 1 (novembre)'!AH12</f>
        <v>0.6277533039647577</v>
      </c>
      <c r="AI10" s="49">
        <f>'TCD sortants série 1 (novembre)'!AI12</f>
        <v>0.57619047619047614</v>
      </c>
      <c r="AJ10" s="72">
        <f>'TCD sortants série 1 (novembre)'!AJ12</f>
        <v>0.56355932203389825</v>
      </c>
      <c r="AK10" s="73">
        <f t="shared" si="8"/>
        <v>0.58916770072971081</v>
      </c>
      <c r="AL10" s="71">
        <f>'TCD sortants série 1 (novembre)'!AL12</f>
        <v>9.9999999999999742E-2</v>
      </c>
      <c r="AM10" s="49">
        <f>'TCD sortants série 1 (novembre)'!AM12</f>
        <v>3.3018867924528149E-2</v>
      </c>
      <c r="AN10" s="72">
        <f>'TCD sortants série 1 (novembre)'!AN12</f>
        <v>2.9535864978902905E-2</v>
      </c>
      <c r="AO10" s="73">
        <f t="shared" si="9"/>
        <v>5.4184910967810258E-2</v>
      </c>
      <c r="AP10" s="71">
        <f>'TCD sortants série 1 (novembre)'!AP12</f>
        <v>3.1152647975077859E-3</v>
      </c>
      <c r="AQ10" s="49">
        <f>'TCD sortants série 1 (novembre)'!AQ12</f>
        <v>2.2701475595913742E-3</v>
      </c>
      <c r="AR10" s="72">
        <f>'TCD sortants série 1 (novembre)'!AR12</f>
        <v>4.2735042735042731E-3</v>
      </c>
      <c r="AS10" s="73">
        <f t="shared" si="10"/>
        <v>3.2196388768678114E-3</v>
      </c>
      <c r="AT10" s="71">
        <f>'TCD sortants série 1 (novembre)'!AT12</f>
        <v>7.8843626806833125E-3</v>
      </c>
      <c r="AU10" s="49">
        <f>'TCD sortants série 1 (novembre)'!AU12</f>
        <v>8.7873462214411256E-3</v>
      </c>
      <c r="AV10" s="72">
        <f>'TCD sortants série 1 (novembre)'!AV12</f>
        <v>1.0657193605683842E-2</v>
      </c>
      <c r="AW10" s="73">
        <f t="shared" si="11"/>
        <v>9.1096341692694267E-3</v>
      </c>
      <c r="AX10" s="71">
        <f>'TCD sortants série 1 (novembre)'!AX12</f>
        <v>4.5523520485584237E-3</v>
      </c>
    </row>
    <row r="11" spans="1:50" x14ac:dyDescent="0.25">
      <c r="A11" s="82" t="s">
        <v>59</v>
      </c>
      <c r="B11" s="71">
        <f>'TCD sortants série 1 (novembre)'!B13</f>
        <v>0.10805084745762708</v>
      </c>
      <c r="C11" s="49">
        <f>'TCD sortants série 1 (novembre)'!C13</f>
        <v>5.2966101694915266E-2</v>
      </c>
      <c r="D11" s="72">
        <f>'TCD sortants série 1 (novembre)'!D13</f>
        <v>3.7181996086105687E-2</v>
      </c>
      <c r="E11" s="73">
        <f t="shared" si="0"/>
        <v>6.606631507954934E-2</v>
      </c>
      <c r="F11" s="71">
        <f>'TCD sortants série 1 (novembre)'!F13</f>
        <v>0</v>
      </c>
      <c r="G11" s="49">
        <f>'TCD sortants série 1 (novembre)'!G13</f>
        <v>0</v>
      </c>
      <c r="H11" s="72">
        <f>'TCD sortants série 1 (novembre)'!H13</f>
        <v>0</v>
      </c>
      <c r="I11" s="73">
        <f t="shared" si="1"/>
        <v>0</v>
      </c>
      <c r="J11" s="71">
        <f>'TCD sortants série 1 (novembre)'!J13</f>
        <v>0.12555066079295144</v>
      </c>
      <c r="K11" s="49">
        <f>'TCD sortants série 1 (novembre)'!K13</f>
        <v>0.12307692307692308</v>
      </c>
      <c r="L11" s="72">
        <f>'TCD sortants série 1 (novembre)'!L13</f>
        <v>0.1013916500994036</v>
      </c>
      <c r="M11" s="73">
        <f t="shared" si="2"/>
        <v>0.11667307798975939</v>
      </c>
      <c r="N11" s="71">
        <f>'TCD sortants série 1 (novembre)'!N13</f>
        <v>3.1372549019607822E-2</v>
      </c>
      <c r="O11" s="49">
        <f>'TCD sortants série 1 (novembre)'!O13</f>
        <v>8.5496183206106899E-2</v>
      </c>
      <c r="P11" s="72">
        <f>'TCD sortants série 1 (novembre)'!P13</f>
        <v>3.5055350553505518E-2</v>
      </c>
      <c r="Q11" s="73">
        <f t="shared" si="3"/>
        <v>5.0641360926406753E-2</v>
      </c>
      <c r="R11" s="71">
        <f>'TCD sortants série 1 (novembre)'!R13</f>
        <v>0.90894568690095856</v>
      </c>
      <c r="S11" s="49">
        <f>'TCD sortants série 1 (novembre)'!S13</f>
        <v>0.84233737596471892</v>
      </c>
      <c r="T11" s="72">
        <f>'TCD sortants série 1 (novembre)'!T13</f>
        <v>0.74457831325301205</v>
      </c>
      <c r="U11" s="73">
        <f t="shared" si="4"/>
        <v>0.83195379203956321</v>
      </c>
      <c r="V11" s="71">
        <f>'TCD sortants série 1 (novembre)'!V13</f>
        <v>0</v>
      </c>
      <c r="W11" s="49">
        <f>'TCD sortants série 1 (novembre)'!W13</f>
        <v>1.1013215859030838E-2</v>
      </c>
      <c r="X11" s="72">
        <f>'TCD sortants série 1 (novembre)'!X13</f>
        <v>1.0291595197255577E-2</v>
      </c>
      <c r="Y11" s="73">
        <f t="shared" si="5"/>
        <v>7.1016036854288046E-3</v>
      </c>
      <c r="Z11" s="71">
        <f>'TCD sortants série 1 (novembre)'!Z13</f>
        <v>3.3492822966507158E-2</v>
      </c>
      <c r="AA11" s="49">
        <f>'TCD sortants série 1 (novembre)'!AA13</f>
        <v>1.6420361247947404E-2</v>
      </c>
      <c r="AB11" s="72">
        <f>'TCD sortants série 1 (novembre)'!AB13</f>
        <v>2.1035598705501587E-2</v>
      </c>
      <c r="AC11" s="73">
        <f t="shared" si="6"/>
        <v>2.364959430665205E-2</v>
      </c>
      <c r="AD11" s="71">
        <f>'TCD sortants série 1 (novembre)'!AD13</f>
        <v>2.811950790861158E-2</v>
      </c>
      <c r="AE11" s="49">
        <f>'TCD sortants série 1 (novembre)'!AE13</f>
        <v>8.7565674255691787E-3</v>
      </c>
      <c r="AF11" s="72">
        <f>'TCD sortants série 1 (novembre)'!AF13</f>
        <v>2.1978021978021956E-3</v>
      </c>
      <c r="AG11" s="73">
        <f t="shared" si="7"/>
        <v>1.3024625843994319E-2</v>
      </c>
      <c r="AH11" s="71">
        <f>'TCD sortants série 1 (novembre)'!AH13</f>
        <v>1.7621145374449344E-2</v>
      </c>
      <c r="AI11" s="49">
        <f>'TCD sortants série 1 (novembre)'!AI13</f>
        <v>3.5714285714285726E-2</v>
      </c>
      <c r="AJ11" s="72">
        <f>'TCD sortants série 1 (novembre)'!AJ13</f>
        <v>1.271186440677966E-2</v>
      </c>
      <c r="AK11" s="73">
        <f t="shared" si="8"/>
        <v>2.2015765165171577E-2</v>
      </c>
      <c r="AL11" s="71">
        <f>'TCD sortants série 1 (novembre)'!AL13</f>
        <v>2.3809523809523815E-2</v>
      </c>
      <c r="AM11" s="49">
        <f>'TCD sortants série 1 (novembre)'!AM13</f>
        <v>9.4339622641509552E-3</v>
      </c>
      <c r="AN11" s="72">
        <f>'TCD sortants série 1 (novembre)'!AN13</f>
        <v>0</v>
      </c>
      <c r="AO11" s="73">
        <f t="shared" si="9"/>
        <v>1.1081162024558257E-2</v>
      </c>
      <c r="AP11" s="71">
        <f>'TCD sortants série 1 (novembre)'!AP13</f>
        <v>4.1536863966770508E-3</v>
      </c>
      <c r="AQ11" s="49">
        <f>'TCD sortants série 1 (novembre)'!AQ13</f>
        <v>5.675368898978436E-3</v>
      </c>
      <c r="AR11" s="72">
        <f>'TCD sortants série 1 (novembre)'!AR13</f>
        <v>1.1752136752136754E-2</v>
      </c>
      <c r="AS11" s="73">
        <f t="shared" si="10"/>
        <v>7.1937306825974141E-3</v>
      </c>
      <c r="AT11" s="71">
        <f>'TCD sortants série 1 (novembre)'!AT13</f>
        <v>1.8396846254927726E-2</v>
      </c>
      <c r="AU11" s="49">
        <f>'TCD sortants série 1 (novembre)'!AU13</f>
        <v>1.4059753954305799E-2</v>
      </c>
      <c r="AV11" s="72">
        <f>'TCD sortants série 1 (novembre)'!AV13</f>
        <v>1.0657193605683839E-2</v>
      </c>
      <c r="AW11" s="73">
        <f t="shared" si="11"/>
        <v>1.4371264604972454E-2</v>
      </c>
      <c r="AX11" s="71">
        <f>'TCD sortants série 1 (novembre)'!AX13</f>
        <v>6.0698027314112302E-3</v>
      </c>
    </row>
    <row r="12" spans="1:50" x14ac:dyDescent="0.25">
      <c r="A12" s="82" t="s">
        <v>200</v>
      </c>
      <c r="B12" s="71">
        <f>'TCD sortants série 1 (novembre)'!B14</f>
        <v>4.2372881355932429E-3</v>
      </c>
      <c r="C12" s="49">
        <f>'TCD sortants série 1 (novembre)'!C14</f>
        <v>0</v>
      </c>
      <c r="D12" s="72">
        <f>'TCD sortants série 1 (novembre)'!D14</f>
        <v>0</v>
      </c>
      <c r="E12" s="73">
        <f t="shared" si="0"/>
        <v>1.412429378531081E-3</v>
      </c>
      <c r="F12" s="71">
        <f>'TCD sortants série 1 (novembre)'!F14</f>
        <v>0</v>
      </c>
      <c r="G12" s="49">
        <f>'TCD sortants série 1 (novembre)'!G14</f>
        <v>0</v>
      </c>
      <c r="H12" s="72">
        <f>'TCD sortants série 1 (novembre)'!H14</f>
        <v>0</v>
      </c>
      <c r="I12" s="73">
        <f t="shared" si="1"/>
        <v>0</v>
      </c>
      <c r="J12" s="71">
        <f>'TCD sortants série 1 (novembre)'!J14</f>
        <v>4.4052863436123335E-3</v>
      </c>
      <c r="K12" s="49">
        <f>'TCD sortants série 1 (novembre)'!K14</f>
        <v>2.1538461538461545E-2</v>
      </c>
      <c r="L12" s="72">
        <f>'TCD sortants série 1 (novembre)'!L14</f>
        <v>1.7892644135188873E-2</v>
      </c>
      <c r="M12" s="73">
        <f t="shared" si="2"/>
        <v>1.4612130672420917E-2</v>
      </c>
      <c r="N12" s="71">
        <f>'TCD sortants série 1 (novembre)'!N14</f>
        <v>0.65490196078431384</v>
      </c>
      <c r="O12" s="49">
        <f>'TCD sortants série 1 (novembre)'!O14</f>
        <v>0.5572519083969466</v>
      </c>
      <c r="P12" s="72">
        <f>'TCD sortants série 1 (novembre)'!P14</f>
        <v>0.51476014760147615</v>
      </c>
      <c r="Q12" s="73">
        <f t="shared" si="3"/>
        <v>0.57563800559424561</v>
      </c>
      <c r="R12" s="71">
        <f>'TCD sortants série 1 (novembre)'!R14</f>
        <v>1.1182108626198083E-2</v>
      </c>
      <c r="S12" s="49">
        <f>'TCD sortants série 1 (novembre)'!S14</f>
        <v>1.1025358324145534E-2</v>
      </c>
      <c r="T12" s="72">
        <f>'TCD sortants série 1 (novembre)'!T14</f>
        <v>9.638554216867469E-3</v>
      </c>
      <c r="U12" s="73">
        <f t="shared" si="4"/>
        <v>1.0615340389070362E-2</v>
      </c>
      <c r="V12" s="71">
        <f>'TCD sortants série 1 (novembre)'!V14</f>
        <v>0</v>
      </c>
      <c r="W12" s="49">
        <f>'TCD sortants série 1 (novembre)'!W14</f>
        <v>0</v>
      </c>
      <c r="X12" s="72">
        <f>'TCD sortants série 1 (novembre)'!X14</f>
        <v>0</v>
      </c>
      <c r="Y12" s="73">
        <f t="shared" si="5"/>
        <v>0</v>
      </c>
      <c r="Z12" s="71">
        <f>'TCD sortants série 1 (novembre)'!Z14</f>
        <v>0</v>
      </c>
      <c r="AA12" s="49">
        <f>'TCD sortants série 1 (novembre)'!AA14</f>
        <v>0</v>
      </c>
      <c r="AB12" s="72">
        <f>'TCD sortants série 1 (novembre)'!AB14</f>
        <v>0</v>
      </c>
      <c r="AC12" s="73">
        <f t="shared" si="6"/>
        <v>0</v>
      </c>
      <c r="AD12" s="71">
        <f>'TCD sortants série 1 (novembre)'!AD14</f>
        <v>5.272407732864675E-3</v>
      </c>
      <c r="AE12" s="49">
        <f>'TCD sortants série 1 (novembre)'!AE14</f>
        <v>0</v>
      </c>
      <c r="AF12" s="72">
        <f>'TCD sortants série 1 (novembre)'!AF14</f>
        <v>0</v>
      </c>
      <c r="AG12" s="73">
        <f t="shared" si="7"/>
        <v>1.7574692442882251E-3</v>
      </c>
      <c r="AH12" s="71">
        <f>'TCD sortants série 1 (novembre)'!AH14</f>
        <v>0</v>
      </c>
      <c r="AI12" s="49">
        <f>'TCD sortants série 1 (novembre)'!AI14</f>
        <v>0</v>
      </c>
      <c r="AJ12" s="72">
        <f>'TCD sortants série 1 (novembre)'!AJ14</f>
        <v>0</v>
      </c>
      <c r="AK12" s="73">
        <f t="shared" si="8"/>
        <v>0</v>
      </c>
      <c r="AL12" s="71">
        <f>'TCD sortants série 1 (novembre)'!AL14</f>
        <v>0</v>
      </c>
      <c r="AM12" s="49">
        <f>'TCD sortants série 1 (novembre)'!AM14</f>
        <v>0</v>
      </c>
      <c r="AN12" s="72">
        <f>'TCD sortants série 1 (novembre)'!AN14</f>
        <v>0</v>
      </c>
      <c r="AO12" s="73">
        <f t="shared" si="9"/>
        <v>0</v>
      </c>
      <c r="AP12" s="71">
        <f>'TCD sortants série 1 (novembre)'!AP14</f>
        <v>0</v>
      </c>
      <c r="AQ12" s="49">
        <f>'TCD sortants série 1 (novembre)'!AQ14</f>
        <v>0</v>
      </c>
      <c r="AR12" s="72">
        <f>'TCD sortants série 1 (novembre)'!AR14</f>
        <v>0</v>
      </c>
      <c r="AS12" s="73">
        <f t="shared" si="10"/>
        <v>0</v>
      </c>
      <c r="AT12" s="71">
        <f>'TCD sortants série 1 (novembre)'!AT14</f>
        <v>0</v>
      </c>
      <c r="AU12" s="49">
        <f>'TCD sortants série 1 (novembre)'!AU14</f>
        <v>0</v>
      </c>
      <c r="AV12" s="72">
        <f>'TCD sortants série 1 (novembre)'!AV14</f>
        <v>0</v>
      </c>
      <c r="AW12" s="73">
        <f t="shared" si="11"/>
        <v>0</v>
      </c>
      <c r="AX12" s="71">
        <f>'TCD sortants série 1 (novembre)'!AX14</f>
        <v>7.5872534142640393E-3</v>
      </c>
    </row>
    <row r="13" spans="1:50" x14ac:dyDescent="0.25">
      <c r="A13" s="82" t="s">
        <v>58</v>
      </c>
      <c r="B13" s="71">
        <f>'TCD sortants série 1 (novembre)'!B15</f>
        <v>6.3559322033898316E-2</v>
      </c>
      <c r="C13" s="49">
        <f>'TCD sortants série 1 (novembre)'!C15</f>
        <v>1.0593220338983054E-2</v>
      </c>
      <c r="D13" s="72">
        <f>'TCD sortants série 1 (novembre)'!D15</f>
        <v>1.5655577299412918E-2</v>
      </c>
      <c r="E13" s="73">
        <f t="shared" si="0"/>
        <v>2.9936039890764762E-2</v>
      </c>
      <c r="F13" s="71">
        <f>'TCD sortants série 1 (novembre)'!F15</f>
        <v>4.5351473922902322E-3</v>
      </c>
      <c r="G13" s="49">
        <f>'TCD sortants série 1 (novembre)'!G15</f>
        <v>0</v>
      </c>
      <c r="H13" s="72">
        <f>'TCD sortants série 1 (novembre)'!H15</f>
        <v>0</v>
      </c>
      <c r="I13" s="73">
        <f t="shared" si="1"/>
        <v>1.5117157974300773E-3</v>
      </c>
      <c r="J13" s="71">
        <f>'TCD sortants série 1 (novembre)'!J15</f>
        <v>0</v>
      </c>
      <c r="K13" s="49">
        <f>'TCD sortants série 1 (novembre)'!K15</f>
        <v>0</v>
      </c>
      <c r="L13" s="72">
        <f>'TCD sortants série 1 (novembre)'!L15</f>
        <v>0</v>
      </c>
      <c r="M13" s="73">
        <f t="shared" si="2"/>
        <v>0</v>
      </c>
      <c r="N13" s="71">
        <f>'TCD sortants série 1 (novembre)'!N15</f>
        <v>0</v>
      </c>
      <c r="O13" s="49">
        <f>'TCD sortants série 1 (novembre)'!O15</f>
        <v>0</v>
      </c>
      <c r="P13" s="72">
        <f>'TCD sortants série 1 (novembre)'!P15</f>
        <v>0</v>
      </c>
      <c r="Q13" s="73">
        <f t="shared" si="3"/>
        <v>0</v>
      </c>
      <c r="R13" s="71">
        <f>'TCD sortants série 1 (novembre)'!R15</f>
        <v>0</v>
      </c>
      <c r="S13" s="49">
        <f>'TCD sortants série 1 (novembre)'!S15</f>
        <v>0</v>
      </c>
      <c r="T13" s="72">
        <f>'TCD sortants série 1 (novembre)'!T15</f>
        <v>0</v>
      </c>
      <c r="U13" s="73">
        <f t="shared" si="4"/>
        <v>0</v>
      </c>
      <c r="V13" s="71">
        <f>'TCD sortants série 1 (novembre)'!V15</f>
        <v>0</v>
      </c>
      <c r="W13" s="49">
        <f>'TCD sortants série 1 (novembre)'!W15</f>
        <v>0</v>
      </c>
      <c r="X13" s="72">
        <f>'TCD sortants série 1 (novembre)'!X15</f>
        <v>0</v>
      </c>
      <c r="Y13" s="73">
        <f t="shared" si="5"/>
        <v>0</v>
      </c>
      <c r="Z13" s="71">
        <f>'TCD sortants série 1 (novembre)'!Z15</f>
        <v>1.435406698564594E-2</v>
      </c>
      <c r="AA13" s="49">
        <f>'TCD sortants série 1 (novembre)'!AA15</f>
        <v>1.970443349753695E-2</v>
      </c>
      <c r="AB13" s="72">
        <f>'TCD sortants série 1 (novembre)'!AB15</f>
        <v>2.4271844660194188E-2</v>
      </c>
      <c r="AC13" s="73">
        <f t="shared" si="6"/>
        <v>1.9443448381125692E-2</v>
      </c>
      <c r="AD13" s="71">
        <f>'TCD sortants série 1 (novembre)'!AD15</f>
        <v>0.57644991212653762</v>
      </c>
      <c r="AE13" s="49">
        <f>'TCD sortants série 1 (novembre)'!AE15</f>
        <v>0.82486865148861654</v>
      </c>
      <c r="AF13" s="72">
        <f>'TCD sortants série 1 (novembre)'!AF15</f>
        <v>0.83956043956043958</v>
      </c>
      <c r="AG13" s="73">
        <f t="shared" si="7"/>
        <v>0.74695966772519784</v>
      </c>
      <c r="AH13" s="71">
        <f>'TCD sortants série 1 (novembre)'!AH15</f>
        <v>5.0660792951541814E-2</v>
      </c>
      <c r="AI13" s="49">
        <f>'TCD sortants série 1 (novembre)'!AI15</f>
        <v>1.1904761904761909E-2</v>
      </c>
      <c r="AJ13" s="72">
        <f>'TCD sortants série 1 (novembre)'!AJ15</f>
        <v>2.5423728813559233E-2</v>
      </c>
      <c r="AK13" s="73">
        <f t="shared" si="8"/>
        <v>2.9329761223287648E-2</v>
      </c>
      <c r="AL13" s="71">
        <f>'TCD sortants série 1 (novembre)'!AL15</f>
        <v>1.428571428571429E-2</v>
      </c>
      <c r="AM13" s="49">
        <f>'TCD sortants série 1 (novembre)'!AM15</f>
        <v>0</v>
      </c>
      <c r="AN13" s="72">
        <f>'TCD sortants série 1 (novembre)'!AN15</f>
        <v>0</v>
      </c>
      <c r="AO13" s="73">
        <f t="shared" si="9"/>
        <v>4.7619047619047632E-3</v>
      </c>
      <c r="AP13" s="71">
        <f>'TCD sortants série 1 (novembre)'!AP15</f>
        <v>0</v>
      </c>
      <c r="AQ13" s="49">
        <f>'TCD sortants série 1 (novembre)'!AQ15</f>
        <v>0</v>
      </c>
      <c r="AR13" s="72">
        <f>'TCD sortants série 1 (novembre)'!AR15</f>
        <v>0</v>
      </c>
      <c r="AS13" s="73">
        <f t="shared" si="10"/>
        <v>0</v>
      </c>
      <c r="AT13" s="71">
        <f>'TCD sortants série 1 (novembre)'!AT15</f>
        <v>1.3140604467805521E-3</v>
      </c>
      <c r="AU13" s="49">
        <f>'TCD sortants série 1 (novembre)'!AU15</f>
        <v>3.5149384885764506E-3</v>
      </c>
      <c r="AV13" s="72">
        <f>'TCD sortants série 1 (novembre)'!AV15</f>
        <v>0</v>
      </c>
      <c r="AW13" s="73">
        <f t="shared" si="11"/>
        <v>1.6096663117856676E-3</v>
      </c>
      <c r="AX13" s="71">
        <f>'TCD sortants série 1 (novembre)'!AX15</f>
        <v>0</v>
      </c>
    </row>
    <row r="14" spans="1:50" x14ac:dyDescent="0.25">
      <c r="A14" s="82" t="s">
        <v>56</v>
      </c>
      <c r="B14" s="71">
        <f>'TCD sortants série 1 (novembre)'!B16</f>
        <v>1.6949152542372899E-2</v>
      </c>
      <c r="C14" s="49">
        <f>'TCD sortants série 1 (novembre)'!C16</f>
        <v>6.3559322033898318E-3</v>
      </c>
      <c r="D14" s="72">
        <f>'TCD sortants série 1 (novembre)'!D16</f>
        <v>1.174168297455969E-2</v>
      </c>
      <c r="E14" s="73">
        <f t="shared" si="0"/>
        <v>1.1682255906774139E-2</v>
      </c>
      <c r="F14" s="71">
        <f>'TCD sortants série 1 (novembre)'!F16</f>
        <v>0.84240362811791414</v>
      </c>
      <c r="G14" s="49">
        <f>'TCD sortants série 1 (novembre)'!G16</f>
        <v>0.89350649350649347</v>
      </c>
      <c r="H14" s="72">
        <f>'TCD sortants série 1 (novembre)'!H16</f>
        <v>0.85101580135440191</v>
      </c>
      <c r="I14" s="73">
        <f t="shared" si="1"/>
        <v>0.86230864099293647</v>
      </c>
      <c r="J14" s="71">
        <f>'TCD sortants série 1 (novembre)'!J16</f>
        <v>0</v>
      </c>
      <c r="K14" s="49">
        <f>'TCD sortants série 1 (novembre)'!K16</f>
        <v>0</v>
      </c>
      <c r="L14" s="72">
        <f>'TCD sortants série 1 (novembre)'!L16</f>
        <v>0</v>
      </c>
      <c r="M14" s="73">
        <f t="shared" si="2"/>
        <v>0</v>
      </c>
      <c r="N14" s="71">
        <f>'TCD sortants série 1 (novembre)'!N16</f>
        <v>0</v>
      </c>
      <c r="O14" s="49">
        <f>'TCD sortants série 1 (novembre)'!O16</f>
        <v>0</v>
      </c>
      <c r="P14" s="72">
        <f>'TCD sortants série 1 (novembre)'!P16</f>
        <v>0</v>
      </c>
      <c r="Q14" s="73">
        <f t="shared" si="3"/>
        <v>0</v>
      </c>
      <c r="R14" s="71">
        <f>'TCD sortants série 1 (novembre)'!R16</f>
        <v>0</v>
      </c>
      <c r="S14" s="49">
        <f>'TCD sortants série 1 (novembre)'!S16</f>
        <v>0</v>
      </c>
      <c r="T14" s="72">
        <f>'TCD sortants série 1 (novembre)'!T16</f>
        <v>2.4096385542168664E-3</v>
      </c>
      <c r="U14" s="73">
        <f t="shared" si="4"/>
        <v>8.0321285140562209E-4</v>
      </c>
      <c r="V14" s="71">
        <f>'TCD sortants série 1 (novembre)'!V16</f>
        <v>0</v>
      </c>
      <c r="W14" s="49">
        <f>'TCD sortants série 1 (novembre)'!W16</f>
        <v>0</v>
      </c>
      <c r="X14" s="72">
        <f>'TCD sortants série 1 (novembre)'!X16</f>
        <v>0</v>
      </c>
      <c r="Y14" s="73">
        <f t="shared" si="5"/>
        <v>0</v>
      </c>
      <c r="Z14" s="71">
        <f>'TCD sortants série 1 (novembre)'!Z16</f>
        <v>0</v>
      </c>
      <c r="AA14" s="49">
        <f>'TCD sortants série 1 (novembre)'!AA16</f>
        <v>0</v>
      </c>
      <c r="AB14" s="72">
        <f>'TCD sortants série 1 (novembre)'!AB16</f>
        <v>0</v>
      </c>
      <c r="AC14" s="73">
        <f t="shared" si="6"/>
        <v>0</v>
      </c>
      <c r="AD14" s="71">
        <f>'TCD sortants série 1 (novembre)'!AD16</f>
        <v>1.7574692442882262E-2</v>
      </c>
      <c r="AE14" s="49">
        <f>'TCD sortants série 1 (novembre)'!AE16</f>
        <v>7.0052539404553416E-3</v>
      </c>
      <c r="AF14" s="72">
        <f>'TCD sortants série 1 (novembre)'!AF16</f>
        <v>2.1978021978022004E-3</v>
      </c>
      <c r="AG14" s="73">
        <f t="shared" si="7"/>
        <v>8.9259161937132684E-3</v>
      </c>
      <c r="AH14" s="71">
        <f>'TCD sortants série 1 (novembre)'!AH16</f>
        <v>0.20484581497797361</v>
      </c>
      <c r="AI14" s="49">
        <f>'TCD sortants série 1 (novembre)'!AI16</f>
        <v>0.1761904761904764</v>
      </c>
      <c r="AJ14" s="72">
        <f>'TCD sortants série 1 (novembre)'!AJ16</f>
        <v>0.27754237288135597</v>
      </c>
      <c r="AK14" s="73">
        <f t="shared" si="8"/>
        <v>0.2195262213499353</v>
      </c>
      <c r="AL14" s="71">
        <f>'TCD sortants série 1 (novembre)'!AL16</f>
        <v>0</v>
      </c>
      <c r="AM14" s="49">
        <f>'TCD sortants série 1 (novembre)'!AM16</f>
        <v>0</v>
      </c>
      <c r="AN14" s="72">
        <f>'TCD sortants série 1 (novembre)'!AN16</f>
        <v>8.4388185654008397E-3</v>
      </c>
      <c r="AO14" s="73">
        <f t="shared" si="9"/>
        <v>2.81293952180028E-3</v>
      </c>
      <c r="AP14" s="71">
        <f>'TCD sortants série 1 (novembre)'!AP16</f>
        <v>1.0384215991692627E-3</v>
      </c>
      <c r="AQ14" s="49">
        <f>'TCD sortants série 1 (novembre)'!AQ16</f>
        <v>1.1350737797956856E-3</v>
      </c>
      <c r="AR14" s="72">
        <f>'TCD sortants série 1 (novembre)'!AR16</f>
        <v>3.2051282051282033E-3</v>
      </c>
      <c r="AS14" s="73">
        <f t="shared" si="10"/>
        <v>1.7928745280310504E-3</v>
      </c>
      <c r="AT14" s="71">
        <f>'TCD sortants série 1 (novembre)'!AT16</f>
        <v>0</v>
      </c>
      <c r="AU14" s="49">
        <f>'TCD sortants série 1 (novembre)'!AU16</f>
        <v>3.5149384885764506E-3</v>
      </c>
      <c r="AV14" s="72">
        <f>'TCD sortants série 1 (novembre)'!AV16</f>
        <v>1.7761989342806404E-3</v>
      </c>
      <c r="AW14" s="73">
        <f t="shared" si="11"/>
        <v>1.763712474285697E-3</v>
      </c>
      <c r="AX14" s="71">
        <f>'TCD sortants série 1 (novembre)'!AX16</f>
        <v>0</v>
      </c>
    </row>
    <row r="15" spans="1:50" x14ac:dyDescent="0.25">
      <c r="A15" s="82" t="s">
        <v>10</v>
      </c>
      <c r="B15" s="71">
        <f>'TCD sortants série 1 (novembre)'!B17</f>
        <v>0.51483050847457623</v>
      </c>
      <c r="C15" s="49">
        <f>'TCD sortants série 1 (novembre)'!C17</f>
        <v>0.68008474576271194</v>
      </c>
      <c r="D15" s="72">
        <f>'TCD sortants série 1 (novembre)'!D17</f>
        <v>0.6810176125244618</v>
      </c>
      <c r="E15" s="73">
        <f t="shared" si="0"/>
        <v>0.62531095558724992</v>
      </c>
      <c r="F15" s="71">
        <f>'TCD sortants série 1 (novembre)'!F17</f>
        <v>2.7210884353741475E-2</v>
      </c>
      <c r="G15" s="49">
        <f>'TCD sortants série 1 (novembre)'!G17</f>
        <v>7.7922077922077167E-3</v>
      </c>
      <c r="H15" s="72">
        <f>'TCD sortants série 1 (novembre)'!H17</f>
        <v>4.5146726862302341E-3</v>
      </c>
      <c r="I15" s="73">
        <f t="shared" si="1"/>
        <v>1.3172588277393142E-2</v>
      </c>
      <c r="J15" s="71">
        <f>'TCD sortants série 1 (novembre)'!J17</f>
        <v>2.3127753303964771E-2</v>
      </c>
      <c r="K15" s="49">
        <f>'TCD sortants série 1 (novembre)'!K17</f>
        <v>2.9230769230769098E-2</v>
      </c>
      <c r="L15" s="72">
        <f>'TCD sortants série 1 (novembre)'!L17</f>
        <v>2.982107355864811E-2</v>
      </c>
      <c r="M15" s="73">
        <f t="shared" si="2"/>
        <v>2.7393198697793997E-2</v>
      </c>
      <c r="N15" s="71">
        <f>'TCD sortants série 1 (novembre)'!N17</f>
        <v>0.22875816993464052</v>
      </c>
      <c r="O15" s="49">
        <f>'TCD sortants série 1 (novembre)'!O17</f>
        <v>0.20763358778625945</v>
      </c>
      <c r="P15" s="72">
        <f>'TCD sortants série 1 (novembre)'!P17</f>
        <v>0.31549815498154976</v>
      </c>
      <c r="Q15" s="73">
        <f t="shared" si="3"/>
        <v>0.25062997090081657</v>
      </c>
      <c r="R15" s="71">
        <f>'TCD sortants série 1 (novembre)'!R17</f>
        <v>2.7156549520766706E-2</v>
      </c>
      <c r="S15" s="49">
        <f>'TCD sortants série 1 (novembre)'!S17</f>
        <v>3.0871003307607465E-2</v>
      </c>
      <c r="T15" s="72">
        <f>'TCD sortants série 1 (novembre)'!T17</f>
        <v>2.7710843373493936E-2</v>
      </c>
      <c r="U15" s="73">
        <f t="shared" si="4"/>
        <v>2.85794654006227E-2</v>
      </c>
      <c r="V15" s="71">
        <f>'TCD sortants série 1 (novembre)'!V17</f>
        <v>3.7344398340248892E-2</v>
      </c>
      <c r="W15" s="49">
        <f>'TCD sortants série 1 (novembre)'!W17</f>
        <v>1.7621145374449278E-2</v>
      </c>
      <c r="X15" s="72">
        <f>'TCD sortants série 1 (novembre)'!X17</f>
        <v>2.2298456260720374E-2</v>
      </c>
      <c r="Y15" s="73">
        <f t="shared" si="5"/>
        <v>2.5754666658472845E-2</v>
      </c>
      <c r="Z15" s="71">
        <f>'TCD sortants série 1 (novembre)'!Z17</f>
        <v>1.9138755980861184E-2</v>
      </c>
      <c r="AA15" s="49">
        <f>'TCD sortants série 1 (novembre)'!AA17</f>
        <v>5.9113300492610765E-2</v>
      </c>
      <c r="AB15" s="72">
        <f>'TCD sortants série 1 (novembre)'!AB17</f>
        <v>4.0453074433656984E-2</v>
      </c>
      <c r="AC15" s="73">
        <f t="shared" si="6"/>
        <v>3.9568376969042973E-2</v>
      </c>
      <c r="AD15" s="71">
        <f>'TCD sortants série 1 (novembre)'!AD17</f>
        <v>0.15114235500878748</v>
      </c>
      <c r="AE15" s="49">
        <f>'TCD sortants série 1 (novembre)'!AE17</f>
        <v>9.1068301225919385E-2</v>
      </c>
      <c r="AF15" s="72">
        <f>'TCD sortants série 1 (novembre)'!AF17</f>
        <v>9.0109890109890012E-2</v>
      </c>
      <c r="AG15" s="73">
        <f t="shared" si="7"/>
        <v>0.11077351544819895</v>
      </c>
      <c r="AH15" s="71">
        <f>'TCD sortants série 1 (novembre)'!AH17</f>
        <v>7.7092511013215903E-2</v>
      </c>
      <c r="AI15" s="49">
        <f>'TCD sortants série 1 (novembre)'!AI17</f>
        <v>0.12380952380952374</v>
      </c>
      <c r="AJ15" s="72">
        <f>'TCD sortants série 1 (novembre)'!AJ17</f>
        <v>5.2966101694915259E-2</v>
      </c>
      <c r="AK15" s="73">
        <f t="shared" si="8"/>
        <v>8.4622712172551642E-2</v>
      </c>
      <c r="AL15" s="71">
        <f>'TCD sortants série 1 (novembre)'!AL17</f>
        <v>0.14761904761904771</v>
      </c>
      <c r="AM15" s="49">
        <f>'TCD sortants série 1 (novembre)'!AM17</f>
        <v>0.12264150943396218</v>
      </c>
      <c r="AN15" s="72">
        <f>'TCD sortants série 1 (novembre)'!AN17</f>
        <v>8.860759493670857E-2</v>
      </c>
      <c r="AO15" s="73">
        <f t="shared" si="9"/>
        <v>0.11962271732990615</v>
      </c>
      <c r="AP15" s="71">
        <f>'TCD sortants série 1 (novembre)'!AP17</f>
        <v>7.6843198338525417E-2</v>
      </c>
      <c r="AQ15" s="49">
        <f>'TCD sortants série 1 (novembre)'!AQ17</f>
        <v>5.7888762769579979E-2</v>
      </c>
      <c r="AR15" s="72">
        <f>'TCD sortants série 1 (novembre)'!AR17</f>
        <v>6.7307692307692277E-2</v>
      </c>
      <c r="AS15" s="73">
        <f t="shared" si="10"/>
        <v>6.734655113859922E-2</v>
      </c>
      <c r="AT15" s="71">
        <f>'TCD sortants série 1 (novembre)'!AT17</f>
        <v>6.7017082785808077E-2</v>
      </c>
      <c r="AU15" s="49">
        <f>'TCD sortants série 1 (novembre)'!AU17</f>
        <v>4.7451669595782009E-2</v>
      </c>
      <c r="AV15" s="72">
        <f>'TCD sortants série 1 (novembre)'!AV17</f>
        <v>7.6376554174067482E-2</v>
      </c>
      <c r="AW15" s="73">
        <f t="shared" si="11"/>
        <v>6.3615102185219194E-2</v>
      </c>
      <c r="AX15" s="71">
        <f>'TCD sortants série 1 (novembre)'!AX17</f>
        <v>9.4081942336874017E-2</v>
      </c>
    </row>
    <row r="16" spans="1:50" x14ac:dyDescent="0.25">
      <c r="A16" s="83" t="s">
        <v>31</v>
      </c>
      <c r="B16" s="77">
        <f>SUM(B4:B15)</f>
        <v>1</v>
      </c>
      <c r="C16" s="78">
        <f t="shared" ref="C16:E16" si="12">SUM(C4:C15)</f>
        <v>1</v>
      </c>
      <c r="D16" s="78">
        <f t="shared" si="12"/>
        <v>1</v>
      </c>
      <c r="E16" s="79">
        <f t="shared" si="12"/>
        <v>1</v>
      </c>
      <c r="F16" s="77">
        <f>SUM(F4:F15)</f>
        <v>1.0000000000000002</v>
      </c>
      <c r="G16" s="78">
        <f t="shared" ref="G16" si="13">SUM(G4:G15)</f>
        <v>1</v>
      </c>
      <c r="H16" s="78">
        <f t="shared" ref="H16" si="14">SUM(H4:H15)</f>
        <v>1</v>
      </c>
      <c r="I16" s="79">
        <f t="shared" ref="I16" si="15">SUM(I4:I15)</f>
        <v>1</v>
      </c>
      <c r="J16" s="77">
        <f>SUM(J4:J15)</f>
        <v>0.99999999999999989</v>
      </c>
      <c r="K16" s="78">
        <f t="shared" ref="K16" si="16">SUM(K4:K15)</f>
        <v>0.99999999999999967</v>
      </c>
      <c r="L16" s="78">
        <f t="shared" ref="L16" si="17">SUM(L4:L15)</f>
        <v>1</v>
      </c>
      <c r="M16" s="79">
        <f t="shared" ref="M16" si="18">SUM(M4:M15)</f>
        <v>1</v>
      </c>
      <c r="N16" s="77">
        <f>SUM(N4:N15)</f>
        <v>1</v>
      </c>
      <c r="O16" s="78">
        <f t="shared" ref="O16" si="19">SUM(O4:O15)</f>
        <v>1</v>
      </c>
      <c r="P16" s="78">
        <f t="shared" ref="P16" si="20">SUM(P4:P15)</f>
        <v>1</v>
      </c>
      <c r="Q16" s="79">
        <f t="shared" ref="Q16" si="21">SUM(Q4:Q15)</f>
        <v>1.0000000000000002</v>
      </c>
      <c r="R16" s="77">
        <f>SUM(R4:R15)</f>
        <v>1</v>
      </c>
      <c r="S16" s="78">
        <f t="shared" ref="S16" si="22">SUM(S4:S15)</f>
        <v>1</v>
      </c>
      <c r="T16" s="78">
        <f t="shared" ref="T16" si="23">SUM(T4:T15)</f>
        <v>0.99999999999999989</v>
      </c>
      <c r="U16" s="79">
        <f t="shared" ref="U16" si="24">SUM(U4:U15)</f>
        <v>1</v>
      </c>
      <c r="V16" s="77">
        <f>SUM(V4:V15)</f>
        <v>1</v>
      </c>
      <c r="W16" s="78">
        <f t="shared" ref="W16" si="25">SUM(W4:W15)</f>
        <v>1</v>
      </c>
      <c r="X16" s="78">
        <f t="shared" ref="X16" si="26">SUM(X4:X15)</f>
        <v>0.99999999999999989</v>
      </c>
      <c r="Y16" s="79">
        <f t="shared" ref="Y16" si="27">SUM(Y4:Y15)</f>
        <v>0.99999999999999989</v>
      </c>
      <c r="Z16" s="77">
        <f>SUM(Z4:Z15)</f>
        <v>1</v>
      </c>
      <c r="AA16" s="78">
        <f t="shared" ref="AA16" si="28">SUM(AA4:AA15)</f>
        <v>1</v>
      </c>
      <c r="AB16" s="78">
        <f t="shared" ref="AB16" si="29">SUM(AB4:AB15)</f>
        <v>0.99999999999999978</v>
      </c>
      <c r="AC16" s="79">
        <f t="shared" ref="AC16" si="30">SUM(AC4:AC15)</f>
        <v>0.99999999999999978</v>
      </c>
      <c r="AD16" s="77">
        <f>SUM(AD4:AD15)</f>
        <v>1</v>
      </c>
      <c r="AE16" s="78">
        <f t="shared" ref="AE16" si="31">SUM(AE4:AE15)</f>
        <v>1</v>
      </c>
      <c r="AF16" s="78">
        <f t="shared" ref="AF16" si="32">SUM(AF4:AF15)</f>
        <v>0.99999999999999989</v>
      </c>
      <c r="AG16" s="79">
        <f t="shared" ref="AG16" si="33">SUM(AG4:AG15)</f>
        <v>0.99999999999999989</v>
      </c>
      <c r="AH16" s="77">
        <f>SUM(AH4:AH15)</f>
        <v>1</v>
      </c>
      <c r="AI16" s="78">
        <f t="shared" ref="AI16" si="34">SUM(AI4:AI15)</f>
        <v>1.0000000000000002</v>
      </c>
      <c r="AJ16" s="78">
        <f t="shared" ref="AJ16" si="35">SUM(AJ4:AJ15)</f>
        <v>0.99999999999999989</v>
      </c>
      <c r="AK16" s="79">
        <f t="shared" ref="AK16" si="36">SUM(AK4:AK15)</f>
        <v>1</v>
      </c>
      <c r="AL16" s="77">
        <f>SUM(AL4:AL15)</f>
        <v>1</v>
      </c>
      <c r="AM16" s="78">
        <f t="shared" ref="AM16" si="37">SUM(AM4:AM15)</f>
        <v>1</v>
      </c>
      <c r="AN16" s="78">
        <f t="shared" ref="AN16" si="38">SUM(AN4:AN15)</f>
        <v>1</v>
      </c>
      <c r="AO16" s="79">
        <f t="shared" ref="AO16" si="39">SUM(AO4:AO15)</f>
        <v>1</v>
      </c>
      <c r="AP16" s="77">
        <f>SUM(AP4:AP15)</f>
        <v>0.99999999999999989</v>
      </c>
      <c r="AQ16" s="78">
        <f t="shared" ref="AQ16" si="40">SUM(AQ4:AQ15)</f>
        <v>1.0000000000000002</v>
      </c>
      <c r="AR16" s="78">
        <f t="shared" ref="AR16" si="41">SUM(AR4:AR15)</f>
        <v>0.99999999999999989</v>
      </c>
      <c r="AS16" s="79">
        <f t="shared" ref="AS16" si="42">SUM(AS4:AS15)</f>
        <v>1</v>
      </c>
      <c r="AT16" s="77">
        <f>SUM(AT4:AT15)</f>
        <v>1</v>
      </c>
      <c r="AU16" s="78">
        <f t="shared" ref="AU16" si="43">SUM(AU4:AU15)</f>
        <v>1</v>
      </c>
      <c r="AV16" s="78">
        <f t="shared" ref="AV16" si="44">SUM(AV4:AV15)</f>
        <v>1</v>
      </c>
      <c r="AW16" s="79">
        <f t="shared" ref="AW16" si="45">SUM(AW4:AW15)</f>
        <v>0.99999999999999989</v>
      </c>
      <c r="AX16" s="77">
        <f>SUM(AX4:AX15)</f>
        <v>1</v>
      </c>
    </row>
    <row r="17" spans="1:50" s="80" customFormat="1" ht="119.45" customHeight="1" thickBot="1" x14ac:dyDescent="0.3">
      <c r="A17" s="89" t="s">
        <v>64</v>
      </c>
      <c r="B17" s="84"/>
      <c r="C17" s="85"/>
      <c r="D17" s="86"/>
      <c r="E17" s="88"/>
      <c r="F17" s="87" t="s">
        <v>228</v>
      </c>
      <c r="G17" s="85" t="s">
        <v>221</v>
      </c>
      <c r="H17" s="86" t="s">
        <v>221</v>
      </c>
      <c r="I17" s="88"/>
      <c r="J17" s="84"/>
      <c r="K17" s="85"/>
      <c r="L17" s="86"/>
      <c r="M17" s="88"/>
      <c r="N17" s="84" t="s">
        <v>213</v>
      </c>
      <c r="O17" s="85"/>
      <c r="P17" s="86"/>
      <c r="Q17" s="88"/>
      <c r="R17" s="84" t="s">
        <v>214</v>
      </c>
      <c r="S17" s="85" t="s">
        <v>216</v>
      </c>
      <c r="T17" s="86"/>
      <c r="U17" s="88"/>
      <c r="V17" s="84" t="s">
        <v>215</v>
      </c>
      <c r="W17" s="85"/>
      <c r="X17" s="86" t="s">
        <v>222</v>
      </c>
      <c r="Y17" s="88"/>
      <c r="Z17" s="84"/>
      <c r="AA17" s="85"/>
      <c r="AB17" s="86" t="s">
        <v>217</v>
      </c>
      <c r="AC17" s="88"/>
      <c r="AD17" s="84" t="s">
        <v>218</v>
      </c>
      <c r="AE17" s="85" t="s">
        <v>219</v>
      </c>
      <c r="AF17" s="86"/>
      <c r="AG17" s="88"/>
      <c r="AH17" s="84" t="s">
        <v>220</v>
      </c>
      <c r="AI17" s="85"/>
      <c r="AJ17" s="86"/>
      <c r="AK17" s="88"/>
      <c r="AL17" s="87" t="s">
        <v>229</v>
      </c>
      <c r="AM17" s="85" t="s">
        <v>229</v>
      </c>
      <c r="AN17" s="86" t="s">
        <v>229</v>
      </c>
      <c r="AO17" s="88"/>
      <c r="AP17" s="84" t="s">
        <v>223</v>
      </c>
      <c r="AQ17" s="85"/>
      <c r="AR17" s="91" t="s">
        <v>232</v>
      </c>
      <c r="AS17" s="88"/>
      <c r="AT17" s="84" t="s">
        <v>224</v>
      </c>
      <c r="AU17" s="85" t="s">
        <v>225</v>
      </c>
      <c r="AV17" s="86" t="s">
        <v>226</v>
      </c>
      <c r="AW17" s="88"/>
      <c r="AX17" s="81" t="s">
        <v>227</v>
      </c>
    </row>
    <row r="20" spans="1:50" x14ac:dyDescent="0.25">
      <c r="B20" s="50" t="str">
        <f>B3</f>
        <v>Refus_1</v>
      </c>
      <c r="C20" s="50" t="str">
        <f>C3</f>
        <v>Refus_2</v>
      </c>
      <c r="D20" s="50" t="str">
        <f>D3</f>
        <v>Refus_3</v>
      </c>
      <c r="F20" s="50" t="str">
        <f>F3</f>
        <v>PET_clair_1</v>
      </c>
      <c r="G20" s="50" t="str">
        <f>G3</f>
        <v>PET_clair_2</v>
      </c>
      <c r="H20" s="50" t="str">
        <f>H3</f>
        <v>PET_clair_3</v>
      </c>
      <c r="J20" s="50" t="str">
        <f>J3</f>
        <v>EMR_1</v>
      </c>
      <c r="K20" s="50" t="str">
        <f>K3</f>
        <v>EMR_2</v>
      </c>
      <c r="L20" s="50" t="str">
        <f>L3</f>
        <v>EMR_3</v>
      </c>
      <c r="N20" s="50" t="str">
        <f>N3</f>
        <v>PCM_1</v>
      </c>
      <c r="O20" s="50" t="str">
        <f>O3</f>
        <v>PCM_2</v>
      </c>
      <c r="P20" s="50" t="str">
        <f>P3</f>
        <v>PCM_3</v>
      </c>
      <c r="R20" s="50" t="str">
        <f>R3</f>
        <v>JRM_1</v>
      </c>
      <c r="S20" s="50" t="str">
        <f>S3</f>
        <v>JRM_2</v>
      </c>
      <c r="T20" s="50" t="str">
        <f>T3</f>
        <v>JRM_3</v>
      </c>
      <c r="V20" s="50" t="str">
        <f>V3</f>
        <v>Gros_cartons_1</v>
      </c>
      <c r="W20" s="50" t="str">
        <f>W3</f>
        <v>Gros_cartons_2</v>
      </c>
      <c r="X20" s="50" t="str">
        <f>X3</f>
        <v>Gros_cartons_3</v>
      </c>
      <c r="Z20" s="50" t="str">
        <f>Z3</f>
        <v>ELA_1</v>
      </c>
      <c r="AA20" s="50" t="str">
        <f>AA3</f>
        <v>ELA_2</v>
      </c>
      <c r="AB20" s="50" t="str">
        <f>AB3</f>
        <v>ELA_3</v>
      </c>
      <c r="AD20" s="50" t="str">
        <f>AD3</f>
        <v>PEHD/PP_1</v>
      </c>
      <c r="AE20" s="50" t="str">
        <f>AE3</f>
        <v>PEHD/PP_2</v>
      </c>
      <c r="AF20" s="50" t="str">
        <f>AF3</f>
        <v>PEHD/PP_3</v>
      </c>
      <c r="AH20" s="50" t="str">
        <f>AH3</f>
        <v>FLUX_DEV_1</v>
      </c>
      <c r="AI20" s="50" t="str">
        <f>AI3</f>
        <v>FLUX_DEV_2</v>
      </c>
      <c r="AJ20" s="50" t="str">
        <f>AJ3</f>
        <v>FLUX_DEV_3</v>
      </c>
      <c r="AL20" s="50" t="str">
        <f>AL3</f>
        <v>FILM_PE_1</v>
      </c>
      <c r="AM20" s="50" t="str">
        <f>AM3</f>
        <v>FILM_PE_2</v>
      </c>
      <c r="AN20" s="50" t="str">
        <f>AN3</f>
        <v>FILM_PE_3</v>
      </c>
      <c r="AP20" s="50" t="str">
        <f>AP3</f>
        <v>Acier_1</v>
      </c>
      <c r="AQ20" s="50" t="str">
        <f>AQ3</f>
        <v>Acier_2</v>
      </c>
      <c r="AR20" s="50" t="str">
        <f>AR3</f>
        <v>Acier_3</v>
      </c>
      <c r="AT20" s="50" t="str">
        <f>AT3</f>
        <v>Aluminium_1</v>
      </c>
      <c r="AU20" s="50" t="str">
        <f>AU3</f>
        <v>Aluminium_2</v>
      </c>
      <c r="AV20" s="50" t="str">
        <f>AV3</f>
        <v>Aluminium_3</v>
      </c>
    </row>
    <row r="21" spans="1:50" x14ac:dyDescent="0.25">
      <c r="A21" s="55" t="s">
        <v>33</v>
      </c>
      <c r="B21" s="51">
        <f>B15</f>
        <v>0.51483050847457623</v>
      </c>
      <c r="C21" s="51">
        <f>C15</f>
        <v>0.68008474576271194</v>
      </c>
      <c r="D21" s="51">
        <f>D15</f>
        <v>0.6810176125244618</v>
      </c>
      <c r="F21" s="51">
        <f>F15</f>
        <v>2.7210884353741475E-2</v>
      </c>
      <c r="G21" s="51">
        <f>G15</f>
        <v>7.7922077922077167E-3</v>
      </c>
      <c r="H21" s="51">
        <f>H15</f>
        <v>4.5146726862302341E-3</v>
      </c>
      <c r="J21" s="51">
        <f>J15</f>
        <v>2.3127753303964771E-2</v>
      </c>
      <c r="K21" s="51">
        <f>K15</f>
        <v>2.9230769230769098E-2</v>
      </c>
      <c r="L21" s="51">
        <f>L15</f>
        <v>2.982107355864811E-2</v>
      </c>
      <c r="N21" s="51">
        <f>N15</f>
        <v>0.22875816993464052</v>
      </c>
      <c r="O21" s="51">
        <f>O15</f>
        <v>0.20763358778625945</v>
      </c>
      <c r="P21" s="51">
        <f>P15</f>
        <v>0.31549815498154976</v>
      </c>
      <c r="R21" s="51">
        <f>R15</f>
        <v>2.7156549520766706E-2</v>
      </c>
      <c r="S21" s="51">
        <f>S15</f>
        <v>3.0871003307607465E-2</v>
      </c>
      <c r="T21" s="51">
        <f>T15</f>
        <v>2.7710843373493936E-2</v>
      </c>
      <c r="V21" s="51">
        <f>V15</f>
        <v>3.7344398340248892E-2</v>
      </c>
      <c r="W21" s="51">
        <f>W15</f>
        <v>1.7621145374449278E-2</v>
      </c>
      <c r="X21" s="51">
        <f>X15</f>
        <v>2.2298456260720374E-2</v>
      </c>
      <c r="Z21" s="51">
        <f>Z15</f>
        <v>1.9138755980861184E-2</v>
      </c>
      <c r="AA21" s="51">
        <f>AA15</f>
        <v>5.9113300492610765E-2</v>
      </c>
      <c r="AB21" s="51">
        <f>AB15</f>
        <v>4.0453074433656984E-2</v>
      </c>
      <c r="AD21" s="51">
        <f>AD15</f>
        <v>0.15114235500878748</v>
      </c>
      <c r="AE21" s="51">
        <f>AE15</f>
        <v>9.1068301225919385E-2</v>
      </c>
      <c r="AF21" s="51">
        <f>AF15</f>
        <v>9.0109890109890012E-2</v>
      </c>
      <c r="AH21" s="51">
        <f>AH15</f>
        <v>7.7092511013215903E-2</v>
      </c>
      <c r="AI21" s="51">
        <f>AI15</f>
        <v>0.12380952380952374</v>
      </c>
      <c r="AJ21" s="51">
        <f>AJ15</f>
        <v>5.2966101694915259E-2</v>
      </c>
      <c r="AL21" s="51">
        <f>AL15</f>
        <v>0.14761904761904771</v>
      </c>
      <c r="AM21" s="51">
        <f>AM15</f>
        <v>0.12264150943396218</v>
      </c>
      <c r="AN21" s="51">
        <f>AN15</f>
        <v>8.860759493670857E-2</v>
      </c>
      <c r="AP21" s="51">
        <f>AP15</f>
        <v>7.6843198338525417E-2</v>
      </c>
      <c r="AQ21" s="51">
        <f>AQ15</f>
        <v>5.7888762769579979E-2</v>
      </c>
      <c r="AR21" s="51">
        <f>AR15</f>
        <v>6.7307692307692277E-2</v>
      </c>
      <c r="AT21" s="51">
        <f>AT15</f>
        <v>6.7017082785808077E-2</v>
      </c>
      <c r="AU21" s="51">
        <f>AU15</f>
        <v>4.7451669595782009E-2</v>
      </c>
      <c r="AV21" s="51">
        <f>AV15</f>
        <v>7.6376554174067482E-2</v>
      </c>
    </row>
    <row r="22" spans="1:50" x14ac:dyDescent="0.25">
      <c r="A22" s="68" t="s">
        <v>62</v>
      </c>
      <c r="B22" s="51">
        <f>100%-B21</f>
        <v>0.48516949152542377</v>
      </c>
      <c r="C22" s="51">
        <f t="shared" ref="C22:D22" si="46">100%-C21</f>
        <v>0.31991525423728806</v>
      </c>
      <c r="D22" s="51">
        <f t="shared" si="46"/>
        <v>0.3189823874755382</v>
      </c>
      <c r="F22" s="51">
        <f>100%-F21-F23</f>
        <v>0.13038548752834433</v>
      </c>
      <c r="G22" s="51">
        <f t="shared" ref="G22:H22" si="47">100%-G21-G23</f>
        <v>9.8701298701298845E-2</v>
      </c>
      <c r="H22" s="51">
        <f t="shared" si="47"/>
        <v>0.14446952595936791</v>
      </c>
      <c r="J22" s="51">
        <f>100%-J21-J23</f>
        <v>0.13215859030836996</v>
      </c>
      <c r="K22" s="51">
        <f t="shared" ref="K22" si="48">100%-K21-K23</f>
        <v>0.1476923076923079</v>
      </c>
      <c r="L22" s="51">
        <f t="shared" ref="L22" si="49">100%-L21-L23</f>
        <v>0.12524850894632211</v>
      </c>
      <c r="N22" s="51">
        <f>100%-N21-N23</f>
        <v>0.11633986928104567</v>
      </c>
      <c r="O22" s="51">
        <f t="shared" ref="O22" si="50">100%-O21-O23</f>
        <v>0.235114503816794</v>
      </c>
      <c r="P22" s="51">
        <f t="shared" ref="P22" si="51">100%-P21-P23</f>
        <v>0.16974169741697409</v>
      </c>
      <c r="R22" s="51">
        <f>100%-R21-R23</f>
        <v>6.3897763578274702E-2</v>
      </c>
      <c r="S22" s="51">
        <f t="shared" ref="S22" si="52">100%-S21-S23</f>
        <v>0.12679162072767358</v>
      </c>
      <c r="T22" s="51">
        <f t="shared" ref="T22" si="53">100%-T21-T23</f>
        <v>0.22771084337349401</v>
      </c>
      <c r="V22" s="51">
        <f>100%-V21-V23</f>
        <v>4.1493775933609811E-3</v>
      </c>
      <c r="W22" s="51">
        <f t="shared" ref="W22" si="54">100%-W21-W23</f>
        <v>1.1013215859030812E-2</v>
      </c>
      <c r="X22" s="51">
        <f t="shared" ref="X22" si="55">100%-X21-X23</f>
        <v>1.0291595197255643E-2</v>
      </c>
      <c r="Z22" s="51">
        <f>100%-Z21-Z23</f>
        <v>8.373205741626788E-2</v>
      </c>
      <c r="AA22" s="51">
        <f t="shared" ref="AA22" si="56">100%-AA21-AA23</f>
        <v>0.10344827586206873</v>
      </c>
      <c r="AB22" s="51">
        <f t="shared" ref="AB22" si="57">100%-AB21-AB23</f>
        <v>0.14724919093851141</v>
      </c>
      <c r="AD22" s="51">
        <f>100%-AD21-AD23</f>
        <v>0.2724077328646749</v>
      </c>
      <c r="AE22" s="51">
        <f t="shared" ref="AE22" si="58">100%-AE21-AE23</f>
        <v>8.4063047285464099E-2</v>
      </c>
      <c r="AF22" s="51">
        <f t="shared" ref="AF22" si="59">100%-AF21-AF23</f>
        <v>7.0329670329670413E-2</v>
      </c>
      <c r="AH22" s="51">
        <f>100%-AH21-AH23</f>
        <v>0.29515418502202639</v>
      </c>
      <c r="AI22" s="51">
        <f t="shared" ref="AI22" si="60">100%-AI21-AI23</f>
        <v>0.30000000000000016</v>
      </c>
      <c r="AJ22" s="51">
        <f t="shared" ref="AJ22" si="61">100%-AJ21-AJ23</f>
        <v>0.38347457627118653</v>
      </c>
      <c r="AL22" s="51">
        <f>100%-AL21-AL23</f>
        <v>0.1857142857142855</v>
      </c>
      <c r="AM22" s="51">
        <f t="shared" ref="AM22" si="62">100%-AM21-AM23</f>
        <v>5.6603773584905648E-2</v>
      </c>
      <c r="AN22" s="51">
        <f t="shared" ref="AN22" si="63">100%-AN21-AN23</f>
        <v>5.0632911392405E-2</v>
      </c>
      <c r="AP22" s="51">
        <f>100%-AP21-AP23</f>
        <v>5.711318795430953E-2</v>
      </c>
      <c r="AQ22" s="51">
        <f t="shared" ref="AQ22" si="64">100%-AQ21-AQ23</f>
        <v>5.3348467650397136E-2</v>
      </c>
      <c r="AR22" s="51">
        <f t="shared" ref="AR22" si="65">100%-AR21-AR23</f>
        <v>5.3418803418803451E-2</v>
      </c>
      <c r="AT22" s="51">
        <f>100%-AT21-AT23</f>
        <v>8.1471747700394115E-2</v>
      </c>
      <c r="AU22" s="51">
        <f t="shared" ref="AU22" si="66">100%-AU21-AU23</f>
        <v>6.8541300527240723E-2</v>
      </c>
      <c r="AV22" s="51">
        <f t="shared" ref="AV22" si="67">100%-AV21-AV23</f>
        <v>7.4600355239786809E-2</v>
      </c>
    </row>
    <row r="23" spans="1:50" x14ac:dyDescent="0.25">
      <c r="A23" s="56" t="s">
        <v>63</v>
      </c>
      <c r="B23" s="51"/>
      <c r="C23" s="51"/>
      <c r="D23" s="51"/>
      <c r="F23" s="51">
        <f>F14</f>
        <v>0.84240362811791414</v>
      </c>
      <c r="G23" s="51">
        <f t="shared" ref="G23:H23" si="68">G14</f>
        <v>0.89350649350649347</v>
      </c>
      <c r="H23" s="51">
        <f t="shared" si="68"/>
        <v>0.85101580135440191</v>
      </c>
      <c r="J23" s="51">
        <f>J8</f>
        <v>0.84471365638766527</v>
      </c>
      <c r="K23" s="51">
        <f t="shared" ref="K23:L23" si="69">K8</f>
        <v>0.82307692307692304</v>
      </c>
      <c r="L23" s="51">
        <f t="shared" si="69"/>
        <v>0.84493041749502973</v>
      </c>
      <c r="N23" s="51">
        <f>N12</f>
        <v>0.65490196078431384</v>
      </c>
      <c r="O23" s="51">
        <f t="shared" ref="O23:P23" si="70">O12</f>
        <v>0.5572519083969466</v>
      </c>
      <c r="P23" s="51">
        <f t="shared" si="70"/>
        <v>0.51476014760147615</v>
      </c>
      <c r="R23" s="51">
        <f>R11</f>
        <v>0.90894568690095856</v>
      </c>
      <c r="S23" s="51">
        <f t="shared" ref="S23:T23" si="71">S11</f>
        <v>0.84233737596471892</v>
      </c>
      <c r="T23" s="51">
        <f t="shared" si="71"/>
        <v>0.74457831325301205</v>
      </c>
      <c r="V23" s="51">
        <f>V8</f>
        <v>0.95850622406639008</v>
      </c>
      <c r="W23" s="51">
        <f t="shared" ref="W23:X23" si="72">W8</f>
        <v>0.97136563876651993</v>
      </c>
      <c r="X23" s="51">
        <f t="shared" si="72"/>
        <v>0.967409948542024</v>
      </c>
      <c r="Z23" s="51">
        <f>Z7</f>
        <v>0.89712918660287089</v>
      </c>
      <c r="AA23" s="51">
        <f t="shared" ref="AA23:AB23" si="73">AA7</f>
        <v>0.83743842364532051</v>
      </c>
      <c r="AB23" s="51">
        <f t="shared" si="73"/>
        <v>0.81229773462783161</v>
      </c>
      <c r="AD23" s="51">
        <f>AD13</f>
        <v>0.57644991212653762</v>
      </c>
      <c r="AE23" s="51">
        <f t="shared" ref="AE23:AF23" si="74">AE13</f>
        <v>0.82486865148861654</v>
      </c>
      <c r="AF23" s="51">
        <f t="shared" si="74"/>
        <v>0.83956043956043958</v>
      </c>
      <c r="AH23" s="51">
        <f>AH10</f>
        <v>0.6277533039647577</v>
      </c>
      <c r="AI23" s="51">
        <f t="shared" ref="AI23:AJ23" si="75">AI10</f>
        <v>0.57619047619047614</v>
      </c>
      <c r="AJ23" s="51">
        <f t="shared" si="75"/>
        <v>0.56355932203389825</v>
      </c>
      <c r="AL23" s="51">
        <f>AL9</f>
        <v>0.66666666666666674</v>
      </c>
      <c r="AM23" s="51">
        <f t="shared" ref="AM23:AN23" si="76">AM9</f>
        <v>0.82075471698113223</v>
      </c>
      <c r="AN23" s="51">
        <f t="shared" si="76"/>
        <v>0.86075949367088644</v>
      </c>
      <c r="AP23" s="51">
        <f>AP4</f>
        <v>0.86604361370716509</v>
      </c>
      <c r="AQ23" s="51">
        <f t="shared" ref="AQ23:AR23" si="77">AQ4</f>
        <v>0.88876276958002287</v>
      </c>
      <c r="AR23" s="51">
        <f t="shared" si="77"/>
        <v>0.87927350427350426</v>
      </c>
      <c r="AT23" s="51">
        <f>AT5</f>
        <v>0.85151116951379779</v>
      </c>
      <c r="AU23" s="51">
        <f t="shared" ref="AU23:AV23" si="78">AU5</f>
        <v>0.88400702987697721</v>
      </c>
      <c r="AV23" s="51">
        <f t="shared" si="78"/>
        <v>0.84902309058614567</v>
      </c>
    </row>
    <row r="24" spans="1:50" hidden="1" outlineLevel="1" x14ac:dyDescent="0.25"/>
    <row r="25" spans="1:50" hidden="1" outlineLevel="1" x14ac:dyDescent="0.25"/>
    <row r="26" spans="1:50" hidden="1" outlineLevel="1" x14ac:dyDescent="0.25"/>
    <row r="27" spans="1:50" hidden="1" outlineLevel="1" x14ac:dyDescent="0.25"/>
    <row r="28" spans="1:50" hidden="1" outlineLevel="1" x14ac:dyDescent="0.25"/>
    <row r="29" spans="1:50" hidden="1" outlineLevel="1" x14ac:dyDescent="0.25"/>
    <row r="30" spans="1:50" hidden="1" outlineLevel="1" x14ac:dyDescent="0.25"/>
    <row r="31" spans="1:50" hidden="1" outlineLevel="1" x14ac:dyDescent="0.25"/>
    <row r="32" spans="1:50" hidden="1" outlineLevel="1" x14ac:dyDescent="0.25"/>
    <row r="33" spans="1:8" hidden="1" outlineLevel="1" x14ac:dyDescent="0.25"/>
    <row r="34" spans="1:8" hidden="1" outlineLevel="1" x14ac:dyDescent="0.25"/>
    <row r="35" spans="1:8" hidden="1" outlineLevel="1" x14ac:dyDescent="0.25"/>
    <row r="36" spans="1:8" hidden="1" outlineLevel="1" x14ac:dyDescent="0.25"/>
    <row r="37" spans="1:8" hidden="1" outlineLevel="1" x14ac:dyDescent="0.25"/>
    <row r="38" spans="1:8" hidden="1" outlineLevel="1" x14ac:dyDescent="0.25"/>
    <row r="39" spans="1:8" hidden="1" outlineLevel="1" x14ac:dyDescent="0.25"/>
    <row r="40" spans="1:8" hidden="1" outlineLevel="1" x14ac:dyDescent="0.25"/>
    <row r="41" spans="1:8" hidden="1" outlineLevel="1" x14ac:dyDescent="0.25"/>
    <row r="42" spans="1:8" hidden="1" outlineLevel="1" x14ac:dyDescent="0.25"/>
    <row r="43" spans="1:8" hidden="1" outlineLevel="1" x14ac:dyDescent="0.25"/>
    <row r="44" spans="1:8" hidden="1" outlineLevel="1" x14ac:dyDescent="0.25"/>
    <row r="45" spans="1:8" hidden="1" outlineLevel="1" x14ac:dyDescent="0.25"/>
    <row r="46" spans="1:8" hidden="1" outlineLevel="1" x14ac:dyDescent="0.25"/>
    <row r="47" spans="1:8" collapsed="1" x14ac:dyDescent="0.25"/>
    <row r="48" spans="1:8" ht="21" x14ac:dyDescent="0.35">
      <c r="A48" s="105" t="s">
        <v>401</v>
      </c>
      <c r="B48" s="105"/>
      <c r="C48" s="105"/>
      <c r="D48" s="105"/>
      <c r="E48" s="105"/>
      <c r="F48" s="105"/>
      <c r="G48" s="105"/>
      <c r="H48" s="105"/>
    </row>
    <row r="50" spans="1:50" ht="15.75" thickBot="1" x14ac:dyDescent="0.3"/>
    <row r="51" spans="1:50" s="5" customFormat="1" ht="30" x14ac:dyDescent="0.25">
      <c r="B51" s="74" t="str">
        <f>'TCD sortants série 2 (décembre)'!B5</f>
        <v>Refus_4</v>
      </c>
      <c r="C51" s="75" t="str">
        <f>'TCD sortants série 2 (décembre)'!C5</f>
        <v>Refus_5</v>
      </c>
      <c r="D51" s="75" t="str">
        <f>'TCD sortants série 2 (décembre)'!D5</f>
        <v>Refus_6</v>
      </c>
      <c r="E51" s="76" t="s">
        <v>201</v>
      </c>
      <c r="F51" s="74" t="str">
        <f>'TCD sortants série 2 (décembre)'!F5</f>
        <v>PET_clair_4</v>
      </c>
      <c r="G51" s="75" t="str">
        <f>'TCD sortants série 2 (décembre)'!G5</f>
        <v>PET_clair_5</v>
      </c>
      <c r="H51" s="75" t="str">
        <f>'TCD sortants série 2 (décembre)'!H5</f>
        <v>PET_clair_6</v>
      </c>
      <c r="I51" s="76" t="s">
        <v>202</v>
      </c>
      <c r="J51" s="74" t="str">
        <f>'TCD sortants série 2 (décembre)'!J5</f>
        <v>EMR_4</v>
      </c>
      <c r="K51" s="75" t="str">
        <f>'TCD sortants série 2 (décembre)'!K5</f>
        <v>EMR_5</v>
      </c>
      <c r="L51" s="75" t="str">
        <f>'TCD sortants série 2 (décembre)'!L5</f>
        <v>EMR_6</v>
      </c>
      <c r="M51" s="76" t="s">
        <v>203</v>
      </c>
      <c r="N51" s="74" t="str">
        <f>'TCD sortants série 2 (décembre)'!N5</f>
        <v>PCM_4</v>
      </c>
      <c r="O51" s="75" t="str">
        <f>'TCD sortants série 2 (décembre)'!O5</f>
        <v>PCM_5</v>
      </c>
      <c r="P51" s="75" t="str">
        <f>'TCD sortants série 2 (décembre)'!P5</f>
        <v>PCM_6</v>
      </c>
      <c r="Q51" s="76" t="s">
        <v>204</v>
      </c>
      <c r="R51" s="74" t="str">
        <f>'TCD sortants série 2 (décembre)'!R5</f>
        <v>JRM_4</v>
      </c>
      <c r="S51" s="75" t="str">
        <f>'TCD sortants série 2 (décembre)'!S5</f>
        <v>JRM_5</v>
      </c>
      <c r="T51" s="75" t="str">
        <f>'TCD sortants série 2 (décembre)'!T5</f>
        <v>JRM_6</v>
      </c>
      <c r="U51" s="76" t="s">
        <v>205</v>
      </c>
      <c r="V51" s="74" t="str">
        <f>'TCD sortants série 2 (décembre)'!V5</f>
        <v>Gros_cartons_4</v>
      </c>
      <c r="W51" s="75" t="str">
        <f>'TCD sortants série 2 (décembre)'!W5</f>
        <v>Gros_cartons_5</v>
      </c>
      <c r="X51" s="75" t="str">
        <f>'TCD sortants série 2 (décembre)'!X5</f>
        <v>Gros_cartons_6</v>
      </c>
      <c r="Y51" s="76" t="s">
        <v>206</v>
      </c>
      <c r="Z51" s="74" t="str">
        <f>'TCD sortants série 2 (décembre)'!Z5</f>
        <v>ELA_4</v>
      </c>
      <c r="AA51" s="75" t="str">
        <f>'TCD sortants série 2 (décembre)'!AA5</f>
        <v>ELA_5</v>
      </c>
      <c r="AB51" s="75" t="str">
        <f>'TCD sortants série 2 (décembre)'!AB5</f>
        <v>ELA_6</v>
      </c>
      <c r="AC51" s="76" t="s">
        <v>207</v>
      </c>
      <c r="AD51" s="74" t="str">
        <f>'TCD sortants série 2 (décembre)'!AD5</f>
        <v>PEHD/PP_4</v>
      </c>
      <c r="AE51" s="75" t="str">
        <f>'TCD sortants série 2 (décembre)'!AE5</f>
        <v>PEHD/PP_5</v>
      </c>
      <c r="AF51" s="75" t="str">
        <f>'TCD sortants série 2 (décembre)'!AF5</f>
        <v>PEHD/PP_6</v>
      </c>
      <c r="AG51" s="76" t="s">
        <v>208</v>
      </c>
      <c r="AH51" s="74" t="str">
        <f>'TCD sortants série 2 (décembre)'!AH5</f>
        <v>FLUX_DEV_4</v>
      </c>
      <c r="AI51" s="75" t="str">
        <f>'TCD sortants série 2 (décembre)'!AI5</f>
        <v>FLUX_DEV_5</v>
      </c>
      <c r="AJ51" s="75" t="str">
        <f>'TCD sortants série 2 (décembre)'!AJ5</f>
        <v>FLUX_DEV_6</v>
      </c>
      <c r="AK51" s="76" t="s">
        <v>209</v>
      </c>
      <c r="AL51" s="74" t="str">
        <f>'TCD sortants série 2 (décembre)'!AL5</f>
        <v>FILM_PE_4</v>
      </c>
      <c r="AM51" s="75" t="str">
        <f>'TCD sortants série 2 (décembre)'!AM5</f>
        <v>FILM_PE_5</v>
      </c>
      <c r="AN51" s="75" t="str">
        <f>'TCD sortants série 2 (décembre)'!AN5</f>
        <v>FILM_PE_6</v>
      </c>
      <c r="AO51" s="76" t="s">
        <v>210</v>
      </c>
      <c r="AP51" s="74" t="str">
        <f>'TCD sortants série 2 (décembre)'!AP5</f>
        <v>Acier_4</v>
      </c>
      <c r="AQ51" s="75" t="str">
        <f>'TCD sortants série 2 (décembre)'!AQ5</f>
        <v>Acier_5</v>
      </c>
      <c r="AR51" s="75" t="str">
        <f>'TCD sortants série 2 (décembre)'!AR5</f>
        <v>Acier_6</v>
      </c>
      <c r="AS51" s="76" t="s">
        <v>211</v>
      </c>
      <c r="AT51" s="74" t="str">
        <f>'TCD sortants série 2 (décembre)'!AT5</f>
        <v>Aluminium_4</v>
      </c>
      <c r="AU51" s="75" t="str">
        <f>'TCD sortants série 2 (décembre)'!AU5</f>
        <v>Aluminium_5</v>
      </c>
      <c r="AV51" s="75" t="str">
        <f>'TCD sortants série 2 (décembre)'!AV5</f>
        <v>Aluminium_6</v>
      </c>
      <c r="AW51" s="76" t="s">
        <v>212</v>
      </c>
      <c r="AX51" s="74" t="str">
        <f>'TCD sortants série 2 (décembre)'!AX5</f>
        <v>Petits_alus_2</v>
      </c>
    </row>
    <row r="52" spans="1:50" x14ac:dyDescent="0.25">
      <c r="A52" s="82" t="s">
        <v>38</v>
      </c>
      <c r="B52" s="71">
        <f>'TCD sortants série 2 (décembre)'!B6</f>
        <v>0</v>
      </c>
      <c r="C52" s="71">
        <f>'TCD sortants série 2 (décembre)'!C6</f>
        <v>0</v>
      </c>
      <c r="D52" s="71">
        <f>'TCD sortants série 2 (décembre)'!D6</f>
        <v>0</v>
      </c>
      <c r="E52" s="73">
        <f>AVERAGE(B52:D52)</f>
        <v>0</v>
      </c>
      <c r="F52" s="71">
        <f>'TCD sortants série 2 (décembre)'!F6</f>
        <v>0</v>
      </c>
      <c r="G52" s="71">
        <f>'TCD sortants série 2 (décembre)'!G6</f>
        <v>0</v>
      </c>
      <c r="H52" s="71">
        <f>'TCD sortants série 2 (décembre)'!H6</f>
        <v>0</v>
      </c>
      <c r="I52" s="73">
        <f>AVERAGE(F52:H52)</f>
        <v>0</v>
      </c>
      <c r="J52" s="71">
        <f>'TCD sortants série 2 (décembre)'!J6</f>
        <v>0</v>
      </c>
      <c r="K52" s="71">
        <f>'TCD sortants série 2 (décembre)'!K6</f>
        <v>3.3185840707964597E-3</v>
      </c>
      <c r="L52" s="71">
        <f>'TCD sortants série 2 (décembre)'!L6</f>
        <v>3.4642032332563516E-3</v>
      </c>
      <c r="M52" s="73">
        <f>AVERAGE(J52:L52)</f>
        <v>2.2609291013509368E-3</v>
      </c>
      <c r="N52" s="71">
        <f>'TCD sortants série 2 (décembre)'!N6</f>
        <v>0</v>
      </c>
      <c r="O52" s="71">
        <f>'TCD sortants série 2 (décembre)'!O6</f>
        <v>3.7926675094816704E-3</v>
      </c>
      <c r="P52" s="71">
        <f>'TCD sortants série 2 (décembre)'!P6</f>
        <v>8.6830680173661367E-3</v>
      </c>
      <c r="Q52" s="73">
        <f>AVERAGE(N52:P52)</f>
        <v>4.1585785089492686E-3</v>
      </c>
      <c r="R52" s="71">
        <f>'TCD sortants série 2 (décembre)'!R6</f>
        <v>9.5238095238095108E-4</v>
      </c>
      <c r="S52" s="71">
        <f>'TCD sortants série 2 (décembre)'!S6</f>
        <v>0</v>
      </c>
      <c r="T52" s="71">
        <f>'TCD sortants série 2 (décembre)'!T6</f>
        <v>0</v>
      </c>
      <c r="U52" s="73">
        <f>AVERAGE(R52:T52)</f>
        <v>3.1746031746031703E-4</v>
      </c>
      <c r="V52" s="71">
        <f>'TCD sortants série 2 (décembre)'!V6</f>
        <v>0</v>
      </c>
      <c r="W52" s="71">
        <f>'TCD sortants série 2 (décembre)'!W6</f>
        <v>2.4048096192384783E-2</v>
      </c>
      <c r="X52" s="71">
        <f>'TCD sortants série 2 (décembre)'!X6</f>
        <v>0</v>
      </c>
      <c r="Y52" s="73">
        <f>AVERAGE(V52:X52)</f>
        <v>8.0160320641282611E-3</v>
      </c>
      <c r="Z52" s="71">
        <f>'TCD sortants série 2 (décembre)'!Z6</f>
        <v>0</v>
      </c>
      <c r="AA52" s="71">
        <f>'TCD sortants série 2 (décembre)'!AA6</f>
        <v>0</v>
      </c>
      <c r="AB52" s="71">
        <f>'TCD sortants série 2 (décembre)'!AB6</f>
        <v>0</v>
      </c>
      <c r="AC52" s="73">
        <f>AVERAGE(Z52:AB52)</f>
        <v>0</v>
      </c>
      <c r="AD52" s="71">
        <f>'TCD sortants série 2 (décembre)'!AD6</f>
        <v>0</v>
      </c>
      <c r="AE52" s="71">
        <f>'TCD sortants série 2 (décembre)'!AE6</f>
        <v>0</v>
      </c>
      <c r="AF52" s="71">
        <f>'TCD sortants série 2 (décembre)'!AF6</f>
        <v>0</v>
      </c>
      <c r="AG52" s="73">
        <f>AVERAGE(AD52:AF52)</f>
        <v>0</v>
      </c>
      <c r="AH52" s="71">
        <f>'TCD sortants série 2 (décembre)'!AH6</f>
        <v>0</v>
      </c>
      <c r="AI52" s="71">
        <f>'TCD sortants série 2 (décembre)'!AI6</f>
        <v>0</v>
      </c>
      <c r="AJ52" s="71">
        <f>'TCD sortants série 2 (décembre)'!AJ6</f>
        <v>6.0060060060060077E-3</v>
      </c>
      <c r="AK52" s="73">
        <f>AVERAGE(AH52:AJ52)</f>
        <v>2.0020020020020024E-3</v>
      </c>
      <c r="AL52" s="71">
        <f>'TCD sortants série 2 (décembre)'!AL6</f>
        <v>0</v>
      </c>
      <c r="AM52" s="71">
        <f>'TCD sortants série 2 (décembre)'!AM6</f>
        <v>0</v>
      </c>
      <c r="AN52" s="71">
        <f>'TCD sortants série 2 (décembre)'!AN6</f>
        <v>0</v>
      </c>
      <c r="AO52" s="73">
        <f>AVERAGE(AL52:AN52)</f>
        <v>0</v>
      </c>
      <c r="AP52" s="71">
        <f>'TCD sortants série 2 (décembre)'!AP6</f>
        <v>0.9316702819956616</v>
      </c>
      <c r="AQ52" s="71">
        <f>'TCD sortants série 2 (décembre)'!AQ6</f>
        <v>0.92046783625730999</v>
      </c>
      <c r="AR52" s="71">
        <f>'TCD sortants série 2 (décembre)'!AR6</f>
        <v>0.97666666666666668</v>
      </c>
      <c r="AS52" s="73">
        <f>AVERAGE(AP52:AR52)</f>
        <v>0.94293492830654602</v>
      </c>
      <c r="AT52" s="71">
        <f>'TCD sortants série 2 (décembre)'!AT6</f>
        <v>0</v>
      </c>
      <c r="AU52" s="71">
        <f>'TCD sortants série 2 (décembre)'!AU6</f>
        <v>0</v>
      </c>
      <c r="AV52" s="71">
        <f>'TCD sortants série 2 (décembre)'!AV6</f>
        <v>2.4067388688327313E-3</v>
      </c>
      <c r="AW52" s="73">
        <f>AVERAGE(AT52:AV52)</f>
        <v>8.022462896109104E-4</v>
      </c>
      <c r="AX52" s="71">
        <f>'TCD sortants série 2 (décembre)'!AX6</f>
        <v>0</v>
      </c>
    </row>
    <row r="53" spans="1:50" x14ac:dyDescent="0.25">
      <c r="A53" s="82" t="s">
        <v>34</v>
      </c>
      <c r="B53" s="71">
        <f>'TCD sortants série 2 (décembre)'!B7</f>
        <v>1.2371134020618558E-2</v>
      </c>
      <c r="C53" s="71">
        <f>'TCD sortants série 2 (décembre)'!C7</f>
        <v>1.7057569296375259E-2</v>
      </c>
      <c r="D53" s="71">
        <f>'TCD sortants série 2 (décembre)'!D7</f>
        <v>6.0240963855421664E-3</v>
      </c>
      <c r="E53" s="73">
        <f t="shared" ref="E53:E63" si="79">AVERAGE(B53:D53)</f>
        <v>1.1817599900845327E-2</v>
      </c>
      <c r="F53" s="71">
        <f>'TCD sortants série 2 (décembre)'!F7</f>
        <v>3.1446540880503112E-3</v>
      </c>
      <c r="G53" s="71">
        <f>'TCD sortants série 2 (décembre)'!G7</f>
        <v>0</v>
      </c>
      <c r="H53" s="71">
        <f>'TCD sortants série 2 (décembre)'!H7</f>
        <v>0</v>
      </c>
      <c r="I53" s="73">
        <f t="shared" ref="I53:I63" si="80">AVERAGE(F53:H53)</f>
        <v>1.0482180293501038E-3</v>
      </c>
      <c r="J53" s="71">
        <f>'TCD sortants série 2 (décembre)'!J7</f>
        <v>0</v>
      </c>
      <c r="K53" s="71">
        <f>'TCD sortants série 2 (décembre)'!K7</f>
        <v>1.1061946902654867E-3</v>
      </c>
      <c r="L53" s="71">
        <f>'TCD sortants série 2 (décembre)'!L7</f>
        <v>0</v>
      </c>
      <c r="M53" s="73">
        <f t="shared" ref="M53:M63" si="81">AVERAGE(J53:L53)</f>
        <v>3.687315634218289E-4</v>
      </c>
      <c r="N53" s="71">
        <f>'TCD sortants série 2 (décembre)'!N7</f>
        <v>0</v>
      </c>
      <c r="O53" s="71">
        <f>'TCD sortants série 2 (décembre)'!O7</f>
        <v>1.3906447534766123E-2</v>
      </c>
      <c r="P53" s="71">
        <f>'TCD sortants série 2 (décembre)'!P7</f>
        <v>0</v>
      </c>
      <c r="Q53" s="73">
        <f t="shared" ref="Q53:Q63" si="82">AVERAGE(N53:P53)</f>
        <v>4.6354825115887078E-3</v>
      </c>
      <c r="R53" s="71">
        <f>'TCD sortants série 2 (décembre)'!R7</f>
        <v>0</v>
      </c>
      <c r="S53" s="71">
        <f>'TCD sortants série 2 (décembre)'!S7</f>
        <v>0</v>
      </c>
      <c r="T53" s="71">
        <f>'TCD sortants série 2 (décembre)'!T7</f>
        <v>0</v>
      </c>
      <c r="U53" s="73">
        <f t="shared" ref="U53:U63" si="83">AVERAGE(R53:T53)</f>
        <v>0</v>
      </c>
      <c r="V53" s="71">
        <f>'TCD sortants série 2 (décembre)'!V7</f>
        <v>0</v>
      </c>
      <c r="W53" s="71">
        <f>'TCD sortants série 2 (décembre)'!W7</f>
        <v>0</v>
      </c>
      <c r="X53" s="71">
        <f>'TCD sortants série 2 (décembre)'!X7</f>
        <v>0</v>
      </c>
      <c r="Y53" s="73">
        <f t="shared" ref="Y53:Y63" si="84">AVERAGE(V53:X53)</f>
        <v>0</v>
      </c>
      <c r="Z53" s="71">
        <f>'TCD sortants série 2 (décembre)'!Z7</f>
        <v>0</v>
      </c>
      <c r="AA53" s="71">
        <f>'TCD sortants série 2 (décembre)'!AA7</f>
        <v>0</v>
      </c>
      <c r="AB53" s="71">
        <f>'TCD sortants série 2 (décembre)'!AB7</f>
        <v>1.0604453870625666E-3</v>
      </c>
      <c r="AC53" s="73">
        <f t="shared" ref="AC53:AC63" si="85">AVERAGE(Z53:AB53)</f>
        <v>3.5348179568752222E-4</v>
      </c>
      <c r="AD53" s="71">
        <f>'TCD sortants série 2 (décembre)'!AD7</f>
        <v>2.0491803278688495E-3</v>
      </c>
      <c r="AE53" s="71">
        <f>'TCD sortants série 2 (décembre)'!AE7</f>
        <v>0</v>
      </c>
      <c r="AF53" s="71">
        <f>'TCD sortants série 2 (décembre)'!AF7</f>
        <v>9.4466936572199737E-3</v>
      </c>
      <c r="AG53" s="73">
        <f t="shared" ref="AG53:AG63" si="86">AVERAGE(AD53:AF53)</f>
        <v>3.8319579950296077E-3</v>
      </c>
      <c r="AH53" s="71">
        <f>'TCD sortants série 2 (décembre)'!AH7</f>
        <v>7.832898172323766E-3</v>
      </c>
      <c r="AI53" s="71">
        <f>'TCD sortants série 2 (décembre)'!AI7</f>
        <v>4.2194092827004233E-3</v>
      </c>
      <c r="AJ53" s="71">
        <f>'TCD sortants série 2 (décembre)'!AJ7</f>
        <v>0</v>
      </c>
      <c r="AK53" s="73">
        <f t="shared" ref="AK53:AK63" si="87">AVERAGE(AH53:AJ53)</f>
        <v>4.017435818341397E-3</v>
      </c>
      <c r="AL53" s="71">
        <f>'TCD sortants série 2 (décembre)'!AL7</f>
        <v>0</v>
      </c>
      <c r="AM53" s="71">
        <f>'TCD sortants série 2 (décembre)'!AM7</f>
        <v>0</v>
      </c>
      <c r="AN53" s="71">
        <f>'TCD sortants série 2 (décembre)'!AN7</f>
        <v>3.0211480362537786E-3</v>
      </c>
      <c r="AO53" s="73">
        <f t="shared" ref="AO53:AO63" si="88">AVERAGE(AL53:AN53)</f>
        <v>1.0070493454179261E-3</v>
      </c>
      <c r="AP53" s="71">
        <f>'TCD sortants série 2 (décembre)'!AP7</f>
        <v>2.1691973969631233E-3</v>
      </c>
      <c r="AQ53" s="71">
        <f>'TCD sortants série 2 (décembre)'!AQ7</f>
        <v>1.1695906432748527E-3</v>
      </c>
      <c r="AR53" s="71">
        <f>'TCD sortants série 2 (décembre)'!AR7</f>
        <v>1.1111111111111124E-3</v>
      </c>
      <c r="AS53" s="73">
        <f t="shared" ref="AS53:AS63" si="89">AVERAGE(AP53:AR53)</f>
        <v>1.4832997171163626E-3</v>
      </c>
      <c r="AT53" s="71">
        <f>'TCD sortants série 2 (décembre)'!AT7</f>
        <v>0.77712609970674507</v>
      </c>
      <c r="AU53" s="71">
        <f>'TCD sortants série 2 (décembre)'!AU7</f>
        <v>0.88469184890656072</v>
      </c>
      <c r="AV53" s="71">
        <f>'TCD sortants série 2 (décembre)'!AV7</f>
        <v>0.85078219013237066</v>
      </c>
      <c r="AW53" s="73">
        <f t="shared" ref="AW53:AW63" si="90">AVERAGE(AT53:AV53)</f>
        <v>0.83753337958189211</v>
      </c>
      <c r="AX53" s="71">
        <f>'TCD sortants série 2 (décembre)'!AX7</f>
        <v>0.15453802125919869</v>
      </c>
    </row>
    <row r="54" spans="1:50" x14ac:dyDescent="0.25">
      <c r="A54" s="82" t="s">
        <v>35</v>
      </c>
      <c r="B54" s="71">
        <f>'TCD sortants série 2 (décembre)'!B8</f>
        <v>0</v>
      </c>
      <c r="C54" s="71">
        <f>'TCD sortants série 2 (décembre)'!C8</f>
        <v>0</v>
      </c>
      <c r="D54" s="71">
        <f>'TCD sortants série 2 (décembre)'!D8</f>
        <v>8.0321285140562276E-3</v>
      </c>
      <c r="E54" s="73">
        <f t="shared" si="79"/>
        <v>2.6773761713520757E-3</v>
      </c>
      <c r="F54" s="71">
        <f>'TCD sortants série 2 (décembre)'!F8</f>
        <v>0</v>
      </c>
      <c r="G54" s="71">
        <f>'TCD sortants série 2 (décembre)'!G8</f>
        <v>0</v>
      </c>
      <c r="H54" s="71">
        <f>'TCD sortants série 2 (décembre)'!H8</f>
        <v>0</v>
      </c>
      <c r="I54" s="73">
        <f t="shared" si="80"/>
        <v>0</v>
      </c>
      <c r="J54" s="71">
        <f>'TCD sortants série 2 (décembre)'!J8</f>
        <v>0</v>
      </c>
      <c r="K54" s="71">
        <f>'TCD sortants série 2 (décembre)'!K8</f>
        <v>0</v>
      </c>
      <c r="L54" s="71">
        <f>'TCD sortants série 2 (décembre)'!L8</f>
        <v>0</v>
      </c>
      <c r="M54" s="73">
        <f t="shared" si="81"/>
        <v>0</v>
      </c>
      <c r="N54" s="71">
        <f>'TCD sortants série 2 (décembre)'!N8</f>
        <v>1.4306151645207441E-3</v>
      </c>
      <c r="O54" s="71">
        <f>'TCD sortants série 2 (décembre)'!O8</f>
        <v>7.5853350189633391E-3</v>
      </c>
      <c r="P54" s="71">
        <f>'TCD sortants série 2 (décembre)'!P8</f>
        <v>1.4471780028943542E-3</v>
      </c>
      <c r="Q54" s="73">
        <f t="shared" si="82"/>
        <v>3.4877093954594793E-3</v>
      </c>
      <c r="R54" s="71">
        <f>'TCD sortants série 2 (décembre)'!R8</f>
        <v>0</v>
      </c>
      <c r="S54" s="71">
        <f>'TCD sortants série 2 (décembre)'!S8</f>
        <v>0</v>
      </c>
      <c r="T54" s="71">
        <f>'TCD sortants série 2 (décembre)'!T8</f>
        <v>0</v>
      </c>
      <c r="U54" s="73">
        <f t="shared" si="83"/>
        <v>0</v>
      </c>
      <c r="V54" s="71">
        <f>'TCD sortants série 2 (décembre)'!V8</f>
        <v>0</v>
      </c>
      <c r="W54" s="71">
        <f>'TCD sortants série 2 (décembre)'!W8</f>
        <v>0</v>
      </c>
      <c r="X54" s="71">
        <f>'TCD sortants série 2 (décembre)'!X8</f>
        <v>0</v>
      </c>
      <c r="Y54" s="73">
        <f t="shared" si="84"/>
        <v>0</v>
      </c>
      <c r="Z54" s="71">
        <f>'TCD sortants série 2 (décembre)'!Z8</f>
        <v>0</v>
      </c>
      <c r="AA54" s="71">
        <f>'TCD sortants série 2 (décembre)'!AA8</f>
        <v>0</v>
      </c>
      <c r="AB54" s="71">
        <f>'TCD sortants série 2 (décembre)'!AB8</f>
        <v>0</v>
      </c>
      <c r="AC54" s="73">
        <f t="shared" si="85"/>
        <v>0</v>
      </c>
      <c r="AD54" s="71">
        <f>'TCD sortants série 2 (décembre)'!AD8</f>
        <v>0</v>
      </c>
      <c r="AE54" s="71">
        <f>'TCD sortants série 2 (décembre)'!AE8</f>
        <v>0</v>
      </c>
      <c r="AF54" s="71">
        <f>'TCD sortants série 2 (décembre)'!AF8</f>
        <v>0</v>
      </c>
      <c r="AG54" s="73">
        <f t="shared" si="86"/>
        <v>0</v>
      </c>
      <c r="AH54" s="71">
        <f>'TCD sortants série 2 (décembre)'!AH8</f>
        <v>0</v>
      </c>
      <c r="AI54" s="71">
        <f>'TCD sortants série 2 (décembre)'!AI8</f>
        <v>0</v>
      </c>
      <c r="AJ54" s="71">
        <f>'TCD sortants série 2 (décembre)'!AJ8</f>
        <v>0</v>
      </c>
      <c r="AK54" s="73">
        <f t="shared" si="87"/>
        <v>0</v>
      </c>
      <c r="AL54" s="71">
        <f>'TCD sortants série 2 (décembre)'!AL8</f>
        <v>3.3783783783783838E-3</v>
      </c>
      <c r="AM54" s="71">
        <f>'TCD sortants série 2 (décembre)'!AM8</f>
        <v>0</v>
      </c>
      <c r="AN54" s="71">
        <f>'TCD sortants série 2 (décembre)'!AN8</f>
        <v>0</v>
      </c>
      <c r="AO54" s="73">
        <f t="shared" si="88"/>
        <v>1.1261261261261279E-3</v>
      </c>
      <c r="AP54" s="71">
        <f>'TCD sortants série 2 (décembre)'!AP8</f>
        <v>0</v>
      </c>
      <c r="AQ54" s="71">
        <f>'TCD sortants série 2 (décembre)'!AQ8</f>
        <v>0</v>
      </c>
      <c r="AR54" s="71">
        <f>'TCD sortants série 2 (décembre)'!AR8</f>
        <v>0</v>
      </c>
      <c r="AS54" s="73">
        <f t="shared" si="89"/>
        <v>0</v>
      </c>
      <c r="AT54" s="71">
        <f>'TCD sortants série 2 (décembre)'!AT8</f>
        <v>1.5640273704789834E-2</v>
      </c>
      <c r="AU54" s="71">
        <f>'TCD sortants série 2 (décembre)'!AU8</f>
        <v>1.7892644135188866E-2</v>
      </c>
      <c r="AV54" s="71">
        <f>'TCD sortants série 2 (décembre)'!AV8</f>
        <v>2.1660649819494577E-2</v>
      </c>
      <c r="AW54" s="73">
        <f t="shared" si="90"/>
        <v>1.8397855886491093E-2</v>
      </c>
      <c r="AX54" s="71">
        <f>'TCD sortants série 2 (décembre)'!AX8</f>
        <v>0.69746524938675381</v>
      </c>
    </row>
    <row r="55" spans="1:50" x14ac:dyDescent="0.25">
      <c r="A55" s="82" t="s">
        <v>22</v>
      </c>
      <c r="B55" s="71">
        <f>'TCD sortants série 2 (décembre)'!B9</f>
        <v>4.1237113402061862E-2</v>
      </c>
      <c r="C55" s="71">
        <f>'TCD sortants série 2 (décembre)'!C9</f>
        <v>2.9850746268656712E-2</v>
      </c>
      <c r="D55" s="71">
        <f>'TCD sortants série 2 (décembre)'!D9</f>
        <v>5.2208835341365473E-2</v>
      </c>
      <c r="E55" s="73">
        <f t="shared" si="79"/>
        <v>4.1098898337361349E-2</v>
      </c>
      <c r="F55" s="71">
        <f>'TCD sortants série 2 (décembre)'!F9</f>
        <v>0</v>
      </c>
      <c r="G55" s="71">
        <f>'TCD sortants série 2 (décembre)'!G9</f>
        <v>0</v>
      </c>
      <c r="H55" s="71">
        <f>'TCD sortants série 2 (décembre)'!H9</f>
        <v>0</v>
      </c>
      <c r="I55" s="73">
        <f t="shared" si="80"/>
        <v>0</v>
      </c>
      <c r="J55" s="71">
        <f>'TCD sortants série 2 (décembre)'!J9</f>
        <v>1.6638935108153057E-3</v>
      </c>
      <c r="K55" s="71">
        <f>'TCD sortants série 2 (décembre)'!K9</f>
        <v>1.1061946902654867E-3</v>
      </c>
      <c r="L55" s="71">
        <f>'TCD sortants série 2 (décembre)'!L9</f>
        <v>6.9284064665127024E-3</v>
      </c>
      <c r="M55" s="73">
        <f t="shared" si="81"/>
        <v>3.2328315558644983E-3</v>
      </c>
      <c r="N55" s="71">
        <f>'TCD sortants série 2 (décembre)'!N9</f>
        <v>0</v>
      </c>
      <c r="O55" s="71">
        <f>'TCD sortants série 2 (décembre)'!O9</f>
        <v>1.0113780025284451E-2</v>
      </c>
      <c r="P55" s="71">
        <f>'TCD sortants série 2 (décembre)'!P9</f>
        <v>1.4471780028943561E-3</v>
      </c>
      <c r="Q55" s="73">
        <f t="shared" si="82"/>
        <v>3.8536526760596019E-3</v>
      </c>
      <c r="R55" s="71">
        <f>'TCD sortants série 2 (décembre)'!R9</f>
        <v>9.5238095238095108E-4</v>
      </c>
      <c r="S55" s="71">
        <f>'TCD sortants série 2 (décembre)'!S9</f>
        <v>1.0976948408342468E-3</v>
      </c>
      <c r="T55" s="71">
        <f>'TCD sortants série 2 (décembre)'!T9</f>
        <v>0</v>
      </c>
      <c r="U55" s="73">
        <f t="shared" si="83"/>
        <v>6.8335859773839926E-4</v>
      </c>
      <c r="V55" s="71">
        <f>'TCD sortants série 2 (décembre)'!V9</f>
        <v>0</v>
      </c>
      <c r="W55" s="71">
        <f>'TCD sortants série 2 (décembre)'!W9</f>
        <v>0</v>
      </c>
      <c r="X55" s="71">
        <f>'TCD sortants série 2 (décembre)'!X9</f>
        <v>0</v>
      </c>
      <c r="Y55" s="73">
        <f t="shared" si="84"/>
        <v>0</v>
      </c>
      <c r="Z55" s="71">
        <f>'TCD sortants série 2 (décembre)'!Z9</f>
        <v>0.95704057279236276</v>
      </c>
      <c r="AA55" s="71">
        <f>'TCD sortants série 2 (décembre)'!AA9</f>
        <v>0.95662100456621002</v>
      </c>
      <c r="AB55" s="71">
        <f>'TCD sortants série 2 (décembre)'!AB9</f>
        <v>0.96606574761399799</v>
      </c>
      <c r="AC55" s="73">
        <f t="shared" si="85"/>
        <v>0.95990910832419019</v>
      </c>
      <c r="AD55" s="71">
        <f>'TCD sortants série 2 (décembre)'!AD9</f>
        <v>2.0491803278688523E-2</v>
      </c>
      <c r="AE55" s="71">
        <f>'TCD sortants série 2 (décembre)'!AE9</f>
        <v>1.2867647058823529E-2</v>
      </c>
      <c r="AF55" s="71">
        <f>'TCD sortants série 2 (décembre)'!AF9</f>
        <v>8.3670715249662617E-2</v>
      </c>
      <c r="AG55" s="73">
        <f t="shared" si="86"/>
        <v>3.9010055195724889E-2</v>
      </c>
      <c r="AH55" s="71">
        <f>'TCD sortants série 2 (décembre)'!AH9</f>
        <v>1.0443864229765017E-2</v>
      </c>
      <c r="AI55" s="71">
        <f>'TCD sortants série 2 (décembre)'!AI9</f>
        <v>8.4388185654008466E-3</v>
      </c>
      <c r="AJ55" s="71">
        <f>'TCD sortants série 2 (décembre)'!AJ9</f>
        <v>6.0060060060060077E-3</v>
      </c>
      <c r="AK55" s="73">
        <f t="shared" si="87"/>
        <v>8.2962296003906231E-3</v>
      </c>
      <c r="AL55" s="71">
        <f>'TCD sortants série 2 (décembre)'!AL9</f>
        <v>0</v>
      </c>
      <c r="AM55" s="71">
        <f>'TCD sortants série 2 (décembre)'!AM9</f>
        <v>4.901960784313728E-3</v>
      </c>
      <c r="AN55" s="71">
        <f>'TCD sortants série 2 (décembre)'!AN9</f>
        <v>0</v>
      </c>
      <c r="AO55" s="73">
        <f t="shared" si="88"/>
        <v>1.6339869281045761E-3</v>
      </c>
      <c r="AP55" s="71">
        <f>'TCD sortants série 2 (décembre)'!AP9</f>
        <v>0</v>
      </c>
      <c r="AQ55" s="71">
        <f>'TCD sortants série 2 (décembre)'!AQ9</f>
        <v>1.1695906432748543E-3</v>
      </c>
      <c r="AR55" s="71">
        <f>'TCD sortants série 2 (décembre)'!AR9</f>
        <v>1.1111111111111124E-3</v>
      </c>
      <c r="AS55" s="73">
        <f t="shared" si="89"/>
        <v>7.6023391812865548E-4</v>
      </c>
      <c r="AT55" s="71">
        <f>'TCD sortants série 2 (décembre)'!AT9</f>
        <v>2.2482893450635383E-2</v>
      </c>
      <c r="AU55" s="71">
        <f>'TCD sortants série 2 (décembre)'!AU9</f>
        <v>1.3916500994035786E-2</v>
      </c>
      <c r="AV55" s="71">
        <f>'TCD sortants série 2 (décembre)'!AV9</f>
        <v>1.925391095066185E-2</v>
      </c>
      <c r="AW55" s="73">
        <f t="shared" si="90"/>
        <v>1.8551101798444339E-2</v>
      </c>
      <c r="AX55" s="71">
        <f>'TCD sortants série 2 (décembre)'!AX9</f>
        <v>4.3336058871627149E-2</v>
      </c>
    </row>
    <row r="56" spans="1:50" x14ac:dyDescent="0.25">
      <c r="A56" s="82" t="s">
        <v>23</v>
      </c>
      <c r="B56" s="71">
        <f>'TCD sortants série 2 (décembre)'!B10</f>
        <v>0.16288659793814436</v>
      </c>
      <c r="C56" s="71">
        <f>'TCD sortants série 2 (décembre)'!C10</f>
        <v>0.10447761194029846</v>
      </c>
      <c r="D56" s="71">
        <f>'TCD sortants série 2 (décembre)'!D10</f>
        <v>0.15060240963855426</v>
      </c>
      <c r="E56" s="73">
        <f t="shared" si="79"/>
        <v>0.13932220650566571</v>
      </c>
      <c r="F56" s="71">
        <f>'TCD sortants série 2 (décembre)'!F10</f>
        <v>0</v>
      </c>
      <c r="G56" s="71">
        <f>'TCD sortants série 2 (décembre)'!G10</f>
        <v>2.2883295194507996E-3</v>
      </c>
      <c r="H56" s="71">
        <f>'TCD sortants série 2 (décembre)'!H10</f>
        <v>3.0581039755351695E-3</v>
      </c>
      <c r="I56" s="73">
        <f t="shared" si="80"/>
        <v>1.7821444983286564E-3</v>
      </c>
      <c r="J56" s="71">
        <f>'TCD sortants série 2 (décembre)'!J10</f>
        <v>0.94176372712146417</v>
      </c>
      <c r="K56" s="71">
        <f>'TCD sortants série 2 (décembre)'!K10</f>
        <v>0.82411504424778759</v>
      </c>
      <c r="L56" s="71">
        <f>'TCD sortants série 2 (décembre)'!L10</f>
        <v>0.8060046189376443</v>
      </c>
      <c r="M56" s="73">
        <f t="shared" si="81"/>
        <v>0.85729446343563209</v>
      </c>
      <c r="N56" s="71">
        <f>'TCD sortants série 2 (décembre)'!N10</f>
        <v>6.2947067238912621E-2</v>
      </c>
      <c r="O56" s="71">
        <f>'TCD sortants série 2 (décembre)'!O10</f>
        <v>1.0113780025284416E-2</v>
      </c>
      <c r="P56" s="71">
        <f>'TCD sortants série 2 (décembre)'!P10</f>
        <v>8.8277858176555687E-2</v>
      </c>
      <c r="Q56" s="73">
        <f t="shared" si="82"/>
        <v>5.3779568480250915E-2</v>
      </c>
      <c r="R56" s="71">
        <f>'TCD sortants série 2 (décembre)'!R10</f>
        <v>0.26190476190476192</v>
      </c>
      <c r="S56" s="71">
        <f>'TCD sortants série 2 (décembre)'!S10</f>
        <v>0.21405049396267842</v>
      </c>
      <c r="T56" s="71">
        <f>'TCD sortants série 2 (décembre)'!T10</f>
        <v>3.0418250950570498E-2</v>
      </c>
      <c r="U56" s="73">
        <f t="shared" si="83"/>
        <v>0.16879116893933696</v>
      </c>
      <c r="V56" s="71">
        <f>'TCD sortants série 2 (décembre)'!V10</f>
        <v>0.96491228070175439</v>
      </c>
      <c r="W56" s="71">
        <f>'TCD sortants série 2 (décembre)'!W10</f>
        <v>0.96793587174348705</v>
      </c>
      <c r="X56" s="71">
        <f>'TCD sortants série 2 (décembre)'!X10</f>
        <v>0.76754385964912275</v>
      </c>
      <c r="Y56" s="73">
        <f t="shared" si="84"/>
        <v>0.90013067069812136</v>
      </c>
      <c r="Z56" s="71">
        <f>'TCD sortants série 2 (décembre)'!Z10</f>
        <v>2.1479713603818625E-2</v>
      </c>
      <c r="AA56" s="71">
        <f>'TCD sortants série 2 (décembre)'!AA10</f>
        <v>2.5114155251141568E-2</v>
      </c>
      <c r="AB56" s="71">
        <f>'TCD sortants série 2 (décembre)'!AB10</f>
        <v>1.9088016967126194E-2</v>
      </c>
      <c r="AC56" s="73">
        <f t="shared" si="85"/>
        <v>2.1893961940695466E-2</v>
      </c>
      <c r="AD56" s="71">
        <f>'TCD sortants série 2 (décembre)'!AD10</f>
        <v>8.1967213114754068E-3</v>
      </c>
      <c r="AE56" s="71">
        <f>'TCD sortants série 2 (décembre)'!AE10</f>
        <v>5.5147058823529424E-3</v>
      </c>
      <c r="AF56" s="71">
        <f>'TCD sortants série 2 (décembre)'!AF10</f>
        <v>2.2941970310391361E-2</v>
      </c>
      <c r="AG56" s="73">
        <f t="shared" si="86"/>
        <v>1.2217799168073237E-2</v>
      </c>
      <c r="AH56" s="71">
        <f>'TCD sortants série 2 (décembre)'!AH10</f>
        <v>1.5665796344647532E-2</v>
      </c>
      <c r="AI56" s="71">
        <f>'TCD sortants série 2 (décembre)'!AI10</f>
        <v>1.2658227848101273E-2</v>
      </c>
      <c r="AJ56" s="71">
        <f>'TCD sortants série 2 (décembre)'!AJ10</f>
        <v>1.5015015015015024E-2</v>
      </c>
      <c r="AK56" s="73">
        <f t="shared" si="87"/>
        <v>1.4446346402587943E-2</v>
      </c>
      <c r="AL56" s="71">
        <f>'TCD sortants série 2 (décembre)'!AL10</f>
        <v>6.7567567567567597E-3</v>
      </c>
      <c r="AM56" s="71">
        <f>'TCD sortants série 2 (décembre)'!AM10</f>
        <v>9.8039215686274526E-3</v>
      </c>
      <c r="AN56" s="71">
        <f>'TCD sortants série 2 (décembre)'!AN10</f>
        <v>1.2084592145015111E-2</v>
      </c>
      <c r="AO56" s="73">
        <f t="shared" si="88"/>
        <v>9.548423490133108E-3</v>
      </c>
      <c r="AP56" s="71">
        <f>'TCD sortants série 2 (décembre)'!AP10</f>
        <v>5.4229934924078091E-3</v>
      </c>
      <c r="AQ56" s="71">
        <f>'TCD sortants série 2 (décembre)'!AQ10</f>
        <v>1.6374269005847958E-2</v>
      </c>
      <c r="AR56" s="71">
        <f>'TCD sortants série 2 (décembre)'!AR10</f>
        <v>1.1111111111111124E-3</v>
      </c>
      <c r="AS56" s="73">
        <f t="shared" si="89"/>
        <v>7.6361245364556267E-3</v>
      </c>
      <c r="AT56" s="71">
        <f>'TCD sortants série 2 (décembre)'!AT10</f>
        <v>3.5190615835777116E-2</v>
      </c>
      <c r="AU56" s="71">
        <f>'TCD sortants série 2 (décembre)'!AU10</f>
        <v>1.1928429423459242E-2</v>
      </c>
      <c r="AV56" s="71">
        <f>'TCD sortants série 2 (décembre)'!AV10</f>
        <v>2.1660649819494577E-2</v>
      </c>
      <c r="AW56" s="73">
        <f t="shared" si="90"/>
        <v>2.2926565026243646E-2</v>
      </c>
      <c r="AX56" s="71">
        <f>'TCD sortants série 2 (décembre)'!AX10</f>
        <v>3.2706459525756334E-3</v>
      </c>
    </row>
    <row r="57" spans="1:50" x14ac:dyDescent="0.25">
      <c r="A57" s="82" t="s">
        <v>60</v>
      </c>
      <c r="B57" s="71">
        <f>'TCD sortants série 2 (décembre)'!B11</f>
        <v>2.6804123711340156E-2</v>
      </c>
      <c r="C57" s="71">
        <f>'TCD sortants série 2 (décembre)'!C11</f>
        <v>3.8379530916844283E-2</v>
      </c>
      <c r="D57" s="71">
        <f>'TCD sortants série 2 (décembre)'!D11</f>
        <v>2.8112449799196908E-2</v>
      </c>
      <c r="E57" s="73">
        <f t="shared" si="79"/>
        <v>3.1098701475793782E-2</v>
      </c>
      <c r="F57" s="71">
        <f>'TCD sortants série 2 (décembre)'!F11</f>
        <v>0</v>
      </c>
      <c r="G57" s="71">
        <f>'TCD sortants série 2 (décembre)'!G11</f>
        <v>0</v>
      </c>
      <c r="H57" s="71">
        <f>'TCD sortants série 2 (décembre)'!H11</f>
        <v>0</v>
      </c>
      <c r="I57" s="73">
        <f t="shared" si="80"/>
        <v>0</v>
      </c>
      <c r="J57" s="71">
        <f>'TCD sortants série 2 (décembre)'!J11</f>
        <v>0</v>
      </c>
      <c r="K57" s="71">
        <f>'TCD sortants série 2 (décembre)'!K11</f>
        <v>1.1061946902654852E-3</v>
      </c>
      <c r="L57" s="71">
        <f>'TCD sortants série 2 (décembre)'!L11</f>
        <v>4.6189376443418013E-3</v>
      </c>
      <c r="M57" s="73">
        <f t="shared" si="81"/>
        <v>1.9083774448690955E-3</v>
      </c>
      <c r="N57" s="71">
        <f>'TCD sortants série 2 (décembre)'!N11</f>
        <v>0</v>
      </c>
      <c r="O57" s="71">
        <f>'TCD sortants série 2 (décembre)'!O11</f>
        <v>2.5284450063211127E-3</v>
      </c>
      <c r="P57" s="71">
        <f>'TCD sortants série 2 (décembre)'!P11</f>
        <v>0</v>
      </c>
      <c r="Q57" s="73">
        <f t="shared" si="82"/>
        <v>8.4281500210703754E-4</v>
      </c>
      <c r="R57" s="71">
        <f>'TCD sortants série 2 (décembre)'!R11</f>
        <v>0</v>
      </c>
      <c r="S57" s="71">
        <f>'TCD sortants série 2 (décembre)'!S11</f>
        <v>0</v>
      </c>
      <c r="T57" s="71">
        <f>'TCD sortants série 2 (décembre)'!T11</f>
        <v>0</v>
      </c>
      <c r="U57" s="73">
        <f t="shared" si="83"/>
        <v>0</v>
      </c>
      <c r="V57" s="71">
        <f>'TCD sortants série 2 (décembre)'!V11</f>
        <v>0</v>
      </c>
      <c r="W57" s="71">
        <f>'TCD sortants série 2 (décembre)'!W11</f>
        <v>2.0040080160320622E-3</v>
      </c>
      <c r="X57" s="71">
        <f>'TCD sortants série 2 (décembre)'!X11</f>
        <v>4.8245614035087675E-2</v>
      </c>
      <c r="Y57" s="73">
        <f t="shared" si="84"/>
        <v>1.6749874017039913E-2</v>
      </c>
      <c r="Z57" s="71">
        <f>'TCD sortants série 2 (décembre)'!Z11</f>
        <v>0</v>
      </c>
      <c r="AA57" s="71">
        <f>'TCD sortants série 2 (décembre)'!AA11</f>
        <v>0</v>
      </c>
      <c r="AB57" s="71">
        <f>'TCD sortants série 2 (décembre)'!AB11</f>
        <v>0</v>
      </c>
      <c r="AC57" s="73">
        <f t="shared" si="85"/>
        <v>0</v>
      </c>
      <c r="AD57" s="71">
        <f>'TCD sortants série 2 (décembre)'!AD11</f>
        <v>0</v>
      </c>
      <c r="AE57" s="71">
        <f>'TCD sortants série 2 (décembre)'!AE11</f>
        <v>0</v>
      </c>
      <c r="AF57" s="71">
        <f>'TCD sortants série 2 (décembre)'!AF11</f>
        <v>6.7476383265856954E-3</v>
      </c>
      <c r="AG57" s="73">
        <f t="shared" si="86"/>
        <v>2.249212775528565E-3</v>
      </c>
      <c r="AH57" s="71">
        <f>'TCD sortants série 2 (décembre)'!AH11</f>
        <v>2.610966057441255E-3</v>
      </c>
      <c r="AI57" s="71">
        <f>'TCD sortants série 2 (décembre)'!AI11</f>
        <v>1.2658227848101262E-2</v>
      </c>
      <c r="AJ57" s="71">
        <f>'TCD sortants série 2 (décembre)'!AJ11</f>
        <v>3.0030030030030004E-3</v>
      </c>
      <c r="AK57" s="73">
        <f t="shared" si="87"/>
        <v>6.0907323028485056E-3</v>
      </c>
      <c r="AL57" s="71">
        <f>'TCD sortants série 2 (décembre)'!AL11</f>
        <v>0.75337837837837829</v>
      </c>
      <c r="AM57" s="71">
        <f>'TCD sortants série 2 (décembre)'!AM11</f>
        <v>0.67647058823529427</v>
      </c>
      <c r="AN57" s="71">
        <f>'TCD sortants série 2 (décembre)'!AN11</f>
        <v>0.67069486404833845</v>
      </c>
      <c r="AO57" s="73">
        <f t="shared" si="88"/>
        <v>0.70018127688733689</v>
      </c>
      <c r="AP57" s="71">
        <f>'TCD sortants série 2 (décembre)'!AP11</f>
        <v>4.3383947939262318E-3</v>
      </c>
      <c r="AQ57" s="71">
        <f>'TCD sortants série 2 (décembre)'!AQ11</f>
        <v>8.1871345029239703E-3</v>
      </c>
      <c r="AR57" s="71">
        <f>'TCD sortants série 2 (décembre)'!AR11</f>
        <v>1.1111111111110877E-3</v>
      </c>
      <c r="AS57" s="73">
        <f t="shared" si="89"/>
        <v>4.545546802653763E-3</v>
      </c>
      <c r="AT57" s="71">
        <f>'TCD sortants série 2 (décembre)'!AT11</f>
        <v>3.9100684261974576E-3</v>
      </c>
      <c r="AU57" s="71">
        <f>'TCD sortants série 2 (décembre)'!AU11</f>
        <v>1.9880715705765384E-3</v>
      </c>
      <c r="AV57" s="71">
        <f>'TCD sortants série 2 (décembre)'!AV11</f>
        <v>3.6101083032490941E-3</v>
      </c>
      <c r="AW57" s="73">
        <f t="shared" si="90"/>
        <v>3.1694161000076966E-3</v>
      </c>
      <c r="AX57" s="71">
        <f>'TCD sortants série 2 (décembre)'!AX11</f>
        <v>2.4529844644317258E-3</v>
      </c>
    </row>
    <row r="58" spans="1:50" x14ac:dyDescent="0.25">
      <c r="A58" s="82" t="s">
        <v>57</v>
      </c>
      <c r="B58" s="71">
        <f>'TCD sortants série 2 (décembre)'!B12</f>
        <v>7.628865979381444E-2</v>
      </c>
      <c r="C58" s="71">
        <f>'TCD sortants série 2 (décembre)'!C12</f>
        <v>9.3816631130063929E-2</v>
      </c>
      <c r="D58" s="71">
        <f>'TCD sortants série 2 (décembre)'!D12</f>
        <v>9.0361445783132543E-2</v>
      </c>
      <c r="E58" s="73">
        <f t="shared" si="79"/>
        <v>8.6822245569003642E-2</v>
      </c>
      <c r="F58" s="71">
        <f>'TCD sortants série 2 (décembre)'!F12</f>
        <v>2.8301886792452793E-2</v>
      </c>
      <c r="G58" s="71">
        <f>'TCD sortants série 2 (décembre)'!G12</f>
        <v>3.4324942791761986E-2</v>
      </c>
      <c r="H58" s="71">
        <f>'TCD sortants série 2 (décembre)'!H12</f>
        <v>5.5045871559633176E-2</v>
      </c>
      <c r="I58" s="73">
        <f t="shared" si="80"/>
        <v>3.9224233714615982E-2</v>
      </c>
      <c r="J58" s="71">
        <f>'TCD sortants série 2 (décembre)'!J12</f>
        <v>1.6638935108153057E-3</v>
      </c>
      <c r="K58" s="71">
        <f>'TCD sortants série 2 (décembre)'!K12</f>
        <v>5.5309734513274336E-3</v>
      </c>
      <c r="L58" s="71">
        <f>'TCD sortants série 2 (décembre)'!L12</f>
        <v>3.4642032332563499E-3</v>
      </c>
      <c r="M58" s="73">
        <f t="shared" si="81"/>
        <v>3.553023398466363E-3</v>
      </c>
      <c r="N58" s="71">
        <f>'TCD sortants série 2 (décembre)'!N12</f>
        <v>4.29184549356223E-3</v>
      </c>
      <c r="O58" s="71">
        <f>'TCD sortants série 2 (décembre)'!O12</f>
        <v>8.8495575221238951E-2</v>
      </c>
      <c r="P58" s="71">
        <f>'TCD sortants série 2 (décembre)'!P12</f>
        <v>1.3024602026049204E-2</v>
      </c>
      <c r="Q58" s="73">
        <f t="shared" si="82"/>
        <v>3.5270674246950129E-2</v>
      </c>
      <c r="R58" s="71">
        <f>'TCD sortants série 2 (décembre)'!R12</f>
        <v>1.9047619047619043E-3</v>
      </c>
      <c r="S58" s="71">
        <f>'TCD sortants série 2 (décembre)'!S12</f>
        <v>1.0976948408342468E-3</v>
      </c>
      <c r="T58" s="71">
        <f>'TCD sortants série 2 (décembre)'!T12</f>
        <v>1.9011406844106436E-3</v>
      </c>
      <c r="U58" s="73">
        <f t="shared" si="83"/>
        <v>1.6345324766689317E-3</v>
      </c>
      <c r="V58" s="71">
        <f>'TCD sortants série 2 (décembre)'!V12</f>
        <v>3.5087719298245615E-3</v>
      </c>
      <c r="W58" s="71">
        <f>'TCD sortants série 2 (décembre)'!W12</f>
        <v>2.0040080160320653E-3</v>
      </c>
      <c r="X58" s="71">
        <f>'TCD sortants série 2 (décembre)'!X12</f>
        <v>1.0233918128654968E-2</v>
      </c>
      <c r="Y58" s="73">
        <f t="shared" si="84"/>
        <v>5.2488993581705319E-3</v>
      </c>
      <c r="Z58" s="71">
        <f>'TCD sortants série 2 (décembre)'!Z12</f>
        <v>2.3866348448687387E-3</v>
      </c>
      <c r="AA58" s="71">
        <f>'TCD sortants série 2 (décembre)'!AA12</f>
        <v>2.2831050228310484E-3</v>
      </c>
      <c r="AB58" s="71">
        <f>'TCD sortants série 2 (décembre)'!AB12</f>
        <v>2.1208907741251323E-3</v>
      </c>
      <c r="AC58" s="73">
        <f t="shared" si="85"/>
        <v>2.263543547274973E-3</v>
      </c>
      <c r="AD58" s="71">
        <f>'TCD sortants série 2 (décembre)'!AD12</f>
        <v>3.4836065573770475E-2</v>
      </c>
      <c r="AE58" s="71">
        <f>'TCD sortants série 2 (décembre)'!AE12</f>
        <v>4.2279411764705829E-2</v>
      </c>
      <c r="AF58" s="71">
        <f>'TCD sortants série 2 (décembre)'!AF12</f>
        <v>4.048582995951417E-2</v>
      </c>
      <c r="AG58" s="73">
        <f t="shared" si="86"/>
        <v>3.9200435765996827E-2</v>
      </c>
      <c r="AH58" s="71">
        <f>'TCD sortants série 2 (décembre)'!AH12</f>
        <v>0.81723237597911236</v>
      </c>
      <c r="AI58" s="71">
        <f>'TCD sortants série 2 (décembre)'!AI12</f>
        <v>0.76371308016877637</v>
      </c>
      <c r="AJ58" s="71">
        <f>'TCD sortants série 2 (décembre)'!AJ12</f>
        <v>0.79279279279279291</v>
      </c>
      <c r="AK58" s="73">
        <f t="shared" si="87"/>
        <v>0.79124608298022725</v>
      </c>
      <c r="AL58" s="71">
        <f>'TCD sortants série 2 (décembre)'!AL12</f>
        <v>5.7432432432432449E-2</v>
      </c>
      <c r="AM58" s="71">
        <f>'TCD sortants série 2 (décembre)'!AM12</f>
        <v>6.3725490196078316E-2</v>
      </c>
      <c r="AN58" s="71">
        <f>'TCD sortants série 2 (décembre)'!AN12</f>
        <v>5.1359516616314209E-2</v>
      </c>
      <c r="AO58" s="73">
        <f t="shared" si="88"/>
        <v>5.7505813081608327E-2</v>
      </c>
      <c r="AP58" s="71">
        <f>'TCD sortants série 2 (décembre)'!AP12</f>
        <v>3.2537960954446858E-3</v>
      </c>
      <c r="AQ58" s="71">
        <f>'TCD sortants série 2 (décembre)'!AQ12</f>
        <v>4.6783625730994153E-3</v>
      </c>
      <c r="AR58" s="71">
        <f>'TCD sortants série 2 (décembre)'!AR12</f>
        <v>2.2222222222222222E-3</v>
      </c>
      <c r="AS58" s="73">
        <f t="shared" si="89"/>
        <v>3.3847936302554408E-3</v>
      </c>
      <c r="AT58" s="71">
        <f>'TCD sortants série 2 (décembre)'!AT12</f>
        <v>5.8651026392961859E-3</v>
      </c>
      <c r="AU58" s="71">
        <f>'TCD sortants série 2 (décembre)'!AU12</f>
        <v>7.9522862823061622E-3</v>
      </c>
      <c r="AV58" s="71">
        <f>'TCD sortants série 2 (décembre)'!AV12</f>
        <v>1.3237063778580022E-2</v>
      </c>
      <c r="AW58" s="73">
        <f t="shared" si="90"/>
        <v>9.0181509000607906E-3</v>
      </c>
      <c r="AX58" s="71">
        <f>'TCD sortants série 2 (décembre)'!AX12</f>
        <v>2.452984464431724E-3</v>
      </c>
    </row>
    <row r="59" spans="1:50" x14ac:dyDescent="0.25">
      <c r="A59" s="82" t="s">
        <v>59</v>
      </c>
      <c r="B59" s="71">
        <f>'TCD sortants série 2 (décembre)'!B13</f>
        <v>0.13402061855670108</v>
      </c>
      <c r="C59" s="71">
        <f>'TCD sortants série 2 (décembre)'!C13</f>
        <v>5.5437100213219612E-2</v>
      </c>
      <c r="D59" s="71">
        <f>'TCD sortants série 2 (décembre)'!D13</f>
        <v>3.012048192771085E-2</v>
      </c>
      <c r="E59" s="73">
        <f t="shared" si="79"/>
        <v>7.3192733565877174E-2</v>
      </c>
      <c r="F59" s="71">
        <f>'TCD sortants série 2 (décembre)'!F13</f>
        <v>0</v>
      </c>
      <c r="G59" s="71">
        <f>'TCD sortants série 2 (décembre)'!G13</f>
        <v>0</v>
      </c>
      <c r="H59" s="71">
        <f>'TCD sortants série 2 (décembre)'!H13</f>
        <v>0</v>
      </c>
      <c r="I59" s="73">
        <f t="shared" si="80"/>
        <v>0</v>
      </c>
      <c r="J59" s="71">
        <f>'TCD sortants série 2 (décembre)'!J13</f>
        <v>3.3277870216306162E-2</v>
      </c>
      <c r="K59" s="71">
        <f>'TCD sortants série 2 (décembre)'!K13</f>
        <v>0.11061946902654866</v>
      </c>
      <c r="L59" s="71">
        <f>'TCD sortants série 2 (décembre)'!L13</f>
        <v>0.10739030023094688</v>
      </c>
      <c r="M59" s="73">
        <f t="shared" si="81"/>
        <v>8.3762546491267242E-2</v>
      </c>
      <c r="N59" s="71">
        <f>'TCD sortants série 2 (décembre)'!N13</f>
        <v>4.0057224606580795E-2</v>
      </c>
      <c r="O59" s="71">
        <f>'TCD sortants série 2 (décembre)'!O13</f>
        <v>1.2642225031605746E-3</v>
      </c>
      <c r="P59" s="71">
        <f>'TCD sortants série 2 (décembre)'!P13</f>
        <v>3.7626628075253229E-2</v>
      </c>
      <c r="Q59" s="73">
        <f t="shared" si="82"/>
        <v>2.6316025061664864E-2</v>
      </c>
      <c r="R59" s="71">
        <f>'TCD sortants série 2 (décembre)'!R13</f>
        <v>0.70285714285714296</v>
      </c>
      <c r="S59" s="71">
        <f>'TCD sortants série 2 (décembre)'!S13</f>
        <v>0.75521405049396262</v>
      </c>
      <c r="T59" s="71">
        <f>'TCD sortants série 2 (décembre)'!T13</f>
        <v>0.95437262357414443</v>
      </c>
      <c r="U59" s="73">
        <f t="shared" si="83"/>
        <v>0.80414793897508341</v>
      </c>
      <c r="V59" s="71">
        <f>'TCD sortants série 2 (décembre)'!V13</f>
        <v>1.0526315789473648E-2</v>
      </c>
      <c r="W59" s="71">
        <f>'TCD sortants série 2 (décembre)'!W13</f>
        <v>2.0040080160320653E-3</v>
      </c>
      <c r="X59" s="71">
        <f>'TCD sortants série 2 (décembre)'!X13</f>
        <v>0.10526315789473688</v>
      </c>
      <c r="Y59" s="73">
        <f t="shared" si="84"/>
        <v>3.9264493900080862E-2</v>
      </c>
      <c r="Z59" s="71">
        <f>'TCD sortants série 2 (décembre)'!Z13</f>
        <v>2.386634844868733E-3</v>
      </c>
      <c r="AA59" s="71">
        <f>'TCD sortants série 2 (décembre)'!AA13</f>
        <v>6.8493150684931503E-3</v>
      </c>
      <c r="AB59" s="71">
        <f>'TCD sortants série 2 (décembre)'!AB13</f>
        <v>0</v>
      </c>
      <c r="AC59" s="73">
        <f t="shared" si="85"/>
        <v>3.0786499711206276E-3</v>
      </c>
      <c r="AD59" s="71">
        <f>'TCD sortants série 2 (décembre)'!AD13</f>
        <v>3.2786885245901641E-2</v>
      </c>
      <c r="AE59" s="71">
        <f>'TCD sortants série 2 (décembre)'!AE13</f>
        <v>1.8382352941176488E-3</v>
      </c>
      <c r="AF59" s="71">
        <f>'TCD sortants série 2 (décembre)'!AF13</f>
        <v>6.7476383265856954E-3</v>
      </c>
      <c r="AG59" s="73">
        <f t="shared" si="86"/>
        <v>1.3790919622201662E-2</v>
      </c>
      <c r="AH59" s="71">
        <f>'TCD sortants série 2 (décembre)'!AH13</f>
        <v>0</v>
      </c>
      <c r="AI59" s="71">
        <f>'TCD sortants série 2 (décembre)'!AI13</f>
        <v>1.687763713080169E-2</v>
      </c>
      <c r="AJ59" s="71">
        <f>'TCD sortants série 2 (décembre)'!AJ13</f>
        <v>0</v>
      </c>
      <c r="AK59" s="73">
        <f t="shared" si="87"/>
        <v>5.6258790436005636E-3</v>
      </c>
      <c r="AL59" s="71">
        <f>'TCD sortants série 2 (décembre)'!AL13</f>
        <v>1.3513513513513474E-2</v>
      </c>
      <c r="AM59" s="71">
        <f>'TCD sortants série 2 (décembre)'!AM13</f>
        <v>1.4705882352941043E-2</v>
      </c>
      <c r="AN59" s="71">
        <f>'TCD sortants série 2 (décembre)'!AN13</f>
        <v>9.0634441087612486E-3</v>
      </c>
      <c r="AO59" s="73">
        <f t="shared" si="88"/>
        <v>1.2427613325071923E-2</v>
      </c>
      <c r="AP59" s="71">
        <f>'TCD sortants série 2 (décembre)'!AP13</f>
        <v>0</v>
      </c>
      <c r="AQ59" s="71">
        <f>'TCD sortants série 2 (décembre)'!AQ13</f>
        <v>1.1695906432748527E-3</v>
      </c>
      <c r="AR59" s="71">
        <f>'TCD sortants série 2 (décembre)'!AR13</f>
        <v>0</v>
      </c>
      <c r="AS59" s="73">
        <f t="shared" si="89"/>
        <v>3.8986354775828426E-4</v>
      </c>
      <c r="AT59" s="71">
        <f>'TCD sortants série 2 (décembre)'!AT13</f>
        <v>9.7751710654936444E-3</v>
      </c>
      <c r="AU59" s="71">
        <f>'TCD sortants série 2 (décembre)'!AU13</f>
        <v>5.9642147117296195E-3</v>
      </c>
      <c r="AV59" s="71">
        <f>'TCD sortants série 2 (décembre)'!AV13</f>
        <v>4.8134777376654609E-3</v>
      </c>
      <c r="AW59" s="73">
        <f t="shared" si="90"/>
        <v>6.8509545049629077E-3</v>
      </c>
      <c r="AX59" s="71">
        <f>'TCD sortants série 2 (décembre)'!AX13</f>
        <v>6.5412919051512685E-3</v>
      </c>
    </row>
    <row r="60" spans="1:50" x14ac:dyDescent="0.25">
      <c r="A60" s="82" t="s">
        <v>200</v>
      </c>
      <c r="B60" s="71">
        <f>'TCD sortants série 2 (décembre)'!B14</f>
        <v>0</v>
      </c>
      <c r="C60" s="71">
        <f>'TCD sortants série 2 (décembre)'!C14</f>
        <v>0</v>
      </c>
      <c r="D60" s="71">
        <f>'TCD sortants série 2 (décembre)'!D14</f>
        <v>0</v>
      </c>
      <c r="E60" s="73">
        <f t="shared" si="79"/>
        <v>0</v>
      </c>
      <c r="F60" s="71">
        <f>'TCD sortants série 2 (décembre)'!F14</f>
        <v>0</v>
      </c>
      <c r="G60" s="71">
        <f>'TCD sortants série 2 (décembre)'!G14</f>
        <v>0</v>
      </c>
      <c r="H60" s="71">
        <f>'TCD sortants série 2 (décembre)'!H14</f>
        <v>0</v>
      </c>
      <c r="I60" s="73">
        <f t="shared" si="80"/>
        <v>0</v>
      </c>
      <c r="J60" s="71">
        <f>'TCD sortants série 2 (décembre)'!J14</f>
        <v>0</v>
      </c>
      <c r="K60" s="71">
        <f>'TCD sortants série 2 (décembre)'!K14</f>
        <v>0</v>
      </c>
      <c r="L60" s="71">
        <f>'TCD sortants série 2 (décembre)'!L14</f>
        <v>0</v>
      </c>
      <c r="M60" s="73">
        <f t="shared" si="81"/>
        <v>0</v>
      </c>
      <c r="N60" s="71">
        <f>'TCD sortants série 2 (décembre)'!N14</f>
        <v>0.83690987124463534</v>
      </c>
      <c r="O60" s="71">
        <f>'TCD sortants série 2 (décembre)'!O14</f>
        <v>0.71049304677623282</v>
      </c>
      <c r="P60" s="71">
        <f>'TCD sortants série 2 (décembre)'!P14</f>
        <v>0.72793053545586106</v>
      </c>
      <c r="Q60" s="73">
        <f t="shared" si="82"/>
        <v>0.75844448449224311</v>
      </c>
      <c r="R60" s="71">
        <f>'TCD sortants série 2 (décembre)'!R14</f>
        <v>0</v>
      </c>
      <c r="S60" s="71">
        <f>'TCD sortants série 2 (décembre)'!S14</f>
        <v>0</v>
      </c>
      <c r="T60" s="71">
        <f>'TCD sortants série 2 (décembre)'!T14</f>
        <v>0</v>
      </c>
      <c r="U60" s="73">
        <f t="shared" si="83"/>
        <v>0</v>
      </c>
      <c r="V60" s="71">
        <f>'TCD sortants série 2 (décembre)'!V14</f>
        <v>0</v>
      </c>
      <c r="W60" s="71">
        <f>'TCD sortants série 2 (décembre)'!W14</f>
        <v>0</v>
      </c>
      <c r="X60" s="71">
        <f>'TCD sortants série 2 (décembre)'!X14</f>
        <v>0</v>
      </c>
      <c r="Y60" s="73">
        <f t="shared" si="84"/>
        <v>0</v>
      </c>
      <c r="Z60" s="71">
        <f>'TCD sortants série 2 (décembre)'!Z14</f>
        <v>0</v>
      </c>
      <c r="AA60" s="71">
        <f>'TCD sortants série 2 (décembre)'!AA14</f>
        <v>0</v>
      </c>
      <c r="AB60" s="71">
        <f>'TCD sortants série 2 (décembre)'!AB14</f>
        <v>0</v>
      </c>
      <c r="AC60" s="73">
        <f t="shared" si="85"/>
        <v>0</v>
      </c>
      <c r="AD60" s="71">
        <f>'TCD sortants série 2 (décembre)'!AD14</f>
        <v>0</v>
      </c>
      <c r="AE60" s="71">
        <f>'TCD sortants série 2 (décembre)'!AE14</f>
        <v>0</v>
      </c>
      <c r="AF60" s="71">
        <f>'TCD sortants série 2 (décembre)'!AF14</f>
        <v>0</v>
      </c>
      <c r="AG60" s="73">
        <f t="shared" si="86"/>
        <v>0</v>
      </c>
      <c r="AH60" s="71">
        <f>'TCD sortants série 2 (décembre)'!AH14</f>
        <v>0</v>
      </c>
      <c r="AI60" s="71">
        <f>'TCD sortants série 2 (décembre)'!AI14</f>
        <v>0</v>
      </c>
      <c r="AJ60" s="71">
        <f>'TCD sortants série 2 (décembre)'!AJ14</f>
        <v>0</v>
      </c>
      <c r="AK60" s="73">
        <f t="shared" si="87"/>
        <v>0</v>
      </c>
      <c r="AL60" s="71">
        <f>'TCD sortants série 2 (décembre)'!AL14</f>
        <v>0</v>
      </c>
      <c r="AM60" s="71">
        <f>'TCD sortants série 2 (décembre)'!AM14</f>
        <v>0</v>
      </c>
      <c r="AN60" s="71">
        <f>'TCD sortants série 2 (décembre)'!AN14</f>
        <v>0</v>
      </c>
      <c r="AO60" s="73">
        <f t="shared" si="88"/>
        <v>0</v>
      </c>
      <c r="AP60" s="71">
        <f>'TCD sortants série 2 (décembre)'!AP14</f>
        <v>0</v>
      </c>
      <c r="AQ60" s="71">
        <f>'TCD sortants série 2 (décembre)'!AQ14</f>
        <v>0</v>
      </c>
      <c r="AR60" s="71">
        <f>'TCD sortants série 2 (décembre)'!AR14</f>
        <v>0</v>
      </c>
      <c r="AS60" s="73">
        <f t="shared" si="89"/>
        <v>0</v>
      </c>
      <c r="AT60" s="71">
        <f>'TCD sortants série 2 (décembre)'!AT14</f>
        <v>0</v>
      </c>
      <c r="AU60" s="71">
        <f>'TCD sortants série 2 (décembre)'!AU14</f>
        <v>0</v>
      </c>
      <c r="AV60" s="71">
        <f>'TCD sortants série 2 (décembre)'!AV14</f>
        <v>0</v>
      </c>
      <c r="AW60" s="73">
        <f t="shared" si="90"/>
        <v>0</v>
      </c>
      <c r="AX60" s="71">
        <f>'TCD sortants série 2 (décembre)'!AX14</f>
        <v>0</v>
      </c>
    </row>
    <row r="61" spans="1:50" x14ac:dyDescent="0.25">
      <c r="A61" s="82" t="s">
        <v>58</v>
      </c>
      <c r="B61" s="71">
        <f>'TCD sortants série 2 (décembre)'!B15</f>
        <v>0.11958762886597943</v>
      </c>
      <c r="C61" s="71">
        <f>'TCD sortants série 2 (décembre)'!C15</f>
        <v>0.11727078891257994</v>
      </c>
      <c r="D61" s="71">
        <f>'TCD sortants série 2 (décembre)'!D15</f>
        <v>0.11244979919678716</v>
      </c>
      <c r="E61" s="73">
        <f t="shared" si="79"/>
        <v>0.11643607232511551</v>
      </c>
      <c r="F61" s="71">
        <f>'TCD sortants série 2 (décembre)'!F15</f>
        <v>0</v>
      </c>
      <c r="G61" s="71">
        <f>'TCD sortants série 2 (décembre)'!G15</f>
        <v>0</v>
      </c>
      <c r="H61" s="71">
        <f>'TCD sortants série 2 (décembre)'!H15</f>
        <v>0</v>
      </c>
      <c r="I61" s="73">
        <f t="shared" si="80"/>
        <v>0</v>
      </c>
      <c r="J61" s="71">
        <f>'TCD sortants série 2 (décembre)'!J15</f>
        <v>1.6638935108153057E-3</v>
      </c>
      <c r="K61" s="71">
        <f>'TCD sortants série 2 (décembre)'!K15</f>
        <v>3.3185840707964606E-3</v>
      </c>
      <c r="L61" s="71">
        <f>'TCD sortants série 2 (décembre)'!L15</f>
        <v>8.0831408775981529E-3</v>
      </c>
      <c r="M61" s="73">
        <f t="shared" si="81"/>
        <v>4.3552061530699729E-3</v>
      </c>
      <c r="N61" s="71">
        <f>'TCD sortants série 2 (décembre)'!N15</f>
        <v>0</v>
      </c>
      <c r="O61" s="71">
        <f>'TCD sortants série 2 (décembre)'!O15</f>
        <v>3.4134007585335031E-2</v>
      </c>
      <c r="P61" s="71">
        <f>'TCD sortants série 2 (décembre)'!P15</f>
        <v>1.4471780028943542E-3</v>
      </c>
      <c r="Q61" s="73">
        <f t="shared" si="82"/>
        <v>1.1860395196076462E-2</v>
      </c>
      <c r="R61" s="71">
        <f>'TCD sortants série 2 (décembre)'!R15</f>
        <v>1.9047619047619043E-3</v>
      </c>
      <c r="S61" s="71">
        <f>'TCD sortants série 2 (décembre)'!S15</f>
        <v>1.0976948408342468E-3</v>
      </c>
      <c r="T61" s="71">
        <f>'TCD sortants série 2 (décembre)'!T15</f>
        <v>0</v>
      </c>
      <c r="U61" s="73">
        <f t="shared" si="83"/>
        <v>1.000818915198717E-3</v>
      </c>
      <c r="V61" s="71">
        <f>'TCD sortants série 2 (décembre)'!V15</f>
        <v>0</v>
      </c>
      <c r="W61" s="71">
        <f>'TCD sortants série 2 (décembre)'!W15</f>
        <v>0</v>
      </c>
      <c r="X61" s="71">
        <f>'TCD sortants série 2 (décembre)'!X15</f>
        <v>2.9239766081871335E-3</v>
      </c>
      <c r="Y61" s="73">
        <f t="shared" si="84"/>
        <v>9.7465886939571112E-4</v>
      </c>
      <c r="Z61" s="71">
        <f>'TCD sortants série 2 (décembre)'!Z15</f>
        <v>9.5465393794749442E-3</v>
      </c>
      <c r="AA61" s="71">
        <f>'TCD sortants série 2 (décembre)'!AA15</f>
        <v>2.2831050228310484E-3</v>
      </c>
      <c r="AB61" s="71">
        <f>'TCD sortants série 2 (décembre)'!AB15</f>
        <v>4.2417815482502647E-3</v>
      </c>
      <c r="AC61" s="73">
        <f t="shared" si="85"/>
        <v>5.3571419835187527E-3</v>
      </c>
      <c r="AD61" s="71">
        <f>'TCD sortants série 2 (décembre)'!AD15</f>
        <v>0.84426229508196715</v>
      </c>
      <c r="AE61" s="71">
        <f>'TCD sortants série 2 (décembre)'!AE15</f>
        <v>0.92647058823529427</v>
      </c>
      <c r="AF61" s="71">
        <f>'TCD sortants série 2 (décembre)'!AF15</f>
        <v>0.74493927125506065</v>
      </c>
      <c r="AG61" s="73">
        <f t="shared" si="86"/>
        <v>0.83855738485744069</v>
      </c>
      <c r="AH61" s="71">
        <f>'TCD sortants série 2 (décembre)'!AH15</f>
        <v>4.1775456919060081E-2</v>
      </c>
      <c r="AI61" s="71">
        <f>'TCD sortants série 2 (décembre)'!AI15</f>
        <v>3.3755274261603387E-2</v>
      </c>
      <c r="AJ61" s="71">
        <f>'TCD sortants série 2 (décembre)'!AJ15</f>
        <v>2.7027027027027039E-2</v>
      </c>
      <c r="AK61" s="73">
        <f t="shared" si="87"/>
        <v>3.4185919402563505E-2</v>
      </c>
      <c r="AL61" s="71">
        <f>'TCD sortants série 2 (décembre)'!AL15</f>
        <v>1.0135135135135136E-2</v>
      </c>
      <c r="AM61" s="71">
        <f>'TCD sortants série 2 (décembre)'!AM15</f>
        <v>2.4509803921568638E-2</v>
      </c>
      <c r="AN61" s="71">
        <f>'TCD sortants série 2 (décembre)'!AN15</f>
        <v>1.812688821752266E-2</v>
      </c>
      <c r="AO61" s="73">
        <f t="shared" si="88"/>
        <v>1.7590609091408811E-2</v>
      </c>
      <c r="AP61" s="71">
        <f>'TCD sortants série 2 (décembre)'!AP15</f>
        <v>0</v>
      </c>
      <c r="AQ61" s="71">
        <f>'TCD sortants série 2 (décembre)'!AQ15</f>
        <v>8.1871345029239789E-3</v>
      </c>
      <c r="AR61" s="71">
        <f>'TCD sortants série 2 (décembre)'!AR15</f>
        <v>4.4444444444444444E-3</v>
      </c>
      <c r="AS61" s="73">
        <f t="shared" si="89"/>
        <v>4.2105263157894745E-3</v>
      </c>
      <c r="AT61" s="71">
        <f>'TCD sortants série 2 (décembre)'!AT15</f>
        <v>2.1505376344086016E-2</v>
      </c>
      <c r="AU61" s="71">
        <f>'TCD sortants série 2 (décembre)'!AU15</f>
        <v>1.5904572564612324E-2</v>
      </c>
      <c r="AV61" s="71">
        <f>'TCD sortants série 2 (décembre)'!AV15</f>
        <v>8.4235860409145585E-3</v>
      </c>
      <c r="AW61" s="73">
        <f t="shared" si="90"/>
        <v>1.52778449832043E-2</v>
      </c>
      <c r="AX61" s="71">
        <f>'TCD sortants série 2 (décembre)'!AX15</f>
        <v>4.9059689288634516E-3</v>
      </c>
    </row>
    <row r="62" spans="1:50" x14ac:dyDescent="0.25">
      <c r="A62" s="82" t="s">
        <v>404</v>
      </c>
      <c r="B62" s="71">
        <f>'TCD sortants série 2 (décembre)'!B16</f>
        <v>2.0618556701030907E-3</v>
      </c>
      <c r="C62" s="71">
        <f>'TCD sortants série 2 (décembre)'!C16</f>
        <v>1.066098081023454E-2</v>
      </c>
      <c r="D62" s="71">
        <f>'TCD sortants série 2 (décembre)'!D16</f>
        <v>4.0160642570281121E-3</v>
      </c>
      <c r="E62" s="73">
        <f t="shared" si="79"/>
        <v>5.5796335791219141E-3</v>
      </c>
      <c r="F62" s="71">
        <f>'TCD sortants série 2 (décembre)'!F16</f>
        <v>0.95597484276729561</v>
      </c>
      <c r="G62" s="71">
        <f>'TCD sortants série 2 (décembre)'!G16</f>
        <v>0.94965675057208232</v>
      </c>
      <c r="H62" s="71">
        <f>'TCD sortants série 2 (décembre)'!H16</f>
        <v>0.92354740061162077</v>
      </c>
      <c r="I62" s="73">
        <f t="shared" si="80"/>
        <v>0.94305966465033286</v>
      </c>
      <c r="J62" s="71">
        <f>'TCD sortants série 2 (décembre)'!J16</f>
        <v>0</v>
      </c>
      <c r="K62" s="71">
        <f>'TCD sortants série 2 (décembre)'!K16</f>
        <v>4.424778761061946E-3</v>
      </c>
      <c r="L62" s="71">
        <f>'TCD sortants série 2 (décembre)'!L16</f>
        <v>2.3094688221709015E-3</v>
      </c>
      <c r="M62" s="73">
        <f t="shared" si="81"/>
        <v>2.2447491944109495E-3</v>
      </c>
      <c r="N62" s="71">
        <f>'TCD sortants série 2 (décembre)'!N16</f>
        <v>0</v>
      </c>
      <c r="O62" s="71">
        <f>'TCD sortants série 2 (décembre)'!O16</f>
        <v>1.5170670037926682E-2</v>
      </c>
      <c r="P62" s="71">
        <f>'TCD sortants série 2 (décembre)'!P16</f>
        <v>0</v>
      </c>
      <c r="Q62" s="73">
        <f t="shared" si="82"/>
        <v>5.0568900126422272E-3</v>
      </c>
      <c r="R62" s="71">
        <f>'TCD sortants série 2 (décembre)'!R16</f>
        <v>0</v>
      </c>
      <c r="S62" s="71">
        <f>'TCD sortants série 2 (décembre)'!S16</f>
        <v>0</v>
      </c>
      <c r="T62" s="71">
        <f>'TCD sortants série 2 (décembre)'!T16</f>
        <v>0</v>
      </c>
      <c r="U62" s="73">
        <f t="shared" si="83"/>
        <v>0</v>
      </c>
      <c r="V62" s="71">
        <f>'TCD sortants série 2 (décembre)'!V16</f>
        <v>0</v>
      </c>
      <c r="W62" s="71">
        <f>'TCD sortants série 2 (décembre)'!W16</f>
        <v>0</v>
      </c>
      <c r="X62" s="71">
        <f>'TCD sortants série 2 (décembre)'!X16</f>
        <v>7.3099415204678359E-3</v>
      </c>
      <c r="Y62" s="73">
        <f t="shared" si="84"/>
        <v>2.4366471734892786E-3</v>
      </c>
      <c r="Z62" s="71">
        <f>'TCD sortants série 2 (décembre)'!Z16</f>
        <v>0</v>
      </c>
      <c r="AA62" s="71">
        <f>'TCD sortants série 2 (décembre)'!AA16</f>
        <v>0</v>
      </c>
      <c r="AB62" s="71">
        <f>'TCD sortants série 2 (décembre)'!AB16</f>
        <v>0</v>
      </c>
      <c r="AC62" s="73">
        <f t="shared" si="85"/>
        <v>0</v>
      </c>
      <c r="AD62" s="71">
        <f>'TCD sortants série 2 (décembre)'!AD16</f>
        <v>0</v>
      </c>
      <c r="AE62" s="71">
        <f>'TCD sortants série 2 (décembre)'!AE16</f>
        <v>0</v>
      </c>
      <c r="AF62" s="71">
        <f>'TCD sortants série 2 (décembre)'!AF16</f>
        <v>1.3495276653171392E-3</v>
      </c>
      <c r="AG62" s="73">
        <f t="shared" si="86"/>
        <v>4.4984255510571307E-4</v>
      </c>
      <c r="AH62" s="71">
        <f>'TCD sortants série 2 (décembre)'!AH16</f>
        <v>3.6553524804177569E-2</v>
      </c>
      <c r="AI62" s="71">
        <f>'TCD sortants série 2 (décembre)'!AI16</f>
        <v>0.1139240506329114</v>
      </c>
      <c r="AJ62" s="71">
        <f>'TCD sortants série 2 (décembre)'!AJ16</f>
        <v>0.1081081081081081</v>
      </c>
      <c r="AK62" s="73">
        <f t="shared" si="87"/>
        <v>8.6195227848399017E-2</v>
      </c>
      <c r="AL62" s="71">
        <f>'TCD sortants série 2 (décembre)'!AL16</f>
        <v>3.378378378378376E-3</v>
      </c>
      <c r="AM62" s="71">
        <f>'TCD sortants série 2 (décembre)'!AM16</f>
        <v>4.901960784313728E-3</v>
      </c>
      <c r="AN62" s="71">
        <f>'TCD sortants série 2 (décembre)'!AN16</f>
        <v>6.0422960725075555E-3</v>
      </c>
      <c r="AO62" s="73">
        <f t="shared" si="88"/>
        <v>4.7742117450665532E-3</v>
      </c>
      <c r="AP62" s="71">
        <f>'TCD sortants série 2 (décembre)'!AP16</f>
        <v>1.0845986984815603E-3</v>
      </c>
      <c r="AQ62" s="71">
        <f>'TCD sortants série 2 (décembre)'!AQ16</f>
        <v>2.3391812865497076E-3</v>
      </c>
      <c r="AR62" s="71">
        <f>'TCD sortants série 2 (décembre)'!AR16</f>
        <v>2.2222222222222222E-3</v>
      </c>
      <c r="AS62" s="73">
        <f t="shared" si="89"/>
        <v>1.8820007357511633E-3</v>
      </c>
      <c r="AT62" s="71">
        <f>'TCD sortants série 2 (décembre)'!AT16</f>
        <v>3.9100684261974576E-3</v>
      </c>
      <c r="AU62" s="71">
        <f>'TCD sortants série 2 (décembre)'!AU16</f>
        <v>0</v>
      </c>
      <c r="AV62" s="71">
        <f>'TCD sortants série 2 (décembre)'!AV16</f>
        <v>0</v>
      </c>
      <c r="AW62" s="73">
        <f t="shared" si="90"/>
        <v>1.3033561420658193E-3</v>
      </c>
      <c r="AX62" s="71">
        <f>'TCD sortants série 2 (décembre)'!AX16</f>
        <v>8.1766148814390747E-4</v>
      </c>
    </row>
    <row r="63" spans="1:50" x14ac:dyDescent="0.25">
      <c r="A63" s="82" t="s">
        <v>10</v>
      </c>
      <c r="B63" s="71">
        <f>'TCD sortants série 2 (décembre)'!B17</f>
        <v>0.4247422680412371</v>
      </c>
      <c r="C63" s="71">
        <f>'TCD sortants série 2 (décembre)'!C17</f>
        <v>0.5330490405117273</v>
      </c>
      <c r="D63" s="71">
        <f>'TCD sortants série 2 (décembre)'!D17</f>
        <v>0.51807228915662629</v>
      </c>
      <c r="E63" s="73">
        <f t="shared" si="79"/>
        <v>0.49195453256986355</v>
      </c>
      <c r="F63" s="71">
        <f>'TCD sortants série 2 (décembre)'!F17</f>
        <v>1.2578616352201217E-2</v>
      </c>
      <c r="G63" s="71">
        <f>'TCD sortants série 2 (décembre)'!G17</f>
        <v>1.3729977116704829E-2</v>
      </c>
      <c r="H63" s="71">
        <f>'TCD sortants série 2 (décembre)'!H17</f>
        <v>1.834862385321084E-2</v>
      </c>
      <c r="I63" s="73">
        <f t="shared" si="80"/>
        <v>1.4885739107372295E-2</v>
      </c>
      <c r="J63" s="71">
        <f>'TCD sortants série 2 (décembre)'!J17</f>
        <v>1.9966722129783742E-2</v>
      </c>
      <c r="K63" s="71">
        <f>'TCD sortants série 2 (décembre)'!K17</f>
        <v>4.5353982300885047E-2</v>
      </c>
      <c r="L63" s="71">
        <f>'TCD sortants série 2 (décembre)'!L17</f>
        <v>5.7736720554272529E-2</v>
      </c>
      <c r="M63" s="73">
        <f t="shared" si="81"/>
        <v>4.1019141661647107E-2</v>
      </c>
      <c r="N63" s="71">
        <f>'TCD sortants série 2 (décembre)'!N17</f>
        <v>5.4363376251788234E-2</v>
      </c>
      <c r="O63" s="71">
        <f>'TCD sortants série 2 (décembre)'!O17</f>
        <v>0.102402022756005</v>
      </c>
      <c r="P63" s="71">
        <f>'TCD sortants série 2 (décembre)'!P17</f>
        <v>0.12011577424023162</v>
      </c>
      <c r="Q63" s="73">
        <f t="shared" si="82"/>
        <v>9.2293724416008291E-2</v>
      </c>
      <c r="R63" s="71">
        <f>'TCD sortants série 2 (décembre)'!R17</f>
        <v>2.952380952380947E-2</v>
      </c>
      <c r="S63" s="71">
        <f>'TCD sortants série 2 (décembre)'!S17</f>
        <v>2.7442371020856209E-2</v>
      </c>
      <c r="T63" s="71">
        <f>'TCD sortants série 2 (décembre)'!T17</f>
        <v>1.3307984790874508E-2</v>
      </c>
      <c r="U63" s="73">
        <f t="shared" si="83"/>
        <v>2.3424721778513399E-2</v>
      </c>
      <c r="V63" s="71">
        <f>'TCD sortants série 2 (décembre)'!V17</f>
        <v>2.1052631578947358E-2</v>
      </c>
      <c r="W63" s="71">
        <f>'TCD sortants série 2 (décembre)'!W17</f>
        <v>2.0040080160320223E-3</v>
      </c>
      <c r="X63" s="71">
        <f>'TCD sortants série 2 (décembre)'!X17</f>
        <v>5.8479532163742687E-2</v>
      </c>
      <c r="Y63" s="73">
        <f t="shared" si="84"/>
        <v>2.7178723919574019E-2</v>
      </c>
      <c r="Z63" s="71">
        <f>'TCD sortants série 2 (décembre)'!Z17</f>
        <v>7.1599045346062047E-3</v>
      </c>
      <c r="AA63" s="71">
        <f>'TCD sortants série 2 (décembre)'!AA17</f>
        <v>6.8493150684931503E-3</v>
      </c>
      <c r="AB63" s="71">
        <f>'TCD sortants série 2 (décembre)'!AB17</f>
        <v>7.4231177094379649E-3</v>
      </c>
      <c r="AC63" s="73">
        <f t="shared" si="85"/>
        <v>7.1441124375124397E-3</v>
      </c>
      <c r="AD63" s="71">
        <f>'TCD sortants série 2 (décembre)'!AD17</f>
        <v>5.7377049180327808E-2</v>
      </c>
      <c r="AE63" s="71">
        <f>'TCD sortants série 2 (décembre)'!AE17</f>
        <v>1.1029411764705779E-2</v>
      </c>
      <c r="AF63" s="71">
        <f>'TCD sortants série 2 (décembre)'!AF17</f>
        <v>8.3670715249662561E-2</v>
      </c>
      <c r="AG63" s="73">
        <f t="shared" si="86"/>
        <v>5.0692392064898707E-2</v>
      </c>
      <c r="AH63" s="71">
        <f>'TCD sortants série 2 (décembre)'!AH17</f>
        <v>6.788511749347248E-2</v>
      </c>
      <c r="AI63" s="71">
        <f>'TCD sortants série 2 (décembre)'!AI17</f>
        <v>3.3755274261603269E-2</v>
      </c>
      <c r="AJ63" s="71">
        <f>'TCD sortants série 2 (décembre)'!AJ17</f>
        <v>4.2042042042041809E-2</v>
      </c>
      <c r="AK63" s="73">
        <f t="shared" si="87"/>
        <v>4.7894144599039186E-2</v>
      </c>
      <c r="AL63" s="71">
        <f>'TCD sortants série 2 (décembre)'!AL17</f>
        <v>0.15202702702702714</v>
      </c>
      <c r="AM63" s="71">
        <f>'TCD sortants série 2 (décembre)'!AM17</f>
        <v>0.20098039215686289</v>
      </c>
      <c r="AN63" s="71">
        <f>'TCD sortants série 2 (décembre)'!AN17</f>
        <v>0.22960725075528698</v>
      </c>
      <c r="AO63" s="73">
        <f t="shared" si="88"/>
        <v>0.19420488997972565</v>
      </c>
      <c r="AP63" s="71">
        <f>'TCD sortants série 2 (décembre)'!AP17</f>
        <v>5.2060737527114938E-2</v>
      </c>
      <c r="AQ63" s="71">
        <f>'TCD sortants série 2 (décembre)'!AQ17</f>
        <v>3.6257309941520453E-2</v>
      </c>
      <c r="AR63" s="71">
        <f>'TCD sortants série 2 (décembre)'!AR17</f>
        <v>1.0000000000000066E-2</v>
      </c>
      <c r="AS63" s="73">
        <f t="shared" si="89"/>
        <v>3.2772682489545152E-2</v>
      </c>
      <c r="AT63" s="71">
        <f>'TCD sortants série 2 (décembre)'!AT17</f>
        <v>0.10459433040078196</v>
      </c>
      <c r="AU63" s="71">
        <f>'TCD sortants série 2 (décembre)'!AU17</f>
        <v>3.9761431411530816E-2</v>
      </c>
      <c r="AV63" s="71">
        <f>'TCD sortants série 2 (décembre)'!AV17</f>
        <v>5.4151624548736448E-2</v>
      </c>
      <c r="AW63" s="73">
        <f t="shared" si="90"/>
        <v>6.6169128787016404E-2</v>
      </c>
      <c r="AX63" s="71">
        <f>'TCD sortants série 2 (décembre)'!AX17</f>
        <v>8.421913327882255E-2</v>
      </c>
    </row>
    <row r="64" spans="1:50" x14ac:dyDescent="0.25">
      <c r="A64" s="83" t="s">
        <v>31</v>
      </c>
      <c r="B64" s="77">
        <f>SUM(B52:B63)</f>
        <v>1</v>
      </c>
      <c r="C64" s="78">
        <f t="shared" ref="C64:E64" si="91">SUM(C52:C63)</f>
        <v>1</v>
      </c>
      <c r="D64" s="78">
        <f t="shared" si="91"/>
        <v>1</v>
      </c>
      <c r="E64" s="79">
        <f t="shared" si="91"/>
        <v>1</v>
      </c>
      <c r="F64" s="77">
        <f>SUM(F52:F63)</f>
        <v>1</v>
      </c>
      <c r="G64" s="78">
        <f t="shared" ref="G64:I64" si="92">SUM(G52:G63)</f>
        <v>1</v>
      </c>
      <c r="H64" s="78">
        <f t="shared" si="92"/>
        <v>0.99999999999999989</v>
      </c>
      <c r="I64" s="79">
        <f t="shared" si="92"/>
        <v>0.99999999999999989</v>
      </c>
      <c r="J64" s="77">
        <f>SUM(J52:J63)</f>
        <v>1</v>
      </c>
      <c r="K64" s="78">
        <f t="shared" ref="K64:M64" si="93">SUM(K52:K63)</f>
        <v>1</v>
      </c>
      <c r="L64" s="78">
        <f t="shared" si="93"/>
        <v>1</v>
      </c>
      <c r="M64" s="79">
        <f t="shared" si="93"/>
        <v>1</v>
      </c>
      <c r="N64" s="77">
        <f>SUM(N52:N63)</f>
        <v>0.99999999999999989</v>
      </c>
      <c r="O64" s="78">
        <f t="shared" ref="O64:Q64" si="94">SUM(O52:O63)</f>
        <v>1.0000000000000002</v>
      </c>
      <c r="P64" s="78">
        <f t="shared" si="94"/>
        <v>1</v>
      </c>
      <c r="Q64" s="79">
        <f t="shared" si="94"/>
        <v>1.0000000000000002</v>
      </c>
      <c r="R64" s="77">
        <f>SUM(R52:R63)</f>
        <v>1</v>
      </c>
      <c r="S64" s="78">
        <f t="shared" ref="S64:U64" si="95">SUM(S52:S63)</f>
        <v>1</v>
      </c>
      <c r="T64" s="78">
        <f t="shared" si="95"/>
        <v>1</v>
      </c>
      <c r="U64" s="79">
        <f t="shared" si="95"/>
        <v>1.0000000000000002</v>
      </c>
      <c r="V64" s="77">
        <f>SUM(V52:V63)</f>
        <v>0.99999999999999989</v>
      </c>
      <c r="W64" s="78">
        <f t="shared" ref="W64:Y64" si="96">SUM(W52:W63)</f>
        <v>1</v>
      </c>
      <c r="X64" s="78">
        <f t="shared" si="96"/>
        <v>0.99999999999999978</v>
      </c>
      <c r="Y64" s="79">
        <f t="shared" si="96"/>
        <v>0.99999999999999989</v>
      </c>
      <c r="Z64" s="77">
        <f>SUM(Z52:Z63)</f>
        <v>1</v>
      </c>
      <c r="AA64" s="78">
        <f t="shared" ref="AA64:AC64" si="97">SUM(AA52:AA63)</f>
        <v>1</v>
      </c>
      <c r="AB64" s="78">
        <f t="shared" si="97"/>
        <v>1</v>
      </c>
      <c r="AC64" s="79">
        <f t="shared" si="97"/>
        <v>1</v>
      </c>
      <c r="AD64" s="77">
        <f>SUM(AD52:AD63)</f>
        <v>0.99999999999999989</v>
      </c>
      <c r="AE64" s="78">
        <f t="shared" ref="AE64:AG64" si="98">SUM(AE52:AE63)</f>
        <v>1</v>
      </c>
      <c r="AF64" s="78">
        <f t="shared" si="98"/>
        <v>0.99999999999999989</v>
      </c>
      <c r="AG64" s="79">
        <f t="shared" si="98"/>
        <v>0.99999999999999989</v>
      </c>
      <c r="AH64" s="77">
        <f>SUM(AH52:AH63)</f>
        <v>1</v>
      </c>
      <c r="AI64" s="78">
        <f t="shared" ref="AI64:AK64" si="99">SUM(AI52:AI63)</f>
        <v>1</v>
      </c>
      <c r="AJ64" s="78">
        <f t="shared" si="99"/>
        <v>0.99999999999999989</v>
      </c>
      <c r="AK64" s="79">
        <f t="shared" si="99"/>
        <v>1.0000000000000002</v>
      </c>
      <c r="AL64" s="77">
        <f>SUM(AL52:AL63)</f>
        <v>1</v>
      </c>
      <c r="AM64" s="78">
        <f t="shared" ref="AM64:AO64" si="100">SUM(AM52:AM63)</f>
        <v>1</v>
      </c>
      <c r="AN64" s="78">
        <f t="shared" si="100"/>
        <v>0.99999999999999989</v>
      </c>
      <c r="AO64" s="79">
        <f t="shared" si="100"/>
        <v>0.99999999999999989</v>
      </c>
      <c r="AP64" s="77">
        <f>SUM(AP52:AP63)</f>
        <v>1</v>
      </c>
      <c r="AQ64" s="78">
        <f t="shared" ref="AQ64:AS64" si="101">SUM(AQ52:AQ63)</f>
        <v>0.99999999999999989</v>
      </c>
      <c r="AR64" s="78">
        <f t="shared" si="101"/>
        <v>1</v>
      </c>
      <c r="AS64" s="79">
        <f t="shared" si="101"/>
        <v>0.99999999999999989</v>
      </c>
      <c r="AT64" s="77">
        <f>SUM(AT52:AT63)</f>
        <v>1</v>
      </c>
      <c r="AU64" s="78">
        <f t="shared" ref="AU64:AW64" si="102">SUM(AU52:AU63)</f>
        <v>1</v>
      </c>
      <c r="AV64" s="78">
        <f t="shared" si="102"/>
        <v>1</v>
      </c>
      <c r="AW64" s="79">
        <f t="shared" si="102"/>
        <v>0.99999999999999989</v>
      </c>
      <c r="AX64" s="77">
        <f>SUM(AX52:AX63)</f>
        <v>1</v>
      </c>
    </row>
    <row r="65" spans="1:50" s="80" customFormat="1" ht="119.45" customHeight="1" thickBot="1" x14ac:dyDescent="0.3">
      <c r="A65" s="89" t="s">
        <v>64</v>
      </c>
      <c r="B65" s="84"/>
      <c r="C65" s="85"/>
      <c r="D65" s="86"/>
      <c r="E65" s="88"/>
      <c r="F65" s="87" t="s">
        <v>405</v>
      </c>
      <c r="G65" s="85" t="s">
        <v>406</v>
      </c>
      <c r="H65" s="86" t="s">
        <v>407</v>
      </c>
      <c r="I65" s="88"/>
      <c r="J65" s="84"/>
      <c r="K65" s="99" t="s">
        <v>402</v>
      </c>
      <c r="L65" s="91" t="s">
        <v>408</v>
      </c>
      <c r="M65" s="88"/>
      <c r="N65" s="87" t="s">
        <v>403</v>
      </c>
      <c r="O65" s="85"/>
      <c r="P65" s="91" t="s">
        <v>412</v>
      </c>
      <c r="Q65" s="88"/>
      <c r="R65" s="84"/>
      <c r="S65" s="85"/>
      <c r="T65" s="86"/>
      <c r="U65" s="88"/>
      <c r="V65" s="87" t="s">
        <v>409</v>
      </c>
      <c r="W65" s="85"/>
      <c r="X65" s="86"/>
      <c r="Y65" s="88"/>
      <c r="Z65" s="84"/>
      <c r="AA65" s="85"/>
      <c r="AB65" s="86"/>
      <c r="AC65" s="88"/>
      <c r="AD65" s="84"/>
      <c r="AE65" s="85"/>
      <c r="AF65" s="86"/>
      <c r="AG65" s="88"/>
      <c r="AH65" s="84"/>
      <c r="AI65" s="85"/>
      <c r="AJ65" s="86"/>
      <c r="AK65" s="88"/>
      <c r="AL65" s="87"/>
      <c r="AM65" s="85"/>
      <c r="AN65" s="86"/>
      <c r="AO65" s="88"/>
      <c r="AP65" s="87" t="s">
        <v>411</v>
      </c>
      <c r="AQ65" s="85"/>
      <c r="AR65" s="91"/>
      <c r="AS65" s="88"/>
      <c r="AT65" s="87" t="s">
        <v>413</v>
      </c>
      <c r="AU65" s="85"/>
      <c r="AV65" s="91" t="s">
        <v>414</v>
      </c>
      <c r="AW65" s="88"/>
      <c r="AX65" s="81"/>
    </row>
    <row r="68" spans="1:50" x14ac:dyDescent="0.25">
      <c r="B68" s="50" t="str">
        <f>B51</f>
        <v>Refus_4</v>
      </c>
      <c r="C68" s="50" t="str">
        <f>C51</f>
        <v>Refus_5</v>
      </c>
      <c r="D68" s="50" t="str">
        <f>D51</f>
        <v>Refus_6</v>
      </c>
      <c r="F68" s="50" t="str">
        <f>F51</f>
        <v>PET_clair_4</v>
      </c>
      <c r="G68" s="50" t="str">
        <f>G51</f>
        <v>PET_clair_5</v>
      </c>
      <c r="H68" s="50" t="str">
        <f>H51</f>
        <v>PET_clair_6</v>
      </c>
      <c r="J68" s="50" t="str">
        <f>J51</f>
        <v>EMR_4</v>
      </c>
      <c r="K68" s="50" t="str">
        <f>K51</f>
        <v>EMR_5</v>
      </c>
      <c r="L68" s="50" t="str">
        <f>L51</f>
        <v>EMR_6</v>
      </c>
      <c r="N68" s="50" t="str">
        <f>N51</f>
        <v>PCM_4</v>
      </c>
      <c r="O68" s="50" t="str">
        <f>O51</f>
        <v>PCM_5</v>
      </c>
      <c r="P68" s="50" t="str">
        <f>P51</f>
        <v>PCM_6</v>
      </c>
      <c r="R68" s="50" t="str">
        <f>R51</f>
        <v>JRM_4</v>
      </c>
      <c r="S68" s="50" t="str">
        <f>S51</f>
        <v>JRM_5</v>
      </c>
      <c r="T68" s="50" t="str">
        <f>T51</f>
        <v>JRM_6</v>
      </c>
      <c r="V68" s="50" t="str">
        <f>V51</f>
        <v>Gros_cartons_4</v>
      </c>
      <c r="W68" s="50" t="str">
        <f>W51</f>
        <v>Gros_cartons_5</v>
      </c>
      <c r="X68" s="50" t="str">
        <f>X51</f>
        <v>Gros_cartons_6</v>
      </c>
      <c r="Z68" s="50" t="str">
        <f>Z51</f>
        <v>ELA_4</v>
      </c>
      <c r="AA68" s="50" t="str">
        <f>AA51</f>
        <v>ELA_5</v>
      </c>
      <c r="AB68" s="50" t="str">
        <f>AB51</f>
        <v>ELA_6</v>
      </c>
      <c r="AD68" s="50" t="str">
        <f>AD51</f>
        <v>PEHD/PP_4</v>
      </c>
      <c r="AE68" s="50" t="str">
        <f>AE51</f>
        <v>PEHD/PP_5</v>
      </c>
      <c r="AF68" s="50" t="str">
        <f>AF51</f>
        <v>PEHD/PP_6</v>
      </c>
      <c r="AH68" s="50" t="str">
        <f>AH51</f>
        <v>FLUX_DEV_4</v>
      </c>
      <c r="AI68" s="50" t="str">
        <f>AI51</f>
        <v>FLUX_DEV_5</v>
      </c>
      <c r="AJ68" s="50" t="str">
        <f>AJ51</f>
        <v>FLUX_DEV_6</v>
      </c>
      <c r="AL68" s="50" t="str">
        <f>AL51</f>
        <v>FILM_PE_4</v>
      </c>
      <c r="AM68" s="50" t="str">
        <f>AM51</f>
        <v>FILM_PE_5</v>
      </c>
      <c r="AN68" s="50" t="str">
        <f>AN51</f>
        <v>FILM_PE_6</v>
      </c>
      <c r="AP68" s="50" t="str">
        <f>AP51</f>
        <v>Acier_4</v>
      </c>
      <c r="AQ68" s="50" t="str">
        <f>AQ51</f>
        <v>Acier_5</v>
      </c>
      <c r="AR68" s="50" t="str">
        <f>AR51</f>
        <v>Acier_6</v>
      </c>
      <c r="AT68" s="50" t="str">
        <f>AT51</f>
        <v>Aluminium_4</v>
      </c>
      <c r="AU68" s="50" t="str">
        <f>AU51</f>
        <v>Aluminium_5</v>
      </c>
      <c r="AV68" s="50" t="str">
        <f>AV51</f>
        <v>Aluminium_6</v>
      </c>
    </row>
    <row r="69" spans="1:50" x14ac:dyDescent="0.25">
      <c r="A69" s="55" t="s">
        <v>33</v>
      </c>
      <c r="B69" s="51">
        <f>B63</f>
        <v>0.4247422680412371</v>
      </c>
      <c r="C69" s="51">
        <f>C63</f>
        <v>0.5330490405117273</v>
      </c>
      <c r="D69" s="51">
        <f>D63</f>
        <v>0.51807228915662629</v>
      </c>
      <c r="F69" s="51">
        <f>F63</f>
        <v>1.2578616352201217E-2</v>
      </c>
      <c r="G69" s="51">
        <f>G63</f>
        <v>1.3729977116704829E-2</v>
      </c>
      <c r="H69" s="51">
        <f>H63</f>
        <v>1.834862385321084E-2</v>
      </c>
      <c r="J69" s="51">
        <f>J63</f>
        <v>1.9966722129783742E-2</v>
      </c>
      <c r="K69" s="51">
        <f>K63</f>
        <v>4.5353982300885047E-2</v>
      </c>
      <c r="L69" s="51">
        <f>L63</f>
        <v>5.7736720554272529E-2</v>
      </c>
      <c r="N69" s="51">
        <f>N63</f>
        <v>5.4363376251788234E-2</v>
      </c>
      <c r="O69" s="51">
        <f>O63</f>
        <v>0.102402022756005</v>
      </c>
      <c r="P69" s="51">
        <f>P63</f>
        <v>0.12011577424023162</v>
      </c>
      <c r="R69" s="51">
        <f>R63</f>
        <v>2.952380952380947E-2</v>
      </c>
      <c r="S69" s="51">
        <f>S63</f>
        <v>2.7442371020856209E-2</v>
      </c>
      <c r="T69" s="51">
        <f>T63</f>
        <v>1.3307984790874508E-2</v>
      </c>
      <c r="V69" s="51">
        <f>V63</f>
        <v>2.1052631578947358E-2</v>
      </c>
      <c r="W69" s="51">
        <f>W63</f>
        <v>2.0040080160320223E-3</v>
      </c>
      <c r="X69" s="51">
        <f>X63</f>
        <v>5.8479532163742687E-2</v>
      </c>
      <c r="Z69" s="51">
        <f>Z63</f>
        <v>7.1599045346062047E-3</v>
      </c>
      <c r="AA69" s="51">
        <f>AA63</f>
        <v>6.8493150684931503E-3</v>
      </c>
      <c r="AB69" s="51">
        <f>AB63</f>
        <v>7.4231177094379649E-3</v>
      </c>
      <c r="AD69" s="51">
        <f>AD63</f>
        <v>5.7377049180327808E-2</v>
      </c>
      <c r="AE69" s="51">
        <f>AE63</f>
        <v>1.1029411764705779E-2</v>
      </c>
      <c r="AF69" s="51">
        <f>AF63</f>
        <v>8.3670715249662561E-2</v>
      </c>
      <c r="AH69" s="51">
        <f>AH63</f>
        <v>6.788511749347248E-2</v>
      </c>
      <c r="AI69" s="51">
        <f>AI63</f>
        <v>3.3755274261603269E-2</v>
      </c>
      <c r="AJ69" s="51">
        <f>AJ63</f>
        <v>4.2042042042041809E-2</v>
      </c>
      <c r="AL69" s="51">
        <f>AL63</f>
        <v>0.15202702702702714</v>
      </c>
      <c r="AM69" s="51">
        <f>AM63</f>
        <v>0.20098039215686289</v>
      </c>
      <c r="AN69" s="51">
        <f>AN63</f>
        <v>0.22960725075528698</v>
      </c>
      <c r="AP69" s="51">
        <f>AP63</f>
        <v>5.2060737527114938E-2</v>
      </c>
      <c r="AQ69" s="51">
        <f>AQ63</f>
        <v>3.6257309941520453E-2</v>
      </c>
      <c r="AR69" s="51">
        <f>AR63</f>
        <v>1.0000000000000066E-2</v>
      </c>
      <c r="AT69" s="51">
        <f>AT63</f>
        <v>0.10459433040078196</v>
      </c>
      <c r="AU69" s="51">
        <f>AU63</f>
        <v>3.9761431411530816E-2</v>
      </c>
      <c r="AV69" s="51">
        <f>AV63</f>
        <v>5.4151624548736448E-2</v>
      </c>
    </row>
    <row r="70" spans="1:50" x14ac:dyDescent="0.25">
      <c r="A70" s="68" t="s">
        <v>62</v>
      </c>
      <c r="B70" s="51">
        <f>100%-B69</f>
        <v>0.57525773195876284</v>
      </c>
      <c r="C70" s="51">
        <f t="shared" ref="C70:D70" si="103">100%-C69</f>
        <v>0.4669509594882727</v>
      </c>
      <c r="D70" s="51">
        <f t="shared" si="103"/>
        <v>0.48192771084337371</v>
      </c>
      <c r="F70" s="51">
        <f>100%-F69-F71</f>
        <v>3.1446540880503138E-2</v>
      </c>
      <c r="G70" s="51">
        <f t="shared" ref="G70:H70" si="104">100%-G69-G71</f>
        <v>3.6613272311212808E-2</v>
      </c>
      <c r="H70" s="51">
        <f t="shared" si="104"/>
        <v>5.8103975535168439E-2</v>
      </c>
      <c r="J70" s="51">
        <f>100%-J69-J71</f>
        <v>3.8269550748752046E-2</v>
      </c>
      <c r="K70" s="51">
        <f t="shared" ref="K70:L70" si="105">100%-K69-K71</f>
        <v>0.13053097345132736</v>
      </c>
      <c r="L70" s="51">
        <f t="shared" si="105"/>
        <v>0.13625866050808322</v>
      </c>
      <c r="N70" s="51">
        <f>100%-N69-N71</f>
        <v>0.10872675250357644</v>
      </c>
      <c r="O70" s="51">
        <f t="shared" ref="O70:P70" si="106">100%-O69-O71</f>
        <v>0.18710493046776222</v>
      </c>
      <c r="P70" s="51">
        <f t="shared" si="106"/>
        <v>0.15195369030390726</v>
      </c>
      <c r="R70" s="51">
        <f>100%-R69-R71</f>
        <v>0.26761904761904753</v>
      </c>
      <c r="S70" s="51">
        <f t="shared" ref="S70:T70" si="107">100%-S69-S71</f>
        <v>0.21734357848518115</v>
      </c>
      <c r="T70" s="51">
        <f t="shared" si="107"/>
        <v>3.2319391634981098E-2</v>
      </c>
      <c r="V70" s="51">
        <f>100%-V69-V71</f>
        <v>1.4035087719298289E-2</v>
      </c>
      <c r="W70" s="51">
        <f t="shared" ref="W70:X70" si="108">100%-W69-W71</f>
        <v>3.0060120240480881E-2</v>
      </c>
      <c r="X70" s="51">
        <f t="shared" si="108"/>
        <v>0.17397660818713456</v>
      </c>
      <c r="Z70" s="51">
        <f>100%-Z69-Z71</f>
        <v>3.5799522673030992E-2</v>
      </c>
      <c r="AA70" s="51">
        <f t="shared" ref="AA70:AB70" si="109">100%-AA69-AA71</f>
        <v>3.6529680365296802E-2</v>
      </c>
      <c r="AB70" s="51">
        <f t="shared" si="109"/>
        <v>2.6511134676564074E-2</v>
      </c>
      <c r="AD70" s="51">
        <f>100%-AD69-AD71</f>
        <v>9.8360655737705027E-2</v>
      </c>
      <c r="AE70" s="51">
        <f t="shared" ref="AE70:AF70" si="110">100%-AE69-AE71</f>
        <v>6.25E-2</v>
      </c>
      <c r="AF70" s="51">
        <f t="shared" si="110"/>
        <v>0.17139001349527683</v>
      </c>
      <c r="AH70" s="51">
        <f>100%-AH69-AH71</f>
        <v>0.11488250652741516</v>
      </c>
      <c r="AI70" s="51">
        <f t="shared" ref="AI70:AJ70" si="111">100%-AI69-AI71</f>
        <v>0.20253164556962033</v>
      </c>
      <c r="AJ70" s="51">
        <f t="shared" si="111"/>
        <v>0.16516516516516533</v>
      </c>
      <c r="AL70" s="51">
        <f>100%-AL69-AL71</f>
        <v>9.4594594594594517E-2</v>
      </c>
      <c r="AM70" s="51">
        <f t="shared" ref="AM70:AN70" si="112">100%-AM69-AM71</f>
        <v>0.12254901960784281</v>
      </c>
      <c r="AN70" s="51">
        <f t="shared" si="112"/>
        <v>9.9697885196374569E-2</v>
      </c>
      <c r="AP70" s="51">
        <f>100%-AP69-AP71</f>
        <v>1.6268980477223471E-2</v>
      </c>
      <c r="AQ70" s="51">
        <f t="shared" ref="AQ70:AR70" si="113">100%-AQ69-AQ71</f>
        <v>4.3274853801169577E-2</v>
      </c>
      <c r="AR70" s="51">
        <f t="shared" si="113"/>
        <v>1.3333333333333197E-2</v>
      </c>
      <c r="AT70" s="51">
        <f>100%-AT69-AT71</f>
        <v>0.11827956989247301</v>
      </c>
      <c r="AU70" s="51">
        <f t="shared" ref="AU70:AV70" si="114">100%-AU69-AU71</f>
        <v>7.5546719681908514E-2</v>
      </c>
      <c r="AV70" s="51">
        <f t="shared" si="114"/>
        <v>9.5066185318892882E-2</v>
      </c>
    </row>
    <row r="71" spans="1:50" x14ac:dyDescent="0.25">
      <c r="A71" s="56" t="s">
        <v>63</v>
      </c>
      <c r="B71" s="51"/>
      <c r="C71" s="51"/>
      <c r="D71" s="51"/>
      <c r="F71" s="51">
        <f>F62</f>
        <v>0.95597484276729561</v>
      </c>
      <c r="G71" s="51">
        <f t="shared" ref="G71:H71" si="115">G62</f>
        <v>0.94965675057208232</v>
      </c>
      <c r="H71" s="51">
        <f t="shared" si="115"/>
        <v>0.92354740061162077</v>
      </c>
      <c r="J71" s="51">
        <f>J56</f>
        <v>0.94176372712146417</v>
      </c>
      <c r="K71" s="51">
        <f t="shared" ref="K71:L71" si="116">K56</f>
        <v>0.82411504424778759</v>
      </c>
      <c r="L71" s="51">
        <f t="shared" si="116"/>
        <v>0.8060046189376443</v>
      </c>
      <c r="N71" s="51">
        <f>N60</f>
        <v>0.83690987124463534</v>
      </c>
      <c r="O71" s="51">
        <f t="shared" ref="O71:P71" si="117">O60</f>
        <v>0.71049304677623282</v>
      </c>
      <c r="P71" s="51">
        <f t="shared" si="117"/>
        <v>0.72793053545586106</v>
      </c>
      <c r="R71" s="51">
        <f>R59</f>
        <v>0.70285714285714296</v>
      </c>
      <c r="S71" s="51">
        <f t="shared" ref="S71:T71" si="118">S59</f>
        <v>0.75521405049396262</v>
      </c>
      <c r="T71" s="51">
        <f t="shared" si="118"/>
        <v>0.95437262357414443</v>
      </c>
      <c r="V71" s="51">
        <f>V56</f>
        <v>0.96491228070175439</v>
      </c>
      <c r="W71" s="51">
        <f t="shared" ref="W71:X71" si="119">W56</f>
        <v>0.96793587174348705</v>
      </c>
      <c r="X71" s="51">
        <f t="shared" si="119"/>
        <v>0.76754385964912275</v>
      </c>
      <c r="Z71" s="51">
        <f>Z55</f>
        <v>0.95704057279236276</v>
      </c>
      <c r="AA71" s="51">
        <f t="shared" ref="AA71:AB71" si="120">AA55</f>
        <v>0.95662100456621002</v>
      </c>
      <c r="AB71" s="51">
        <f t="shared" si="120"/>
        <v>0.96606574761399799</v>
      </c>
      <c r="AD71" s="51">
        <f>AD61</f>
        <v>0.84426229508196715</v>
      </c>
      <c r="AE71" s="51">
        <f t="shared" ref="AE71:AF71" si="121">AE61</f>
        <v>0.92647058823529427</v>
      </c>
      <c r="AF71" s="51">
        <f t="shared" si="121"/>
        <v>0.74493927125506065</v>
      </c>
      <c r="AH71" s="51">
        <f>AH58</f>
        <v>0.81723237597911236</v>
      </c>
      <c r="AI71" s="51">
        <f t="shared" ref="AI71:AJ71" si="122">AI58</f>
        <v>0.76371308016877637</v>
      </c>
      <c r="AJ71" s="51">
        <f t="shared" si="122"/>
        <v>0.79279279279279291</v>
      </c>
      <c r="AL71" s="51">
        <f>AL57</f>
        <v>0.75337837837837829</v>
      </c>
      <c r="AM71" s="51">
        <f t="shared" ref="AM71:AN71" si="123">AM57</f>
        <v>0.67647058823529427</v>
      </c>
      <c r="AN71" s="51">
        <f t="shared" si="123"/>
        <v>0.67069486404833845</v>
      </c>
      <c r="AP71" s="51">
        <f>AP52</f>
        <v>0.9316702819956616</v>
      </c>
      <c r="AQ71" s="51">
        <f t="shared" ref="AQ71:AR71" si="124">AQ52</f>
        <v>0.92046783625730999</v>
      </c>
      <c r="AR71" s="51">
        <f t="shared" si="124"/>
        <v>0.97666666666666668</v>
      </c>
      <c r="AT71" s="51">
        <f>AT53</f>
        <v>0.77712609970674507</v>
      </c>
      <c r="AU71" s="51">
        <f t="shared" ref="AU71:AV71" si="125">AU53</f>
        <v>0.88469184890656072</v>
      </c>
      <c r="AV71" s="51">
        <f t="shared" si="125"/>
        <v>0.85078219013237066</v>
      </c>
    </row>
    <row r="73" spans="1:50" hidden="1" outlineLevel="1" x14ac:dyDescent="0.25"/>
    <row r="74" spans="1:50" hidden="1" outlineLevel="1" x14ac:dyDescent="0.25"/>
    <row r="75" spans="1:50" hidden="1" outlineLevel="1" x14ac:dyDescent="0.25"/>
    <row r="76" spans="1:50" hidden="1" outlineLevel="1" x14ac:dyDescent="0.25"/>
    <row r="77" spans="1:50" hidden="1" outlineLevel="1" x14ac:dyDescent="0.25"/>
    <row r="78" spans="1:50" hidden="1" outlineLevel="1" x14ac:dyDescent="0.25"/>
    <row r="79" spans="1:50" hidden="1" outlineLevel="1" x14ac:dyDescent="0.25"/>
    <row r="80" spans="1:50" hidden="1" outlineLevel="1" x14ac:dyDescent="0.25"/>
    <row r="81" customFormat="1" hidden="1" outlineLevel="1" x14ac:dyDescent="0.25"/>
    <row r="82" customFormat="1" hidden="1" outlineLevel="1" x14ac:dyDescent="0.25"/>
    <row r="83" customFormat="1" hidden="1" outlineLevel="1" x14ac:dyDescent="0.25"/>
    <row r="84" customFormat="1" hidden="1" outlineLevel="1" x14ac:dyDescent="0.25"/>
    <row r="85" customFormat="1" hidden="1" outlineLevel="1" x14ac:dyDescent="0.25"/>
    <row r="86" customFormat="1" hidden="1" outlineLevel="1" x14ac:dyDescent="0.25"/>
    <row r="87" customFormat="1" hidden="1" outlineLevel="1" x14ac:dyDescent="0.25"/>
    <row r="88" customFormat="1" hidden="1" outlineLevel="1" x14ac:dyDescent="0.25"/>
    <row r="89" customFormat="1" hidden="1" outlineLevel="1" x14ac:dyDescent="0.25"/>
    <row r="90" customFormat="1" hidden="1" outlineLevel="1" x14ac:dyDescent="0.25"/>
    <row r="91" customFormat="1" hidden="1" outlineLevel="1" x14ac:dyDescent="0.25"/>
    <row r="92" customFormat="1" hidden="1" outlineLevel="1" x14ac:dyDescent="0.25"/>
    <row r="93" customFormat="1" hidden="1" outlineLevel="1" x14ac:dyDescent="0.25"/>
    <row r="94" customFormat="1" hidden="1" outlineLevel="1" x14ac:dyDescent="0.25"/>
    <row r="95" collapsed="1" x14ac:dyDescent="0.25"/>
    <row r="97" spans="1:50" ht="21" x14ac:dyDescent="0.35">
      <c r="A97" s="105" t="s">
        <v>481</v>
      </c>
      <c r="B97" s="105"/>
      <c r="C97" s="105"/>
      <c r="D97" s="105"/>
      <c r="E97" s="105"/>
      <c r="F97" s="105"/>
      <c r="G97" s="105"/>
      <c r="H97" s="105"/>
    </row>
    <row r="99" spans="1:50" ht="15.75" thickBot="1" x14ac:dyDescent="0.3"/>
    <row r="100" spans="1:50" s="5" customFormat="1" ht="30" x14ac:dyDescent="0.25">
      <c r="B100" s="74" t="str">
        <f>'TCD sortants série 3 (janvier)'!B5</f>
        <v>Refus_7</v>
      </c>
      <c r="C100" s="75" t="str">
        <f>'TCD sortants série 3 (janvier)'!C5</f>
        <v>Refus_8</v>
      </c>
      <c r="D100" s="75" t="str">
        <f>'TCD sortants série 3 (janvier)'!D5</f>
        <v>Refus_9</v>
      </c>
      <c r="E100" s="76" t="s">
        <v>201</v>
      </c>
      <c r="F100" s="74" t="str">
        <f>'TCD sortants série 3 (janvier)'!F5</f>
        <v>PET_clair_7</v>
      </c>
      <c r="G100" s="75" t="str">
        <f>'TCD sortants série 3 (janvier)'!G5</f>
        <v>PET_clair_8</v>
      </c>
      <c r="H100" s="75" t="str">
        <f>'TCD sortants série 3 (janvier)'!H5</f>
        <v>PET_clair_9</v>
      </c>
      <c r="I100" s="76" t="s">
        <v>202</v>
      </c>
      <c r="J100" s="74" t="str">
        <f>'TCD sortants série 3 (janvier)'!J5</f>
        <v>EMR_7</v>
      </c>
      <c r="K100" s="75" t="str">
        <f>'TCD sortants série 3 (janvier)'!K5</f>
        <v>EMR_8</v>
      </c>
      <c r="L100" s="75" t="str">
        <f>'TCD sortants série 3 (janvier)'!L5</f>
        <v>EMR_9</v>
      </c>
      <c r="M100" s="76" t="s">
        <v>203</v>
      </c>
      <c r="N100" s="74" t="str">
        <f>'TCD sortants série 3 (janvier)'!N5</f>
        <v>PCM_7</v>
      </c>
      <c r="O100" s="75" t="str">
        <f>'TCD sortants série 3 (janvier)'!O5</f>
        <v>PCM_8</v>
      </c>
      <c r="P100" s="75" t="str">
        <f>'TCD sortants série 3 (janvier)'!P5</f>
        <v>PCM_9</v>
      </c>
      <c r="Q100" s="76" t="s">
        <v>204</v>
      </c>
      <c r="R100" s="74" t="str">
        <f>'TCD sortants série 3 (janvier)'!R5</f>
        <v>JRM_7</v>
      </c>
      <c r="S100" s="75" t="str">
        <f>'TCD sortants série 3 (janvier)'!S5</f>
        <v>JRM_8</v>
      </c>
      <c r="T100" s="75" t="str">
        <f>'TCD sortants série 3 (janvier)'!T5</f>
        <v>JRM_9</v>
      </c>
      <c r="U100" s="76" t="s">
        <v>205</v>
      </c>
      <c r="V100" s="74" t="str">
        <f>'TCD sortants série 3 (janvier)'!V5</f>
        <v>Gros_cartons_7</v>
      </c>
      <c r="W100" s="75" t="str">
        <f>'TCD sortants série 3 (janvier)'!W5</f>
        <v>Gros_cartons_8</v>
      </c>
      <c r="X100" s="75" t="str">
        <f>'TCD sortants série 3 (janvier)'!X5</f>
        <v>Gros_cartons_9</v>
      </c>
      <c r="Y100" s="76" t="s">
        <v>206</v>
      </c>
      <c r="Z100" s="74" t="str">
        <f>'TCD sortants série 3 (janvier)'!Z5</f>
        <v>ELA_7</v>
      </c>
      <c r="AA100" s="75" t="str">
        <f>'TCD sortants série 3 (janvier)'!AA5</f>
        <v>ELA_8</v>
      </c>
      <c r="AB100" s="75" t="str">
        <f>'TCD sortants série 3 (janvier)'!AB5</f>
        <v>ELA_9</v>
      </c>
      <c r="AC100" s="76" t="s">
        <v>207</v>
      </c>
      <c r="AD100" s="74" t="str">
        <f>'TCD sortants série 3 (janvier)'!AD5</f>
        <v>PEHD/PP_7</v>
      </c>
      <c r="AE100" s="75" t="str">
        <f>'TCD sortants série 3 (janvier)'!AE5</f>
        <v>PEHD/PP_8</v>
      </c>
      <c r="AF100" s="75" t="str">
        <f>'TCD sortants série 3 (janvier)'!AF5</f>
        <v>PEHD/PP_9</v>
      </c>
      <c r="AG100" s="76" t="s">
        <v>208</v>
      </c>
      <c r="AH100" s="74" t="str">
        <f>'TCD sortants série 3 (janvier)'!AH5</f>
        <v>FLUX_DEV_7</v>
      </c>
      <c r="AI100" s="75" t="str">
        <f>'TCD sortants série 3 (janvier)'!AI5</f>
        <v>FLUX_DEV_8</v>
      </c>
      <c r="AJ100" s="75" t="str">
        <f>'TCD sortants série 3 (janvier)'!AJ5</f>
        <v>FLUX_DEV_9</v>
      </c>
      <c r="AK100" s="76" t="s">
        <v>209</v>
      </c>
      <c r="AL100" s="74" t="str">
        <f>'TCD sortants série 3 (janvier)'!AL5</f>
        <v>FILM_PE_7</v>
      </c>
      <c r="AM100" s="75" t="str">
        <f>'TCD sortants série 3 (janvier)'!AM5</f>
        <v>FILM_PE_8</v>
      </c>
      <c r="AN100" s="75" t="str">
        <f>'TCD sortants série 3 (janvier)'!AN5</f>
        <v>FILM_PE_9</v>
      </c>
      <c r="AO100" s="76" t="s">
        <v>210</v>
      </c>
      <c r="AP100" s="74" t="str">
        <f>'TCD sortants série 3 (janvier)'!AP5</f>
        <v>Acier_7</v>
      </c>
      <c r="AQ100" s="75" t="str">
        <f>'TCD sortants série 3 (janvier)'!AQ5</f>
        <v>Acier_8</v>
      </c>
      <c r="AR100" s="75" t="str">
        <f>'TCD sortants série 3 (janvier)'!AR5</f>
        <v>Acier_9</v>
      </c>
      <c r="AS100" s="76" t="s">
        <v>211</v>
      </c>
      <c r="AT100" s="74" t="str">
        <f>'TCD sortants série 3 (janvier)'!AT5</f>
        <v>Aluminium_7</v>
      </c>
      <c r="AU100" s="75" t="str">
        <f>'TCD sortants série 3 (janvier)'!AU5</f>
        <v>Aluminium_8</v>
      </c>
      <c r="AV100" s="75" t="str">
        <f>'TCD sortants série 3 (janvier)'!AV5</f>
        <v>Aluminium_9</v>
      </c>
      <c r="AW100" s="76" t="s">
        <v>212</v>
      </c>
      <c r="AX100" s="74" t="str">
        <f>'TCD sortants série 3 (janvier)'!AX5</f>
        <v>Petits_alus_3</v>
      </c>
    </row>
    <row r="101" spans="1:50" x14ac:dyDescent="0.25">
      <c r="A101" s="82" t="s">
        <v>38</v>
      </c>
      <c r="B101" s="71">
        <f>'TCD sortants série 3 (janvier)'!B6</f>
        <v>0</v>
      </c>
      <c r="C101" s="71">
        <f>'TCD sortants série 3 (janvier)'!C6</f>
        <v>0</v>
      </c>
      <c r="D101" s="71">
        <f>'TCD sortants série 3 (janvier)'!D6</f>
        <v>0</v>
      </c>
      <c r="E101" s="73">
        <f>AVERAGE(B101:D101)</f>
        <v>0</v>
      </c>
      <c r="F101" s="71">
        <f>'TCD sortants série 3 (janvier)'!F6</f>
        <v>0</v>
      </c>
      <c r="G101" s="71">
        <f>'TCD sortants série 3 (janvier)'!G6</f>
        <v>0</v>
      </c>
      <c r="H101" s="71">
        <f>'TCD sortants série 3 (janvier)'!H6</f>
        <v>0</v>
      </c>
      <c r="I101" s="73">
        <f>AVERAGE(F101:H101)</f>
        <v>0</v>
      </c>
      <c r="J101" s="71">
        <f>'TCD sortants série 3 (janvier)'!J6</f>
        <v>0</v>
      </c>
      <c r="K101" s="71">
        <f>'TCD sortants série 3 (janvier)'!K6</f>
        <v>0</v>
      </c>
      <c r="L101" s="71">
        <f>'TCD sortants série 3 (janvier)'!L6</f>
        <v>0</v>
      </c>
      <c r="M101" s="73">
        <f>AVERAGE(J101:L101)</f>
        <v>0</v>
      </c>
      <c r="N101" s="71">
        <f>'TCD sortants série 3 (janvier)'!N6</f>
        <v>7.4943792155883066E-3</v>
      </c>
      <c r="O101" s="71">
        <f>'TCD sortants série 3 (janvier)'!O6</f>
        <v>0</v>
      </c>
      <c r="P101" s="71">
        <f>'TCD sortants série 3 (janvier)'!P6</f>
        <v>0</v>
      </c>
      <c r="Q101" s="73">
        <f>AVERAGE(N101:P101)</f>
        <v>2.4981264051961022E-3</v>
      </c>
      <c r="R101" s="71">
        <f>'TCD sortants série 3 (janvier)'!R6</f>
        <v>0</v>
      </c>
      <c r="S101" s="71">
        <f>'TCD sortants série 3 (janvier)'!S6</f>
        <v>0</v>
      </c>
      <c r="T101" s="71">
        <f>'TCD sortants série 3 (janvier)'!T6</f>
        <v>0</v>
      </c>
      <c r="U101" s="73">
        <f>AVERAGE(R101:T101)</f>
        <v>0</v>
      </c>
      <c r="V101" s="71">
        <f>'TCD sortants série 3 (janvier)'!V6</f>
        <v>0</v>
      </c>
      <c r="W101" s="71">
        <f>'TCD sortants série 3 (janvier)'!W6</f>
        <v>0</v>
      </c>
      <c r="X101" s="71">
        <f>'TCD sortants série 3 (janvier)'!X6</f>
        <v>1.2562814070351746E-3</v>
      </c>
      <c r="Y101" s="73">
        <f>AVERAGE(V101:X101)</f>
        <v>4.1876046901172487E-4</v>
      </c>
      <c r="Z101" s="71">
        <f>'TCD sortants série 3 (janvier)'!Z6</f>
        <v>0</v>
      </c>
      <c r="AA101" s="71">
        <f>'TCD sortants série 3 (janvier)'!AA6</f>
        <v>0</v>
      </c>
      <c r="AB101" s="71">
        <f>'TCD sortants série 3 (janvier)'!AB6</f>
        <v>0</v>
      </c>
      <c r="AC101" s="73">
        <f>AVERAGE(Z101:AB101)</f>
        <v>0</v>
      </c>
      <c r="AD101" s="71">
        <f>'TCD sortants série 3 (janvier)'!AD6</f>
        <v>0</v>
      </c>
      <c r="AE101" s="71">
        <f>'TCD sortants série 3 (janvier)'!AE6</f>
        <v>0</v>
      </c>
      <c r="AF101" s="71">
        <f>'TCD sortants série 3 (janvier)'!AF6</f>
        <v>0</v>
      </c>
      <c r="AG101" s="73">
        <f>AVERAGE(AD101:AF101)</f>
        <v>0</v>
      </c>
      <c r="AH101" s="71">
        <f>'TCD sortants série 3 (janvier)'!AH6</f>
        <v>0</v>
      </c>
      <c r="AI101" s="71">
        <f>'TCD sortants série 3 (janvier)'!AI6</f>
        <v>0</v>
      </c>
      <c r="AJ101" s="71">
        <f>'TCD sortants série 3 (janvier)'!AJ6</f>
        <v>0</v>
      </c>
      <c r="AK101" s="73">
        <f>AVERAGE(AH101:AJ101)</f>
        <v>0</v>
      </c>
      <c r="AL101" s="71">
        <f>'TCD sortants série 3 (janvier)'!AL6</f>
        <v>6.6666666666666688E-3</v>
      </c>
      <c r="AM101" s="71">
        <f>'TCD sortants série 3 (janvier)'!AM6</f>
        <v>0</v>
      </c>
      <c r="AN101" s="71">
        <f>'TCD sortants série 3 (janvier)'!AN6</f>
        <v>0</v>
      </c>
      <c r="AO101" s="73">
        <f>AVERAGE(AL101:AN101)</f>
        <v>2.2222222222222231E-3</v>
      </c>
      <c r="AP101" s="71">
        <f>'TCD sortants série 3 (janvier)'!AP6</f>
        <v>0.92131147540983604</v>
      </c>
      <c r="AQ101" s="71">
        <f>'TCD sortants série 3 (janvier)'!AQ6</f>
        <v>0.89731729879740962</v>
      </c>
      <c r="AR101" s="71">
        <f>'TCD sortants série 3 (janvier)'!AR6</f>
        <v>0.89846743295019149</v>
      </c>
      <c r="AS101" s="73">
        <f>AVERAGE(AP101:AR101)</f>
        <v>0.90569873571914572</v>
      </c>
      <c r="AT101" s="71">
        <f>'TCD sortants série 3 (janvier)'!AT6</f>
        <v>0</v>
      </c>
      <c r="AU101" s="71">
        <f>'TCD sortants série 3 (janvier)'!AU6</f>
        <v>0</v>
      </c>
      <c r="AV101" s="71">
        <f>'TCD sortants série 3 (janvier)'!AV6</f>
        <v>0</v>
      </c>
      <c r="AW101" s="73">
        <f>AVERAGE(AT101:AV101)</f>
        <v>0</v>
      </c>
      <c r="AX101" s="71">
        <f>'TCD sortants série 3 (janvier)'!AX6</f>
        <v>0</v>
      </c>
    </row>
    <row r="102" spans="1:50" x14ac:dyDescent="0.25">
      <c r="A102" s="82" t="s">
        <v>34</v>
      </c>
      <c r="B102" s="71">
        <f>'TCD sortants série 3 (janvier)'!B7</f>
        <v>6.3025210084033615E-3</v>
      </c>
      <c r="C102" s="71">
        <f>'TCD sortants série 3 (janvier)'!C7</f>
        <v>2.9824561403508774E-2</v>
      </c>
      <c r="D102" s="71">
        <f>'TCD sortants série 3 (janvier)'!D7</f>
        <v>4.184100418410041E-2</v>
      </c>
      <c r="E102" s="73">
        <f t="shared" ref="E102:E112" si="126">AVERAGE(B102:D102)</f>
        <v>2.5989362198670846E-2</v>
      </c>
      <c r="F102" s="71">
        <f>'TCD sortants série 3 (janvier)'!F7</f>
        <v>1.6778523489932886E-3</v>
      </c>
      <c r="G102" s="71">
        <f>'TCD sortants série 3 (janvier)'!G7</f>
        <v>0</v>
      </c>
      <c r="H102" s="71">
        <f>'TCD sortants série 3 (janvier)'!H7</f>
        <v>0</v>
      </c>
      <c r="I102" s="73">
        <f t="shared" ref="I102:I112" si="127">AVERAGE(F102:H102)</f>
        <v>5.5928411633109618E-4</v>
      </c>
      <c r="J102" s="71">
        <f>'TCD sortants série 3 (janvier)'!J7</f>
        <v>0</v>
      </c>
      <c r="K102" s="71">
        <f>'TCD sortants série 3 (janvier)'!K7</f>
        <v>0</v>
      </c>
      <c r="L102" s="71">
        <f>'TCD sortants série 3 (janvier)'!L7</f>
        <v>1.0401497815685468E-3</v>
      </c>
      <c r="M102" s="73">
        <f t="shared" ref="M102:M112" si="128">AVERAGE(J102:L102)</f>
        <v>3.4671659385618228E-4</v>
      </c>
      <c r="N102" s="71">
        <f>'TCD sortants série 3 (janvier)'!N7</f>
        <v>7.4943792155883066E-3</v>
      </c>
      <c r="O102" s="71">
        <f>'TCD sortants série 3 (janvier)'!O7</f>
        <v>5.7142857142857143E-3</v>
      </c>
      <c r="P102" s="71">
        <f>'TCD sortants série 3 (janvier)'!P7</f>
        <v>3.2894736842105257E-3</v>
      </c>
      <c r="Q102" s="73">
        <f t="shared" ref="Q102:Q112" si="129">AVERAGE(N102:P102)</f>
        <v>5.4993795380281823E-3</v>
      </c>
      <c r="R102" s="71">
        <f>'TCD sortants série 3 (janvier)'!R7</f>
        <v>0</v>
      </c>
      <c r="S102" s="71">
        <f>'TCD sortants série 3 (janvier)'!S7</f>
        <v>0</v>
      </c>
      <c r="T102" s="71">
        <f>'TCD sortants série 3 (janvier)'!T7</f>
        <v>0</v>
      </c>
      <c r="U102" s="73">
        <f t="shared" ref="U102:U112" si="130">AVERAGE(R102:T102)</f>
        <v>0</v>
      </c>
      <c r="V102" s="71">
        <f>'TCD sortants série 3 (janvier)'!V7</f>
        <v>0</v>
      </c>
      <c r="W102" s="71">
        <f>'TCD sortants série 3 (janvier)'!W7</f>
        <v>0</v>
      </c>
      <c r="X102" s="71">
        <f>'TCD sortants série 3 (janvier)'!X7</f>
        <v>0</v>
      </c>
      <c r="Y102" s="73">
        <f t="shared" ref="Y102:Y112" si="131">AVERAGE(V102:X102)</f>
        <v>0</v>
      </c>
      <c r="Z102" s="71">
        <f>'TCD sortants série 3 (janvier)'!Z7</f>
        <v>0</v>
      </c>
      <c r="AA102" s="71">
        <f>'TCD sortants série 3 (janvier)'!AA7</f>
        <v>0</v>
      </c>
      <c r="AB102" s="71">
        <f>'TCD sortants série 3 (janvier)'!AB7</f>
        <v>1.3280212483399714E-3</v>
      </c>
      <c r="AC102" s="73">
        <f t="shared" ref="AC102:AC112" si="132">AVERAGE(Z102:AB102)</f>
        <v>4.4267374944665711E-4</v>
      </c>
      <c r="AD102" s="71">
        <f>'TCD sortants série 3 (janvier)'!AD7</f>
        <v>1.5082956259426829E-3</v>
      </c>
      <c r="AE102" s="71">
        <f>'TCD sortants série 3 (janvier)'!AE7</f>
        <v>4.3668122270742338E-3</v>
      </c>
      <c r="AF102" s="71">
        <f>'TCD sortants série 3 (janvier)'!AF7</f>
        <v>2.628120893561103E-3</v>
      </c>
      <c r="AG102" s="73">
        <f t="shared" ref="AG102:AG112" si="133">AVERAGE(AD102:AF102)</f>
        <v>2.8344095821926734E-3</v>
      </c>
      <c r="AH102" s="71">
        <f>'TCD sortants série 3 (janvier)'!AH7</f>
        <v>2.2371364653243808E-3</v>
      </c>
      <c r="AI102" s="71">
        <f>'TCD sortants série 3 (janvier)'!AI7</f>
        <v>1.2578616352201255E-2</v>
      </c>
      <c r="AJ102" s="71">
        <f>'TCD sortants série 3 (janvier)'!AJ7</f>
        <v>2.2883295194507983E-3</v>
      </c>
      <c r="AK102" s="73">
        <f t="shared" ref="AK102:AK112" si="134">AVERAGE(AH102:AJ102)</f>
        <v>5.7013607789921442E-3</v>
      </c>
      <c r="AL102" s="71">
        <f>'TCD sortants série 3 (janvier)'!AL7</f>
        <v>0</v>
      </c>
      <c r="AM102" s="71">
        <f>'TCD sortants série 3 (janvier)'!AM7</f>
        <v>3.9215686274509777E-3</v>
      </c>
      <c r="AN102" s="71">
        <f>'TCD sortants série 3 (janvier)'!AN7</f>
        <v>0</v>
      </c>
      <c r="AO102" s="73">
        <f t="shared" ref="AO102:AO112" si="135">AVERAGE(AL102:AN102)</f>
        <v>1.3071895424836592E-3</v>
      </c>
      <c r="AP102" s="71">
        <f>'TCD sortants série 3 (janvier)'!AP7</f>
        <v>3.2786885245901639E-3</v>
      </c>
      <c r="AQ102" s="71">
        <f>'TCD sortants série 3 (janvier)'!AQ7</f>
        <v>1.5417823003391919E-3</v>
      </c>
      <c r="AR102" s="71">
        <f>'TCD sortants série 3 (janvier)'!AR7</f>
        <v>1.9157088122605367E-3</v>
      </c>
      <c r="AS102" s="73">
        <f t="shared" ref="AS102:AS112" si="136">AVERAGE(AP102:AR102)</f>
        <v>2.2453932123966311E-3</v>
      </c>
      <c r="AT102" s="71">
        <f>'TCD sortants série 3 (janvier)'!AT7</f>
        <v>0.77614138438880698</v>
      </c>
      <c r="AU102" s="71">
        <f>'TCD sortants série 3 (janvier)'!AU7</f>
        <v>0.50133689839572182</v>
      </c>
      <c r="AV102" s="71">
        <f>'TCD sortants série 3 (janvier)'!AV7</f>
        <v>0.6651376146788992</v>
      </c>
      <c r="AW102" s="73">
        <f t="shared" ref="AW102:AW112" si="137">AVERAGE(AT102:AV102)</f>
        <v>0.6475386324878093</v>
      </c>
      <c r="AX102" s="71">
        <f>'TCD sortants série 3 (janvier)'!AX7</f>
        <v>0.38007380073800745</v>
      </c>
    </row>
    <row r="103" spans="1:50" x14ac:dyDescent="0.25">
      <c r="A103" s="82" t="s">
        <v>35</v>
      </c>
      <c r="B103" s="71">
        <f>'TCD sortants série 3 (janvier)'!B8</f>
        <v>0</v>
      </c>
      <c r="C103" s="71">
        <f>'TCD sortants série 3 (janvier)'!C8</f>
        <v>0</v>
      </c>
      <c r="D103" s="71">
        <f>'TCD sortants série 3 (janvier)'!D8</f>
        <v>0</v>
      </c>
      <c r="E103" s="73">
        <f t="shared" si="126"/>
        <v>0</v>
      </c>
      <c r="F103" s="71">
        <f>'TCD sortants série 3 (janvier)'!F8</f>
        <v>0</v>
      </c>
      <c r="G103" s="71">
        <f>'TCD sortants série 3 (janvier)'!G8</f>
        <v>0</v>
      </c>
      <c r="H103" s="71">
        <f>'TCD sortants série 3 (janvier)'!H8</f>
        <v>0</v>
      </c>
      <c r="I103" s="73">
        <f t="shared" si="127"/>
        <v>0</v>
      </c>
      <c r="J103" s="71">
        <f>'TCD sortants série 3 (janvier)'!J8</f>
        <v>0</v>
      </c>
      <c r="K103" s="71">
        <f>'TCD sortants série 3 (janvier)'!K8</f>
        <v>0</v>
      </c>
      <c r="L103" s="71">
        <f>'TCD sortants série 3 (janvier)'!L8</f>
        <v>0</v>
      </c>
      <c r="M103" s="73">
        <f t="shared" si="128"/>
        <v>0</v>
      </c>
      <c r="N103" s="71">
        <f>'TCD sortants série 3 (janvier)'!N8</f>
        <v>0</v>
      </c>
      <c r="O103" s="71">
        <f>'TCD sortants série 3 (janvier)'!O8</f>
        <v>0</v>
      </c>
      <c r="P103" s="71">
        <f>'TCD sortants série 3 (janvier)'!P8</f>
        <v>0</v>
      </c>
      <c r="Q103" s="73">
        <f t="shared" si="129"/>
        <v>0</v>
      </c>
      <c r="R103" s="71">
        <f>'TCD sortants série 3 (janvier)'!R8</f>
        <v>0</v>
      </c>
      <c r="S103" s="71">
        <f>'TCD sortants série 3 (janvier)'!S8</f>
        <v>0</v>
      </c>
      <c r="T103" s="71">
        <f>'TCD sortants série 3 (janvier)'!T8</f>
        <v>0</v>
      </c>
      <c r="U103" s="73">
        <f t="shared" si="130"/>
        <v>0</v>
      </c>
      <c r="V103" s="71">
        <f>'TCD sortants série 3 (janvier)'!V8</f>
        <v>0</v>
      </c>
      <c r="W103" s="71">
        <f>'TCD sortants série 3 (janvier)'!W8</f>
        <v>0</v>
      </c>
      <c r="X103" s="71">
        <f>'TCD sortants série 3 (janvier)'!X8</f>
        <v>0</v>
      </c>
      <c r="Y103" s="73">
        <f t="shared" si="131"/>
        <v>0</v>
      </c>
      <c r="Z103" s="71">
        <f>'TCD sortants série 3 (janvier)'!Z8</f>
        <v>0</v>
      </c>
      <c r="AA103" s="71">
        <f>'TCD sortants série 3 (janvier)'!AA8</f>
        <v>0</v>
      </c>
      <c r="AB103" s="71">
        <f>'TCD sortants série 3 (janvier)'!AB8</f>
        <v>0</v>
      </c>
      <c r="AC103" s="73">
        <f t="shared" si="132"/>
        <v>0</v>
      </c>
      <c r="AD103" s="71">
        <f>'TCD sortants série 3 (janvier)'!AD8</f>
        <v>0</v>
      </c>
      <c r="AE103" s="71">
        <f>'TCD sortants série 3 (janvier)'!AE8</f>
        <v>0</v>
      </c>
      <c r="AF103" s="71">
        <f>'TCD sortants série 3 (janvier)'!AF8</f>
        <v>0</v>
      </c>
      <c r="AG103" s="73">
        <f t="shared" si="133"/>
        <v>0</v>
      </c>
      <c r="AH103" s="71">
        <f>'TCD sortants série 3 (janvier)'!AH8</f>
        <v>0</v>
      </c>
      <c r="AI103" s="71">
        <f>'TCD sortants série 3 (janvier)'!AI8</f>
        <v>0</v>
      </c>
      <c r="AJ103" s="71">
        <f>'TCD sortants série 3 (janvier)'!AJ8</f>
        <v>0</v>
      </c>
      <c r="AK103" s="73">
        <f t="shared" si="134"/>
        <v>0</v>
      </c>
      <c r="AL103" s="71">
        <f>'TCD sortants série 3 (janvier)'!AL8</f>
        <v>0</v>
      </c>
      <c r="AM103" s="71">
        <f>'TCD sortants série 3 (janvier)'!AM8</f>
        <v>0</v>
      </c>
      <c r="AN103" s="71">
        <f>'TCD sortants série 3 (janvier)'!AN8</f>
        <v>0</v>
      </c>
      <c r="AO103" s="73">
        <f t="shared" si="135"/>
        <v>0</v>
      </c>
      <c r="AP103" s="71">
        <f>'TCD sortants série 3 (janvier)'!AP8</f>
        <v>0</v>
      </c>
      <c r="AQ103" s="71">
        <f>'TCD sortants série 3 (janvier)'!AQ8</f>
        <v>0</v>
      </c>
      <c r="AR103" s="71">
        <f>'TCD sortants série 3 (janvier)'!AR8</f>
        <v>0</v>
      </c>
      <c r="AS103" s="73">
        <f t="shared" si="136"/>
        <v>0</v>
      </c>
      <c r="AT103" s="71">
        <f>'TCD sortants série 3 (janvier)'!AT8</f>
        <v>2.9455081001472749E-3</v>
      </c>
      <c r="AU103" s="71">
        <f>'TCD sortants série 3 (janvier)'!AU8</f>
        <v>8.0213903743315482E-3</v>
      </c>
      <c r="AV103" s="71">
        <f>'TCD sortants série 3 (janvier)'!AV8</f>
        <v>2.5993883792048936E-2</v>
      </c>
      <c r="AW103" s="73">
        <f t="shared" si="137"/>
        <v>1.2320260755509252E-2</v>
      </c>
      <c r="AX103" s="71">
        <f>'TCD sortants série 3 (janvier)'!AX8</f>
        <v>6.2730627306273073E-2</v>
      </c>
    </row>
    <row r="104" spans="1:50" x14ac:dyDescent="0.25">
      <c r="A104" s="82" t="s">
        <v>22</v>
      </c>
      <c r="B104" s="71">
        <f>'TCD sortants série 3 (janvier)'!B9</f>
        <v>5.4621848739495819E-2</v>
      </c>
      <c r="C104" s="71">
        <f>'TCD sortants série 3 (janvier)'!C9</f>
        <v>3.6842105263157905E-2</v>
      </c>
      <c r="D104" s="71">
        <f>'TCD sortants série 3 (janvier)'!D9</f>
        <v>2.5104602510460254E-2</v>
      </c>
      <c r="E104" s="73">
        <f t="shared" si="126"/>
        <v>3.8856185504371331E-2</v>
      </c>
      <c r="F104" s="71">
        <f>'TCD sortants série 3 (janvier)'!F9</f>
        <v>0</v>
      </c>
      <c r="G104" s="71">
        <f>'TCD sortants série 3 (janvier)'!G9</f>
        <v>0</v>
      </c>
      <c r="H104" s="71">
        <f>'TCD sortants série 3 (janvier)'!H9</f>
        <v>0</v>
      </c>
      <c r="I104" s="73">
        <f t="shared" si="127"/>
        <v>0</v>
      </c>
      <c r="J104" s="71">
        <f>'TCD sortants série 3 (janvier)'!J9</f>
        <v>0</v>
      </c>
      <c r="K104" s="71">
        <f>'TCD sortants série 3 (janvier)'!K9</f>
        <v>0</v>
      </c>
      <c r="L104" s="71">
        <f>'TCD sortants série 3 (janvier)'!L9</f>
        <v>0</v>
      </c>
      <c r="M104" s="73">
        <f t="shared" si="128"/>
        <v>0</v>
      </c>
      <c r="N104" s="71">
        <f>'TCD sortants série 3 (janvier)'!N9</f>
        <v>3.7471896077941541E-3</v>
      </c>
      <c r="O104" s="71">
        <f>'TCD sortants série 3 (janvier)'!O9</f>
        <v>1.4285714285714271E-3</v>
      </c>
      <c r="P104" s="71">
        <f>'TCD sortants série 3 (janvier)'!P9</f>
        <v>4.9342105263157901E-3</v>
      </c>
      <c r="Q104" s="73">
        <f t="shared" si="129"/>
        <v>3.369990520893791E-3</v>
      </c>
      <c r="R104" s="71">
        <f>'TCD sortants série 3 (janvier)'!R9</f>
        <v>0</v>
      </c>
      <c r="S104" s="71">
        <f>'TCD sortants série 3 (janvier)'!S9</f>
        <v>0</v>
      </c>
      <c r="T104" s="71">
        <f>'TCD sortants série 3 (janvier)'!T9</f>
        <v>0</v>
      </c>
      <c r="U104" s="73">
        <f t="shared" si="130"/>
        <v>0</v>
      </c>
      <c r="V104" s="71">
        <f>'TCD sortants série 3 (janvier)'!V9</f>
        <v>0</v>
      </c>
      <c r="W104" s="71">
        <f>'TCD sortants série 3 (janvier)'!W9</f>
        <v>0</v>
      </c>
      <c r="X104" s="71">
        <f>'TCD sortants série 3 (janvier)'!X9</f>
        <v>1.2562814070351774E-3</v>
      </c>
      <c r="Y104" s="73">
        <f t="shared" si="131"/>
        <v>4.1876046901172579E-4</v>
      </c>
      <c r="Z104" s="71">
        <f>'TCD sortants série 3 (janvier)'!Z9</f>
        <v>0.9033280507131537</v>
      </c>
      <c r="AA104" s="71">
        <f>'TCD sortants série 3 (janvier)'!AA9</f>
        <v>0.90757855822550826</v>
      </c>
      <c r="AB104" s="71">
        <f>'TCD sortants série 3 (janvier)'!AB9</f>
        <v>0.90703851261620183</v>
      </c>
      <c r="AC104" s="73">
        <f t="shared" si="132"/>
        <v>0.90598170718495463</v>
      </c>
      <c r="AD104" s="71">
        <f>'TCD sortants série 3 (janvier)'!AD9</f>
        <v>3.0165912518853697E-3</v>
      </c>
      <c r="AE104" s="71">
        <f>'TCD sortants série 3 (janvier)'!AE9</f>
        <v>2.1834061135371164E-2</v>
      </c>
      <c r="AF104" s="71">
        <f>'TCD sortants série 3 (janvier)'!AF9</f>
        <v>1.3140604467805517E-2</v>
      </c>
      <c r="AG104" s="73">
        <f t="shared" si="133"/>
        <v>1.2663752285020683E-2</v>
      </c>
      <c r="AH104" s="71">
        <f>'TCD sortants série 3 (janvier)'!AH9</f>
        <v>0</v>
      </c>
      <c r="AI104" s="71">
        <f>'TCD sortants série 3 (janvier)'!AI9</f>
        <v>2.0964360587002089E-3</v>
      </c>
      <c r="AJ104" s="71">
        <f>'TCD sortants série 3 (janvier)'!AJ9</f>
        <v>0</v>
      </c>
      <c r="AK104" s="73">
        <f t="shared" si="134"/>
        <v>6.988120195667363E-4</v>
      </c>
      <c r="AL104" s="71">
        <f>'TCD sortants série 3 (janvier)'!AL9</f>
        <v>0</v>
      </c>
      <c r="AM104" s="71">
        <f>'TCD sortants série 3 (janvier)'!AM9</f>
        <v>0</v>
      </c>
      <c r="AN104" s="71">
        <f>'TCD sortants série 3 (janvier)'!AN9</f>
        <v>0</v>
      </c>
      <c r="AO104" s="73">
        <f t="shared" si="135"/>
        <v>0</v>
      </c>
      <c r="AP104" s="71">
        <f>'TCD sortants série 3 (janvier)'!AP9</f>
        <v>0</v>
      </c>
      <c r="AQ104" s="71">
        <f>'TCD sortants série 3 (janvier)'!AQ9</f>
        <v>9.2506938020351498E-4</v>
      </c>
      <c r="AR104" s="71">
        <f>'TCD sortants série 3 (janvier)'!AR9</f>
        <v>1.9157088122605339E-3</v>
      </c>
      <c r="AS104" s="73">
        <f t="shared" si="136"/>
        <v>9.4692606415468304E-4</v>
      </c>
      <c r="AT104" s="71">
        <f>'TCD sortants série 3 (janvier)'!AT9</f>
        <v>5.0073637702503691E-2</v>
      </c>
      <c r="AU104" s="71">
        <f>'TCD sortants série 3 (janvier)'!AU9</f>
        <v>2.1390374331550801E-2</v>
      </c>
      <c r="AV104" s="71">
        <f>'TCD sortants série 3 (janvier)'!AV9</f>
        <v>2.140672782874618E-2</v>
      </c>
      <c r="AW104" s="73">
        <f t="shared" si="137"/>
        <v>3.0956913287600224E-2</v>
      </c>
      <c r="AX104" s="71">
        <f>'TCD sortants série 3 (janvier)'!AX9</f>
        <v>8.3025830258302596E-2</v>
      </c>
    </row>
    <row r="105" spans="1:50" x14ac:dyDescent="0.25">
      <c r="A105" s="82" t="s">
        <v>23</v>
      </c>
      <c r="B105" s="71">
        <f>'TCD sortants série 3 (janvier)'!B10</f>
        <v>0.12184873949579833</v>
      </c>
      <c r="C105" s="71">
        <f>'TCD sortants série 3 (janvier)'!C10</f>
        <v>0.13157894736842107</v>
      </c>
      <c r="D105" s="71">
        <f>'TCD sortants série 3 (janvier)'!D10</f>
        <v>0.10460251046025107</v>
      </c>
      <c r="E105" s="73">
        <f t="shared" si="126"/>
        <v>0.11934339910815683</v>
      </c>
      <c r="F105" s="71">
        <f>'TCD sortants série 3 (janvier)'!F10</f>
        <v>2.7964205816554837E-3</v>
      </c>
      <c r="G105" s="71">
        <f>'TCD sortants série 3 (janvier)'!G10</f>
        <v>0</v>
      </c>
      <c r="H105" s="71">
        <f>'TCD sortants série 3 (janvier)'!H10</f>
        <v>0</v>
      </c>
      <c r="I105" s="73">
        <f t="shared" si="127"/>
        <v>9.3214019388516121E-4</v>
      </c>
      <c r="J105" s="71">
        <f>'TCD sortants série 3 (janvier)'!J10</f>
        <v>0.939453125</v>
      </c>
      <c r="K105" s="71">
        <f>'TCD sortants série 3 (janvier)'!K10</f>
        <v>0.91449275362318827</v>
      </c>
      <c r="L105" s="71">
        <f>'TCD sortants série 3 (janvier)'!L10</f>
        <v>0.90493030996463486</v>
      </c>
      <c r="M105" s="73">
        <f t="shared" si="128"/>
        <v>0.91962539619594119</v>
      </c>
      <c r="N105" s="71">
        <f>'TCD sortants série 3 (janvier)'!N10</f>
        <v>7.3694728953285021E-2</v>
      </c>
      <c r="O105" s="71">
        <f>'TCD sortants série 3 (janvier)'!O10</f>
        <v>8.8571428571428523E-2</v>
      </c>
      <c r="P105" s="71">
        <f>'TCD sortants série 3 (janvier)'!P10</f>
        <v>0.12006578947368417</v>
      </c>
      <c r="Q105" s="73">
        <f t="shared" si="129"/>
        <v>9.4110648999465904E-2</v>
      </c>
      <c r="R105" s="71">
        <f>'TCD sortants série 3 (janvier)'!R10</f>
        <v>5.0251256281407024E-2</v>
      </c>
      <c r="S105" s="71">
        <f>'TCD sortants série 3 (janvier)'!S10</f>
        <v>6.0889929742388757E-2</v>
      </c>
      <c r="T105" s="71">
        <f>'TCD sortants série 3 (janvier)'!T10</f>
        <v>6.0661764705882346E-2</v>
      </c>
      <c r="U105" s="73">
        <f t="shared" si="130"/>
        <v>5.7267650243226033E-2</v>
      </c>
      <c r="V105" s="71">
        <f>'TCD sortants série 3 (janvier)'!V10</f>
        <v>0.97203947368421051</v>
      </c>
      <c r="W105" s="71">
        <f>'TCD sortants série 3 (janvier)'!W10</f>
        <v>0.97629629629629633</v>
      </c>
      <c r="X105" s="71">
        <f>'TCD sortants série 3 (janvier)'!X10</f>
        <v>0.95854271356783927</v>
      </c>
      <c r="Y105" s="73">
        <f t="shared" si="131"/>
        <v>0.9689594945161154</v>
      </c>
      <c r="Z105" s="71">
        <f>'TCD sortants série 3 (janvier)'!Z10</f>
        <v>1.9017432646592704E-2</v>
      </c>
      <c r="AA105" s="71">
        <f>'TCD sortants série 3 (janvier)'!AA10</f>
        <v>4.2513863216266178E-2</v>
      </c>
      <c r="AB105" s="71">
        <f>'TCD sortants série 3 (janvier)'!AB10</f>
        <v>2.9216467463479407E-2</v>
      </c>
      <c r="AC105" s="73">
        <f t="shared" si="132"/>
        <v>3.0249254442112763E-2</v>
      </c>
      <c r="AD105" s="71">
        <f>'TCD sortants série 3 (janvier)'!AD10</f>
        <v>6.0331825037707376E-3</v>
      </c>
      <c r="AE105" s="71">
        <f>'TCD sortants série 3 (janvier)'!AE10</f>
        <v>1.4556040756914111E-2</v>
      </c>
      <c r="AF105" s="71">
        <f>'TCD sortants série 3 (janvier)'!AF10</f>
        <v>1.9710906701708275E-2</v>
      </c>
      <c r="AG105" s="73">
        <f t="shared" si="133"/>
        <v>1.3433376654131043E-2</v>
      </c>
      <c r="AH105" s="71">
        <f>'TCD sortants série 3 (janvier)'!AH10</f>
        <v>2.2371364653243839E-3</v>
      </c>
      <c r="AI105" s="71">
        <f>'TCD sortants série 3 (janvier)'!AI10</f>
        <v>1.8867924528301879E-2</v>
      </c>
      <c r="AJ105" s="71">
        <f>'TCD sortants série 3 (janvier)'!AJ10</f>
        <v>2.2883295194508015E-2</v>
      </c>
      <c r="AK105" s="73">
        <f t="shared" si="134"/>
        <v>1.4662785396044759E-2</v>
      </c>
      <c r="AL105" s="71">
        <f>'TCD sortants série 3 (janvier)'!AL10</f>
        <v>7.3333333333333361E-2</v>
      </c>
      <c r="AM105" s="71">
        <f>'TCD sortants série 3 (janvier)'!AM10</f>
        <v>1.9607843137254912E-2</v>
      </c>
      <c r="AN105" s="71">
        <f>'TCD sortants série 3 (janvier)'!AN10</f>
        <v>2.0576131687242796E-3</v>
      </c>
      <c r="AO105" s="73">
        <f t="shared" si="135"/>
        <v>3.1666263213104187E-2</v>
      </c>
      <c r="AP105" s="71">
        <f>'TCD sortants série 3 (janvier)'!AP10</f>
        <v>1.3114754098360659E-2</v>
      </c>
      <c r="AQ105" s="71">
        <f>'TCD sortants série 3 (janvier)'!AQ10</f>
        <v>1.5417823003391918E-2</v>
      </c>
      <c r="AR105" s="71">
        <f>'TCD sortants série 3 (janvier)'!AR10</f>
        <v>3.8314176245210735E-3</v>
      </c>
      <c r="AS105" s="73">
        <f t="shared" si="136"/>
        <v>1.0787998242091215E-2</v>
      </c>
      <c r="AT105" s="71">
        <f>'TCD sortants série 3 (janvier)'!AT10</f>
        <v>3.2400589101620032E-2</v>
      </c>
      <c r="AU105" s="71">
        <f>'TCD sortants série 3 (janvier)'!AU10</f>
        <v>0.29812834224598922</v>
      </c>
      <c r="AV105" s="71">
        <f>'TCD sortants série 3 (janvier)'!AV10</f>
        <v>8.4097859327217139E-2</v>
      </c>
      <c r="AW105" s="73">
        <f t="shared" si="137"/>
        <v>0.13820893022494213</v>
      </c>
      <c r="AX105" s="71">
        <f>'TCD sortants série 3 (janvier)'!AX10</f>
        <v>7.3800738007380063E-3</v>
      </c>
    </row>
    <row r="106" spans="1:50" x14ac:dyDescent="0.25">
      <c r="A106" s="82" t="s">
        <v>60</v>
      </c>
      <c r="B106" s="71">
        <f>'TCD sortants série 3 (janvier)'!B11</f>
        <v>2.100840336134454E-2</v>
      </c>
      <c r="C106" s="71">
        <f>'TCD sortants série 3 (janvier)'!C11</f>
        <v>3.1578947368421012E-2</v>
      </c>
      <c r="D106" s="71">
        <f>'TCD sortants série 3 (janvier)'!D11</f>
        <v>4.1841004184100432E-3</v>
      </c>
      <c r="E106" s="73">
        <f t="shared" si="126"/>
        <v>1.8923817049391865E-2</v>
      </c>
      <c r="F106" s="71">
        <f>'TCD sortants série 3 (janvier)'!F11</f>
        <v>0</v>
      </c>
      <c r="G106" s="71">
        <f>'TCD sortants série 3 (janvier)'!G11</f>
        <v>0</v>
      </c>
      <c r="H106" s="71">
        <f>'TCD sortants série 3 (janvier)'!H11</f>
        <v>1.9531249999999967E-3</v>
      </c>
      <c r="I106" s="73">
        <f t="shared" si="127"/>
        <v>6.5104166666666555E-4</v>
      </c>
      <c r="J106" s="71">
        <f>'TCD sortants série 3 (janvier)'!J11</f>
        <v>0</v>
      </c>
      <c r="K106" s="71">
        <f>'TCD sortants série 3 (janvier)'!K11</f>
        <v>0</v>
      </c>
      <c r="L106" s="71">
        <f>'TCD sortants série 3 (janvier)'!L11</f>
        <v>4.1605991262741833E-4</v>
      </c>
      <c r="M106" s="73">
        <f t="shared" si="128"/>
        <v>1.3868663754247279E-4</v>
      </c>
      <c r="N106" s="71">
        <f>'TCD sortants série 3 (janvier)'!N11</f>
        <v>7.4943792155883081E-4</v>
      </c>
      <c r="O106" s="71">
        <f>'TCD sortants série 3 (janvier)'!O11</f>
        <v>0</v>
      </c>
      <c r="P106" s="71">
        <f>'TCD sortants série 3 (janvier)'!P11</f>
        <v>0</v>
      </c>
      <c r="Q106" s="73">
        <f t="shared" si="129"/>
        <v>2.4981264051961025E-4</v>
      </c>
      <c r="R106" s="71">
        <f>'TCD sortants série 3 (janvier)'!R11</f>
        <v>4.3696744592527904E-4</v>
      </c>
      <c r="S106" s="71">
        <f>'TCD sortants série 3 (janvier)'!S11</f>
        <v>0</v>
      </c>
      <c r="T106" s="71">
        <f>'TCD sortants série 3 (janvier)'!T11</f>
        <v>0</v>
      </c>
      <c r="U106" s="73">
        <f t="shared" si="130"/>
        <v>1.4565581530842634E-4</v>
      </c>
      <c r="V106" s="71">
        <f>'TCD sortants série 3 (janvier)'!V11</f>
        <v>1.3157894736842101E-2</v>
      </c>
      <c r="W106" s="71">
        <f>'TCD sortants série 3 (janvier)'!W11</f>
        <v>1.4814814814814795E-3</v>
      </c>
      <c r="X106" s="71">
        <f>'TCD sortants série 3 (janvier)'!X11</f>
        <v>2.5125628140703518E-3</v>
      </c>
      <c r="Y106" s="73">
        <f t="shared" si="131"/>
        <v>5.7173130107979779E-3</v>
      </c>
      <c r="Z106" s="71">
        <f>'TCD sortants série 3 (janvier)'!Z11</f>
        <v>1.5847860538827272E-3</v>
      </c>
      <c r="AA106" s="71">
        <f>'TCD sortants série 3 (janvier)'!AA11</f>
        <v>0</v>
      </c>
      <c r="AB106" s="71">
        <f>'TCD sortants série 3 (janvier)'!AB11</f>
        <v>0</v>
      </c>
      <c r="AC106" s="73">
        <f t="shared" si="132"/>
        <v>5.2826201796090906E-4</v>
      </c>
      <c r="AD106" s="71">
        <f>'TCD sortants série 3 (janvier)'!AD11</f>
        <v>0</v>
      </c>
      <c r="AE106" s="71">
        <f>'TCD sortants série 3 (janvier)'!AE11</f>
        <v>1.455604075691409E-3</v>
      </c>
      <c r="AF106" s="71">
        <f>'TCD sortants série 3 (janvier)'!AF11</f>
        <v>0</v>
      </c>
      <c r="AG106" s="73">
        <f t="shared" si="133"/>
        <v>4.8520135856380299E-4</v>
      </c>
      <c r="AH106" s="71">
        <f>'TCD sortants série 3 (janvier)'!AH11</f>
        <v>0</v>
      </c>
      <c r="AI106" s="71">
        <f>'TCD sortants série 3 (janvier)'!AI11</f>
        <v>2.0964360587002063E-3</v>
      </c>
      <c r="AJ106" s="71">
        <f>'TCD sortants série 3 (janvier)'!AJ11</f>
        <v>2.2883295194508035E-3</v>
      </c>
      <c r="AK106" s="73">
        <f t="shared" si="134"/>
        <v>1.4615885260503367E-3</v>
      </c>
      <c r="AL106" s="71">
        <f>'TCD sortants série 3 (janvier)'!AL11</f>
        <v>0.70666666666666667</v>
      </c>
      <c r="AM106" s="71">
        <f>'TCD sortants série 3 (janvier)'!AM11</f>
        <v>0.67450980392156856</v>
      </c>
      <c r="AN106" s="71">
        <f>'TCD sortants série 3 (janvier)'!AN11</f>
        <v>0.98353909465020584</v>
      </c>
      <c r="AO106" s="73">
        <f t="shared" si="135"/>
        <v>0.78823852174614706</v>
      </c>
      <c r="AP106" s="71">
        <f>'TCD sortants série 3 (janvier)'!AP11</f>
        <v>1.1475409836065575E-2</v>
      </c>
      <c r="AQ106" s="71">
        <f>'TCD sortants série 3 (janvier)'!AQ11</f>
        <v>1.0792476102374342E-2</v>
      </c>
      <c r="AR106" s="71">
        <f>'TCD sortants série 3 (janvier)'!AR11</f>
        <v>1.1494252873563216E-2</v>
      </c>
      <c r="AS106" s="73">
        <f t="shared" si="136"/>
        <v>1.1254046270667712E-2</v>
      </c>
      <c r="AT106" s="71">
        <f>'TCD sortants série 3 (janvier)'!AT11</f>
        <v>1.4727540500736359E-3</v>
      </c>
      <c r="AU106" s="71">
        <f>'TCD sortants série 3 (janvier)'!AU11</f>
        <v>6.6844919786096246E-3</v>
      </c>
      <c r="AV106" s="71">
        <f>'TCD sortants série 3 (janvier)'!AV11</f>
        <v>1.2232415902140675E-2</v>
      </c>
      <c r="AW106" s="73">
        <f t="shared" si="137"/>
        <v>6.796553976941312E-3</v>
      </c>
      <c r="AX106" s="71">
        <f>'TCD sortants série 3 (janvier)'!AX11</f>
        <v>0</v>
      </c>
    </row>
    <row r="107" spans="1:50" x14ac:dyDescent="0.25">
      <c r="A107" s="82" t="s">
        <v>57</v>
      </c>
      <c r="B107" s="71">
        <f>'TCD sortants série 3 (janvier)'!B12</f>
        <v>7.1428571428571438E-2</v>
      </c>
      <c r="C107" s="71">
        <f>'TCD sortants série 3 (janvier)'!C12</f>
        <v>7.1929824561403483E-2</v>
      </c>
      <c r="D107" s="71">
        <f>'TCD sortants série 3 (janvier)'!D12</f>
        <v>4.3235704323570406E-2</v>
      </c>
      <c r="E107" s="73">
        <f t="shared" si="126"/>
        <v>6.2198033437848438E-2</v>
      </c>
      <c r="F107" s="71">
        <f>'TCD sortants série 3 (janvier)'!F12</f>
        <v>3.6353467561521247E-2</v>
      </c>
      <c r="G107" s="71">
        <f>'TCD sortants série 3 (janvier)'!G12</f>
        <v>4.2813455657492387E-2</v>
      </c>
      <c r="H107" s="71">
        <f>'TCD sortants série 3 (janvier)'!H12</f>
        <v>0.20898437499999983</v>
      </c>
      <c r="I107" s="73">
        <f t="shared" si="127"/>
        <v>9.6050432739671163E-2</v>
      </c>
      <c r="J107" s="71">
        <f>'TCD sortants série 3 (janvier)'!J12</f>
        <v>0</v>
      </c>
      <c r="K107" s="71">
        <f>'TCD sortants série 3 (janvier)'!K12</f>
        <v>0</v>
      </c>
      <c r="L107" s="71">
        <f>'TCD sortants série 3 (janvier)'!L12</f>
        <v>1.0401497815685445E-3</v>
      </c>
      <c r="M107" s="73">
        <f t="shared" si="128"/>
        <v>3.4671659385618147E-4</v>
      </c>
      <c r="N107" s="71">
        <f>'TCD sortants série 3 (janvier)'!N12</f>
        <v>1.9985011241568824E-2</v>
      </c>
      <c r="O107" s="71">
        <f>'TCD sortants série 3 (janvier)'!O12</f>
        <v>5.7142857142857143E-3</v>
      </c>
      <c r="P107" s="71">
        <f>'TCD sortants série 3 (janvier)'!P12</f>
        <v>6.5789473684210514E-3</v>
      </c>
      <c r="Q107" s="73">
        <f t="shared" si="129"/>
        <v>1.075941477475853E-2</v>
      </c>
      <c r="R107" s="71">
        <f>'TCD sortants série 3 (janvier)'!R12</f>
        <v>0</v>
      </c>
      <c r="S107" s="71">
        <f>'TCD sortants série 3 (janvier)'!S12</f>
        <v>1.1709601873536302E-3</v>
      </c>
      <c r="T107" s="71">
        <f>'TCD sortants série 3 (janvier)'!T12</f>
        <v>0</v>
      </c>
      <c r="U107" s="73">
        <f t="shared" si="130"/>
        <v>3.9032006245121005E-4</v>
      </c>
      <c r="V107" s="71">
        <f>'TCD sortants série 3 (janvier)'!V12</f>
        <v>0</v>
      </c>
      <c r="W107" s="71">
        <f>'TCD sortants série 3 (janvier)'!W12</f>
        <v>0</v>
      </c>
      <c r="X107" s="71">
        <f>'TCD sortants série 3 (janvier)'!X12</f>
        <v>0</v>
      </c>
      <c r="Y107" s="73">
        <f t="shared" si="131"/>
        <v>0</v>
      </c>
      <c r="Z107" s="71">
        <f>'TCD sortants série 3 (janvier)'!Z12</f>
        <v>1.2678288431061804E-2</v>
      </c>
      <c r="AA107" s="71">
        <f>'TCD sortants série 3 (janvier)'!AA12</f>
        <v>1.8484288354898314E-3</v>
      </c>
      <c r="AB107" s="71">
        <f>'TCD sortants série 3 (janvier)'!AB12</f>
        <v>6.6401062416998665E-3</v>
      </c>
      <c r="AC107" s="73">
        <f t="shared" si="132"/>
        <v>7.0556078360838334E-3</v>
      </c>
      <c r="AD107" s="71">
        <f>'TCD sortants série 3 (janvier)'!AD12</f>
        <v>2.4132730015082957E-2</v>
      </c>
      <c r="AE107" s="71">
        <f>'TCD sortants série 3 (janvier)'!AE12</f>
        <v>1.0189228529839877E-2</v>
      </c>
      <c r="AF107" s="71">
        <f>'TCD sortants série 3 (janvier)'!AF12</f>
        <v>1.3140604467805517E-2</v>
      </c>
      <c r="AG107" s="73">
        <f t="shared" si="133"/>
        <v>1.5820854337576119E-2</v>
      </c>
      <c r="AH107" s="71">
        <f>'TCD sortants série 3 (janvier)'!AH12</f>
        <v>0.86800894854586119</v>
      </c>
      <c r="AI107" s="71">
        <f>'TCD sortants série 3 (janvier)'!AI12</f>
        <v>0.76100628930817604</v>
      </c>
      <c r="AJ107" s="71">
        <f>'TCD sortants série 3 (janvier)'!AJ12</f>
        <v>0.73226544622425616</v>
      </c>
      <c r="AK107" s="73">
        <f t="shared" si="134"/>
        <v>0.78709356135943109</v>
      </c>
      <c r="AL107" s="71">
        <f>'TCD sortants série 3 (janvier)'!AL12</f>
        <v>6.6666666666666688E-3</v>
      </c>
      <c r="AM107" s="71">
        <f>'TCD sortants série 3 (janvier)'!AM12</f>
        <v>7.0588235294117674E-2</v>
      </c>
      <c r="AN107" s="71">
        <f>'TCD sortants série 3 (janvier)'!AN12</f>
        <v>6.1728395061728392E-3</v>
      </c>
      <c r="AO107" s="73">
        <f t="shared" si="135"/>
        <v>2.7809247155652392E-2</v>
      </c>
      <c r="AP107" s="71">
        <f>'TCD sortants série 3 (janvier)'!AP12</f>
        <v>3.2786885245901639E-3</v>
      </c>
      <c r="AQ107" s="71">
        <f>'TCD sortants série 3 (janvier)'!AQ12</f>
        <v>1.5417823003391897E-3</v>
      </c>
      <c r="AR107" s="71">
        <f>'TCD sortants série 3 (janvier)'!AR12</f>
        <v>0</v>
      </c>
      <c r="AS107" s="73">
        <f t="shared" si="136"/>
        <v>1.6068236083097846E-3</v>
      </c>
      <c r="AT107" s="71">
        <f>'TCD sortants série 3 (janvier)'!AT12</f>
        <v>2.9455081001472749E-3</v>
      </c>
      <c r="AU107" s="71">
        <f>'TCD sortants série 3 (janvier)'!AU12</f>
        <v>5.3475935828876985E-3</v>
      </c>
      <c r="AV107" s="71">
        <f>'TCD sortants série 3 (janvier)'!AV12</f>
        <v>4.5871559633027499E-3</v>
      </c>
      <c r="AW107" s="73">
        <f t="shared" si="137"/>
        <v>4.2934192154459073E-3</v>
      </c>
      <c r="AX107" s="71">
        <f>'TCD sortants série 3 (janvier)'!AX12</f>
        <v>1.8450184501845035E-3</v>
      </c>
    </row>
    <row r="108" spans="1:50" x14ac:dyDescent="0.25">
      <c r="A108" s="82" t="s">
        <v>59</v>
      </c>
      <c r="B108" s="71">
        <f>'TCD sortants série 3 (janvier)'!B13</f>
        <v>1.4705882352941183E-2</v>
      </c>
      <c r="C108" s="71">
        <f>'TCD sortants série 3 (janvier)'!C13</f>
        <v>3.1578947368421061E-2</v>
      </c>
      <c r="D108" s="71">
        <f>'TCD sortants série 3 (janvier)'!D13</f>
        <v>3.6262203626220367E-2</v>
      </c>
      <c r="E108" s="73">
        <f t="shared" si="126"/>
        <v>2.7515677782527542E-2</v>
      </c>
      <c r="F108" s="71">
        <f>'TCD sortants série 3 (janvier)'!F13</f>
        <v>0</v>
      </c>
      <c r="G108" s="71">
        <f>'TCD sortants série 3 (janvier)'!G13</f>
        <v>0</v>
      </c>
      <c r="H108" s="71">
        <f>'TCD sortants série 3 (janvier)'!H13</f>
        <v>1.9531249999999996E-3</v>
      </c>
      <c r="I108" s="73">
        <f t="shared" si="127"/>
        <v>6.5104166666666652E-4</v>
      </c>
      <c r="J108" s="71">
        <f>'TCD sortants série 3 (janvier)'!J13</f>
        <v>3.90625E-2</v>
      </c>
      <c r="K108" s="71">
        <f>'TCD sortants série 3 (janvier)'!K13</f>
        <v>5.3623188405797099E-2</v>
      </c>
      <c r="L108" s="71">
        <f>'TCD sortants série 3 (janvier)'!L13</f>
        <v>4.4726440607447474E-2</v>
      </c>
      <c r="M108" s="73">
        <f t="shared" si="128"/>
        <v>4.5804043004414853E-2</v>
      </c>
      <c r="N108" s="71">
        <f>'TCD sortants série 3 (janvier)'!N13</f>
        <v>2.4981264051961022E-3</v>
      </c>
      <c r="O108" s="71">
        <f>'TCD sortants série 3 (janvier)'!O13</f>
        <v>3.9999999999999966E-2</v>
      </c>
      <c r="P108" s="71">
        <f>'TCD sortants série 3 (janvier)'!P13</f>
        <v>5.0986842105263157E-2</v>
      </c>
      <c r="Q108" s="73">
        <f t="shared" si="129"/>
        <v>3.1161656170153079E-2</v>
      </c>
      <c r="R108" s="71">
        <f>'TCD sortants série 3 (janvier)'!R13</f>
        <v>0.92200131090233772</v>
      </c>
      <c r="S108" s="71">
        <f>'TCD sortants série 3 (janvier)'!S13</f>
        <v>0.90163934426229519</v>
      </c>
      <c r="T108" s="71">
        <f>'TCD sortants série 3 (janvier)'!T13</f>
        <v>0.92095588235294124</v>
      </c>
      <c r="U108" s="73">
        <f t="shared" si="130"/>
        <v>0.91486551250585801</v>
      </c>
      <c r="V108" s="71">
        <f>'TCD sortants série 3 (janvier)'!V13</f>
        <v>1.1513157894736836E-2</v>
      </c>
      <c r="W108" s="71">
        <f>'TCD sortants série 3 (janvier)'!W13</f>
        <v>1.037037037037037E-2</v>
      </c>
      <c r="X108" s="71">
        <f>'TCD sortants série 3 (janvier)'!X13</f>
        <v>2.6381909547738672E-2</v>
      </c>
      <c r="Y108" s="73">
        <f t="shared" si="131"/>
        <v>1.6088479270948627E-2</v>
      </c>
      <c r="Z108" s="71">
        <f>'TCD sortants série 3 (janvier)'!Z13</f>
        <v>1.5847860538827237E-3</v>
      </c>
      <c r="AA108" s="71">
        <f>'TCD sortants série 3 (janvier)'!AA13</f>
        <v>7.3937153419593336E-3</v>
      </c>
      <c r="AB108" s="71">
        <f>'TCD sortants série 3 (janvier)'!AB13</f>
        <v>5.3120849933598916E-3</v>
      </c>
      <c r="AC108" s="73">
        <f t="shared" si="132"/>
        <v>4.7635287964006498E-3</v>
      </c>
      <c r="AD108" s="71">
        <f>'TCD sortants série 3 (janvier)'!AD13</f>
        <v>0</v>
      </c>
      <c r="AE108" s="71">
        <f>'TCD sortants série 3 (janvier)'!AE13</f>
        <v>5.8224163027656428E-3</v>
      </c>
      <c r="AF108" s="71">
        <f>'TCD sortants série 3 (janvier)'!AF13</f>
        <v>1.4454664914586071E-2</v>
      </c>
      <c r="AG108" s="73">
        <f t="shared" si="133"/>
        <v>6.7590270724505715E-3</v>
      </c>
      <c r="AH108" s="71">
        <f>'TCD sortants série 3 (janvier)'!AH13</f>
        <v>8.9485458612975338E-3</v>
      </c>
      <c r="AI108" s="71">
        <f>'TCD sortants série 3 (janvier)'!AI13</f>
        <v>8.3857442348008338E-3</v>
      </c>
      <c r="AJ108" s="71">
        <f>'TCD sortants série 3 (janvier)'!AJ13</f>
        <v>4.5766590389016018E-3</v>
      </c>
      <c r="AK108" s="73">
        <f t="shared" si="134"/>
        <v>7.3036497116666559E-3</v>
      </c>
      <c r="AL108" s="71">
        <f>'TCD sortants série 3 (janvier)'!AL13</f>
        <v>3.3333333333333383E-3</v>
      </c>
      <c r="AM108" s="71">
        <f>'TCD sortants série 3 (janvier)'!AM13</f>
        <v>3.9215686274509777E-3</v>
      </c>
      <c r="AN108" s="71">
        <f>'TCD sortants série 3 (janvier)'!AN13</f>
        <v>6.1728395061728348E-3</v>
      </c>
      <c r="AO108" s="73">
        <f t="shared" si="135"/>
        <v>4.4759138223190503E-3</v>
      </c>
      <c r="AP108" s="71">
        <f>'TCD sortants série 3 (janvier)'!AP13</f>
        <v>3.2786885245901639E-3</v>
      </c>
      <c r="AQ108" s="71">
        <f>'TCD sortants série 3 (janvier)'!AQ13</f>
        <v>0</v>
      </c>
      <c r="AR108" s="71">
        <f>'TCD sortants série 3 (janvier)'!AR13</f>
        <v>0</v>
      </c>
      <c r="AS108" s="73">
        <f t="shared" si="136"/>
        <v>1.092896174863388E-3</v>
      </c>
      <c r="AT108" s="71">
        <f>'TCD sortants série 3 (janvier)'!AT13</f>
        <v>5.8910162002945498E-3</v>
      </c>
      <c r="AU108" s="71">
        <f>'TCD sortants série 3 (janvier)'!AU13</f>
        <v>2.4064171122994648E-2</v>
      </c>
      <c r="AV108" s="71">
        <f>'TCD sortants série 3 (janvier)'!AV13</f>
        <v>1.2232415902140675E-2</v>
      </c>
      <c r="AW108" s="73">
        <f t="shared" si="137"/>
        <v>1.4062534408476624E-2</v>
      </c>
      <c r="AX108" s="71">
        <f>'TCD sortants série 3 (janvier)'!AX13</f>
        <v>7.3800738007380063E-3</v>
      </c>
    </row>
    <row r="109" spans="1:50" x14ac:dyDescent="0.25">
      <c r="A109" s="82" t="s">
        <v>200</v>
      </c>
      <c r="B109" s="71">
        <f>'TCD sortants série 3 (janvier)'!B14</f>
        <v>0</v>
      </c>
      <c r="C109" s="71">
        <f>'TCD sortants série 3 (janvier)'!C14</f>
        <v>0</v>
      </c>
      <c r="D109" s="71">
        <f>'TCD sortants série 3 (janvier)'!D14</f>
        <v>0</v>
      </c>
      <c r="E109" s="73">
        <f t="shared" si="126"/>
        <v>0</v>
      </c>
      <c r="F109" s="71">
        <f>'TCD sortants série 3 (janvier)'!F14</f>
        <v>0</v>
      </c>
      <c r="G109" s="71">
        <f>'TCD sortants série 3 (janvier)'!G14</f>
        <v>0</v>
      </c>
      <c r="H109" s="71">
        <f>'TCD sortants série 3 (janvier)'!H14</f>
        <v>0</v>
      </c>
      <c r="I109" s="73">
        <f t="shared" si="127"/>
        <v>0</v>
      </c>
      <c r="J109" s="71">
        <f>'TCD sortants série 3 (janvier)'!J14</f>
        <v>0</v>
      </c>
      <c r="K109" s="71">
        <f>'TCD sortants série 3 (janvier)'!K14</f>
        <v>0</v>
      </c>
      <c r="L109" s="71">
        <f>'TCD sortants série 3 (janvier)'!L14</f>
        <v>0</v>
      </c>
      <c r="M109" s="73">
        <f t="shared" si="128"/>
        <v>0</v>
      </c>
      <c r="N109" s="71">
        <f>'TCD sortants série 3 (janvier)'!N14</f>
        <v>0.59705221084186855</v>
      </c>
      <c r="O109" s="71">
        <f>'TCD sortants série 3 (janvier)'!O14</f>
        <v>0.66428571428571437</v>
      </c>
      <c r="P109" s="71">
        <f>'TCD sortants série 3 (janvier)'!P14</f>
        <v>0.66118421052631582</v>
      </c>
      <c r="Q109" s="73">
        <f t="shared" si="129"/>
        <v>0.64084071188463287</v>
      </c>
      <c r="R109" s="71">
        <f>'TCD sortants série 3 (janvier)'!R14</f>
        <v>8.7393489185055816E-3</v>
      </c>
      <c r="S109" s="71">
        <f>'TCD sortants série 3 (janvier)'!S14</f>
        <v>1.1709601873536301E-2</v>
      </c>
      <c r="T109" s="71">
        <f>'TCD sortants série 3 (janvier)'!T14</f>
        <v>3.676470588235298E-3</v>
      </c>
      <c r="U109" s="73">
        <f t="shared" si="130"/>
        <v>8.0418071267590614E-3</v>
      </c>
      <c r="V109" s="71">
        <f>'TCD sortants série 3 (janvier)'!V14</f>
        <v>0</v>
      </c>
      <c r="W109" s="71">
        <f>'TCD sortants série 3 (janvier)'!W14</f>
        <v>0</v>
      </c>
      <c r="X109" s="71">
        <f>'TCD sortants série 3 (janvier)'!X14</f>
        <v>0</v>
      </c>
      <c r="Y109" s="73">
        <f t="shared" si="131"/>
        <v>0</v>
      </c>
      <c r="Z109" s="71">
        <f>'TCD sortants série 3 (janvier)'!Z14</f>
        <v>0</v>
      </c>
      <c r="AA109" s="71">
        <f>'TCD sortants série 3 (janvier)'!AA14</f>
        <v>0</v>
      </c>
      <c r="AB109" s="71">
        <f>'TCD sortants série 3 (janvier)'!AB14</f>
        <v>0</v>
      </c>
      <c r="AC109" s="73">
        <f t="shared" si="132"/>
        <v>0</v>
      </c>
      <c r="AD109" s="71">
        <f>'TCD sortants série 3 (janvier)'!AD14</f>
        <v>0</v>
      </c>
      <c r="AE109" s="71">
        <f>'TCD sortants série 3 (janvier)'!AE14</f>
        <v>0</v>
      </c>
      <c r="AF109" s="71">
        <f>'TCD sortants série 3 (janvier)'!AF14</f>
        <v>0</v>
      </c>
      <c r="AG109" s="73">
        <f t="shared" si="133"/>
        <v>0</v>
      </c>
      <c r="AH109" s="71">
        <f>'TCD sortants série 3 (janvier)'!AH14</f>
        <v>0</v>
      </c>
      <c r="AI109" s="71">
        <f>'TCD sortants série 3 (janvier)'!AI14</f>
        <v>0</v>
      </c>
      <c r="AJ109" s="71">
        <f>'TCD sortants série 3 (janvier)'!AJ14</f>
        <v>0</v>
      </c>
      <c r="AK109" s="73">
        <f t="shared" si="134"/>
        <v>0</v>
      </c>
      <c r="AL109" s="71">
        <f>'TCD sortants série 3 (janvier)'!AL14</f>
        <v>0</v>
      </c>
      <c r="AM109" s="71">
        <f>'TCD sortants série 3 (janvier)'!AM14</f>
        <v>0</v>
      </c>
      <c r="AN109" s="71">
        <f>'TCD sortants série 3 (janvier)'!AN14</f>
        <v>0</v>
      </c>
      <c r="AO109" s="73">
        <f t="shared" si="135"/>
        <v>0</v>
      </c>
      <c r="AP109" s="71">
        <f>'TCD sortants série 3 (janvier)'!AP14</f>
        <v>0</v>
      </c>
      <c r="AQ109" s="71">
        <f>'TCD sortants série 3 (janvier)'!AQ14</f>
        <v>0</v>
      </c>
      <c r="AR109" s="71">
        <f>'TCD sortants série 3 (janvier)'!AR14</f>
        <v>0</v>
      </c>
      <c r="AS109" s="73">
        <f t="shared" si="136"/>
        <v>0</v>
      </c>
      <c r="AT109" s="71">
        <f>'TCD sortants série 3 (janvier)'!AT14</f>
        <v>0</v>
      </c>
      <c r="AU109" s="71">
        <f>'TCD sortants série 3 (janvier)'!AU14</f>
        <v>0</v>
      </c>
      <c r="AV109" s="71">
        <f>'TCD sortants série 3 (janvier)'!AV14</f>
        <v>0</v>
      </c>
      <c r="AW109" s="73">
        <f t="shared" si="137"/>
        <v>0</v>
      </c>
      <c r="AX109" s="71">
        <f>'TCD sortants série 3 (janvier)'!AX14</f>
        <v>0</v>
      </c>
    </row>
    <row r="110" spans="1:50" x14ac:dyDescent="0.25">
      <c r="A110" s="82" t="s">
        <v>58</v>
      </c>
      <c r="B110" s="71">
        <f>'TCD sortants série 3 (janvier)'!B15</f>
        <v>9.4537815126050473E-2</v>
      </c>
      <c r="C110" s="71">
        <f>'TCD sortants série 3 (janvier)'!C15</f>
        <v>8.9473684210526302E-2</v>
      </c>
      <c r="D110" s="71">
        <f>'TCD sortants série 3 (janvier)'!D15</f>
        <v>8.2287308228730816E-2</v>
      </c>
      <c r="E110" s="73">
        <f t="shared" si="126"/>
        <v>8.8766269188435873E-2</v>
      </c>
      <c r="F110" s="71">
        <f>'TCD sortants série 3 (janvier)'!F15</f>
        <v>0</v>
      </c>
      <c r="G110" s="71">
        <f>'TCD sortants série 3 (janvier)'!G15</f>
        <v>0</v>
      </c>
      <c r="H110" s="71">
        <f>'TCD sortants série 3 (janvier)'!H15</f>
        <v>7.8124999999999957E-3</v>
      </c>
      <c r="I110" s="73">
        <f t="shared" si="127"/>
        <v>2.6041666666666652E-3</v>
      </c>
      <c r="J110" s="71">
        <f>'TCD sortants série 3 (janvier)'!J15</f>
        <v>0</v>
      </c>
      <c r="K110" s="71">
        <f>'TCD sortants série 3 (janvier)'!K15</f>
        <v>0</v>
      </c>
      <c r="L110" s="71">
        <f>'TCD sortants série 3 (janvier)'!L15</f>
        <v>0</v>
      </c>
      <c r="M110" s="73">
        <f t="shared" si="128"/>
        <v>0</v>
      </c>
      <c r="N110" s="71">
        <f>'TCD sortants série 3 (janvier)'!N15</f>
        <v>0</v>
      </c>
      <c r="O110" s="71">
        <f>'TCD sortants série 3 (janvier)'!O15</f>
        <v>4.2857142857142868E-3</v>
      </c>
      <c r="P110" s="71">
        <f>'TCD sortants série 3 (janvier)'!P15</f>
        <v>1.6447368421052611E-3</v>
      </c>
      <c r="Q110" s="73">
        <f t="shared" si="129"/>
        <v>1.976817042606516E-3</v>
      </c>
      <c r="R110" s="71">
        <f>'TCD sortants série 3 (janvier)'!R15</f>
        <v>0</v>
      </c>
      <c r="S110" s="71">
        <f>'TCD sortants série 3 (janvier)'!S15</f>
        <v>0</v>
      </c>
      <c r="T110" s="71">
        <f>'TCD sortants série 3 (janvier)'!T15</f>
        <v>0</v>
      </c>
      <c r="U110" s="73">
        <f t="shared" si="130"/>
        <v>0</v>
      </c>
      <c r="V110" s="71">
        <f>'TCD sortants série 3 (janvier)'!V15</f>
        <v>0</v>
      </c>
      <c r="W110" s="71">
        <f>'TCD sortants série 3 (janvier)'!W15</f>
        <v>0</v>
      </c>
      <c r="X110" s="71">
        <f>'TCD sortants série 3 (janvier)'!X15</f>
        <v>0</v>
      </c>
      <c r="Y110" s="73">
        <f t="shared" si="131"/>
        <v>0</v>
      </c>
      <c r="Z110" s="71">
        <f>'TCD sortants série 3 (janvier)'!Z15</f>
        <v>9.5087163232963484E-3</v>
      </c>
      <c r="AA110" s="71">
        <f>'TCD sortants série 3 (janvier)'!AA15</f>
        <v>9.242144177449169E-3</v>
      </c>
      <c r="AB110" s="71">
        <f>'TCD sortants série 3 (janvier)'!AB15</f>
        <v>1.3280212483399733E-2</v>
      </c>
      <c r="AC110" s="73">
        <f t="shared" si="132"/>
        <v>1.0677024328048415E-2</v>
      </c>
      <c r="AD110" s="71">
        <f>'TCD sortants série 3 (janvier)'!AD15</f>
        <v>0.92006033182503777</v>
      </c>
      <c r="AE110" s="71">
        <f>'TCD sortants série 3 (janvier)'!AE15</f>
        <v>0.87918486171761312</v>
      </c>
      <c r="AF110" s="71">
        <f>'TCD sortants série 3 (janvier)'!AF15</f>
        <v>0.85019710906701718</v>
      </c>
      <c r="AG110" s="73">
        <f t="shared" si="133"/>
        <v>0.88314743420322273</v>
      </c>
      <c r="AH110" s="71">
        <f>'TCD sortants série 3 (janvier)'!AH15</f>
        <v>3.8031319910514519E-2</v>
      </c>
      <c r="AI110" s="71">
        <f>'TCD sortants série 3 (janvier)'!AI15</f>
        <v>3.3542976939203342E-2</v>
      </c>
      <c r="AJ110" s="71">
        <f>'TCD sortants série 3 (janvier)'!AJ15</f>
        <v>3.2036613272311221E-2</v>
      </c>
      <c r="AK110" s="73">
        <f t="shared" si="134"/>
        <v>3.4536970040676358E-2</v>
      </c>
      <c r="AL110" s="71">
        <f>'TCD sortants série 3 (janvier)'!AL15</f>
        <v>0</v>
      </c>
      <c r="AM110" s="71">
        <f>'TCD sortants série 3 (janvier)'!AM15</f>
        <v>4.7058823529411799E-2</v>
      </c>
      <c r="AN110" s="71">
        <f>'TCD sortants série 3 (janvier)'!AN15</f>
        <v>2.0576131687242813E-3</v>
      </c>
      <c r="AO110" s="73">
        <f t="shared" si="135"/>
        <v>1.6372145566045361E-2</v>
      </c>
      <c r="AP110" s="71">
        <f>'TCD sortants série 3 (janvier)'!AP15</f>
        <v>0</v>
      </c>
      <c r="AQ110" s="71">
        <f>'TCD sortants série 3 (janvier)'!AQ15</f>
        <v>1.5417823003391919E-3</v>
      </c>
      <c r="AR110" s="71">
        <f>'TCD sortants série 3 (janvier)'!AR15</f>
        <v>5.7471264367816109E-3</v>
      </c>
      <c r="AS110" s="73">
        <f t="shared" si="136"/>
        <v>2.4296362457069342E-3</v>
      </c>
      <c r="AT110" s="71">
        <f>'TCD sortants série 3 (janvier)'!AT15</f>
        <v>2.0618556701030927E-2</v>
      </c>
      <c r="AU110" s="71">
        <f>'TCD sortants série 3 (janvier)'!AU15</f>
        <v>3.4759358288770019E-2</v>
      </c>
      <c r="AV110" s="71">
        <f>'TCD sortants série 3 (janvier)'!AV15</f>
        <v>1.9877675840978593E-2</v>
      </c>
      <c r="AW110" s="73">
        <f t="shared" si="137"/>
        <v>2.508519694359318E-2</v>
      </c>
      <c r="AX110" s="71">
        <f>'TCD sortants série 3 (janvier)'!AX15</f>
        <v>7.3800738007380063E-3</v>
      </c>
    </row>
    <row r="111" spans="1:50" x14ac:dyDescent="0.25">
      <c r="A111" s="82" t="s">
        <v>404</v>
      </c>
      <c r="B111" s="71">
        <f>'TCD sortants série 3 (janvier)'!B16</f>
        <v>2.5210084033613453E-2</v>
      </c>
      <c r="C111" s="71">
        <f>'TCD sortants série 3 (janvier)'!C16</f>
        <v>2.2807017543859651E-2</v>
      </c>
      <c r="D111" s="71">
        <f>'TCD sortants série 3 (janvier)'!D16</f>
        <v>1.1157601115760111E-2</v>
      </c>
      <c r="E111" s="73">
        <f t="shared" si="126"/>
        <v>1.9724900897744407E-2</v>
      </c>
      <c r="F111" s="71">
        <f>'TCD sortants série 3 (janvier)'!F16</f>
        <v>0.95078299776286357</v>
      </c>
      <c r="G111" s="71">
        <f>'TCD sortants série 3 (janvier)'!G16</f>
        <v>0.92966360856269115</v>
      </c>
      <c r="H111" s="71">
        <f>'TCD sortants série 3 (janvier)'!H16</f>
        <v>0.76562500000000011</v>
      </c>
      <c r="I111" s="73">
        <f t="shared" si="127"/>
        <v>0.8820238687751849</v>
      </c>
      <c r="J111" s="71">
        <f>'TCD sortants série 3 (janvier)'!J16</f>
        <v>1.9531250000000004E-3</v>
      </c>
      <c r="K111" s="71">
        <f>'TCD sortants série 3 (janvier)'!K16</f>
        <v>0</v>
      </c>
      <c r="L111" s="71">
        <f>'TCD sortants série 3 (janvier)'!L16</f>
        <v>0</v>
      </c>
      <c r="M111" s="73">
        <f t="shared" si="128"/>
        <v>6.5104166666666685E-4</v>
      </c>
      <c r="N111" s="71">
        <f>'TCD sortants série 3 (janvier)'!N16</f>
        <v>0</v>
      </c>
      <c r="O111" s="71">
        <f>'TCD sortants série 3 (janvier)'!O16</f>
        <v>1.4285714285714271E-3</v>
      </c>
      <c r="P111" s="71">
        <f>'TCD sortants série 3 (janvier)'!P16</f>
        <v>0</v>
      </c>
      <c r="Q111" s="73">
        <f t="shared" si="129"/>
        <v>4.761904761904757E-4</v>
      </c>
      <c r="R111" s="71">
        <f>'TCD sortants série 3 (janvier)'!R16</f>
        <v>0</v>
      </c>
      <c r="S111" s="71">
        <f>'TCD sortants série 3 (janvier)'!S16</f>
        <v>0</v>
      </c>
      <c r="T111" s="71">
        <f>'TCD sortants série 3 (janvier)'!T16</f>
        <v>0</v>
      </c>
      <c r="U111" s="73">
        <f t="shared" si="130"/>
        <v>0</v>
      </c>
      <c r="V111" s="71">
        <f>'TCD sortants série 3 (janvier)'!V16</f>
        <v>0</v>
      </c>
      <c r="W111" s="71">
        <f>'TCD sortants série 3 (janvier)'!W16</f>
        <v>0</v>
      </c>
      <c r="X111" s="71">
        <f>'TCD sortants série 3 (janvier)'!X16</f>
        <v>0</v>
      </c>
      <c r="Y111" s="73">
        <f t="shared" si="131"/>
        <v>0</v>
      </c>
      <c r="Z111" s="71">
        <f>'TCD sortants série 3 (janvier)'!Z16</f>
        <v>0</v>
      </c>
      <c r="AA111" s="71">
        <f>'TCD sortants série 3 (janvier)'!AA16</f>
        <v>0</v>
      </c>
      <c r="AB111" s="71">
        <f>'TCD sortants série 3 (janvier)'!AB16</f>
        <v>0</v>
      </c>
      <c r="AC111" s="73">
        <f t="shared" si="132"/>
        <v>0</v>
      </c>
      <c r="AD111" s="71">
        <f>'TCD sortants série 3 (janvier)'!AD16</f>
        <v>6.0331825037707376E-3</v>
      </c>
      <c r="AE111" s="71">
        <f>'TCD sortants série 3 (janvier)'!AE16</f>
        <v>2.9112081513828214E-3</v>
      </c>
      <c r="AF111" s="71">
        <f>'TCD sortants série 3 (janvier)'!AF16</f>
        <v>6.5703022339027584E-3</v>
      </c>
      <c r="AG111" s="73">
        <f t="shared" si="133"/>
        <v>5.1715642963521061E-3</v>
      </c>
      <c r="AH111" s="71">
        <f>'TCD sortants série 3 (janvier)'!AH16</f>
        <v>8.9485458612975338E-3</v>
      </c>
      <c r="AI111" s="71">
        <f>'TCD sortants série 3 (janvier)'!AI16</f>
        <v>8.3857442348008362E-2</v>
      </c>
      <c r="AJ111" s="71">
        <f>'TCD sortants série 3 (janvier)'!AJ16</f>
        <v>0.13043478260869568</v>
      </c>
      <c r="AK111" s="73">
        <f t="shared" si="134"/>
        <v>7.4413590272667196E-2</v>
      </c>
      <c r="AL111" s="71">
        <f>'TCD sortants série 3 (janvier)'!AL16</f>
        <v>0</v>
      </c>
      <c r="AM111" s="71">
        <f>'TCD sortants série 3 (janvier)'!AM16</f>
        <v>3.9215686274509777E-3</v>
      </c>
      <c r="AN111" s="71">
        <f>'TCD sortants série 3 (janvier)'!AN16</f>
        <v>0</v>
      </c>
      <c r="AO111" s="73">
        <f t="shared" si="135"/>
        <v>1.3071895424836592E-3</v>
      </c>
      <c r="AP111" s="71">
        <f>'TCD sortants série 3 (janvier)'!AP16</f>
        <v>3.2786885245901639E-3</v>
      </c>
      <c r="AQ111" s="71">
        <f>'TCD sortants série 3 (janvier)'!AQ16</f>
        <v>1.5417823003391919E-3</v>
      </c>
      <c r="AR111" s="71">
        <f>'TCD sortants série 3 (janvier)'!AR16</f>
        <v>0</v>
      </c>
      <c r="AS111" s="73">
        <f t="shared" si="136"/>
        <v>1.6068236083097854E-3</v>
      </c>
      <c r="AT111" s="71">
        <f>'TCD sortants série 3 (janvier)'!AT16</f>
        <v>1.3254786450662739E-2</v>
      </c>
      <c r="AU111" s="71">
        <f>'TCD sortants série 3 (janvier)'!AU16</f>
        <v>2.6737967914438492E-3</v>
      </c>
      <c r="AV111" s="71">
        <f>'TCD sortants série 3 (janvier)'!AV16</f>
        <v>7.6452599388379212E-3</v>
      </c>
      <c r="AW111" s="73">
        <f t="shared" si="137"/>
        <v>7.8579477269815033E-3</v>
      </c>
      <c r="AX111" s="71">
        <f>'TCD sortants série 3 (janvier)'!AX16</f>
        <v>1.107011070110701E-2</v>
      </c>
    </row>
    <row r="112" spans="1:50" x14ac:dyDescent="0.25">
      <c r="A112" s="82" t="s">
        <v>10</v>
      </c>
      <c r="B112" s="71">
        <f>'TCD sortants série 3 (janvier)'!B17</f>
        <v>0.59033613445378141</v>
      </c>
      <c r="C112" s="71">
        <f>'TCD sortants série 3 (janvier)'!C17</f>
        <v>0.55438596491228076</v>
      </c>
      <c r="D112" s="71">
        <f>'TCD sortants série 3 (janvier)'!D17</f>
        <v>0.6513249651324966</v>
      </c>
      <c r="E112" s="73">
        <f t="shared" si="126"/>
        <v>0.59868235483285293</v>
      </c>
      <c r="F112" s="71">
        <f>'TCD sortants série 3 (janvier)'!F17</f>
        <v>8.3892617449664378E-3</v>
      </c>
      <c r="G112" s="71">
        <f>'TCD sortants série 3 (janvier)'!G17</f>
        <v>2.7522935779816533E-2</v>
      </c>
      <c r="H112" s="71">
        <f>'TCD sortants série 3 (janvier)'!H17</f>
        <v>1.3671874999999995E-2</v>
      </c>
      <c r="I112" s="73">
        <f t="shared" si="127"/>
        <v>1.6528024174927654E-2</v>
      </c>
      <c r="J112" s="71">
        <f>'TCD sortants série 3 (janvier)'!J17</f>
        <v>1.953125E-2</v>
      </c>
      <c r="K112" s="71">
        <f>'TCD sortants série 3 (janvier)'!K17</f>
        <v>3.1884057971014484E-2</v>
      </c>
      <c r="L112" s="71">
        <f>'TCD sortants série 3 (janvier)'!L17</f>
        <v>4.7846889952153089E-2</v>
      </c>
      <c r="M112" s="73">
        <f t="shared" si="128"/>
        <v>3.3087399307722525E-2</v>
      </c>
      <c r="N112" s="71">
        <f>'TCD sortants série 3 (janvier)'!N17</f>
        <v>0.28728453659755182</v>
      </c>
      <c r="O112" s="71">
        <f>'TCD sortants série 3 (janvier)'!O17</f>
        <v>0.18857142857142856</v>
      </c>
      <c r="P112" s="71">
        <f>'TCD sortants série 3 (janvier)'!P17</f>
        <v>0.15131578947368415</v>
      </c>
      <c r="Q112" s="73">
        <f t="shared" si="129"/>
        <v>0.20905725154755483</v>
      </c>
      <c r="R112" s="71">
        <f>'TCD sortants série 3 (janvier)'!R17</f>
        <v>1.8571116451824337E-2</v>
      </c>
      <c r="S112" s="71">
        <f>'TCD sortants série 3 (janvier)'!S17</f>
        <v>2.4590163934426208E-2</v>
      </c>
      <c r="T112" s="71">
        <f>'TCD sortants série 3 (janvier)'!T17</f>
        <v>1.4705882352941159E-2</v>
      </c>
      <c r="U112" s="73">
        <f t="shared" si="130"/>
        <v>1.9289054246397232E-2</v>
      </c>
      <c r="V112" s="71">
        <f>'TCD sortants série 3 (janvier)'!V17</f>
        <v>3.2894736842105244E-3</v>
      </c>
      <c r="W112" s="71">
        <f>'TCD sortants série 3 (janvier)'!W17</f>
        <v>1.185185185185185E-2</v>
      </c>
      <c r="X112" s="71">
        <f>'TCD sortants série 3 (janvier)'!X17</f>
        <v>1.0050251256281407E-2</v>
      </c>
      <c r="Y112" s="73">
        <f t="shared" si="131"/>
        <v>8.3971922641145943E-3</v>
      </c>
      <c r="Z112" s="71">
        <f>'TCD sortants série 3 (janvier)'!Z17</f>
        <v>5.2297939778129909E-2</v>
      </c>
      <c r="AA112" s="71">
        <f>'TCD sortants série 3 (janvier)'!AA17</f>
        <v>3.142329020332716E-2</v>
      </c>
      <c r="AB112" s="71">
        <f>'TCD sortants série 3 (janvier)'!AB17</f>
        <v>3.7184594953519216E-2</v>
      </c>
      <c r="AC112" s="73">
        <f t="shared" si="132"/>
        <v>4.0301941644992095E-2</v>
      </c>
      <c r="AD112" s="71">
        <f>'TCD sortants série 3 (janvier)'!AD17</f>
        <v>3.9215686274509803E-2</v>
      </c>
      <c r="AE112" s="71">
        <f>'TCD sortants série 3 (janvier)'!AE17</f>
        <v>5.9679767103347769E-2</v>
      </c>
      <c r="AF112" s="71">
        <f>'TCD sortants série 3 (janvier)'!AF17</f>
        <v>8.0157687253613635E-2</v>
      </c>
      <c r="AG112" s="73">
        <f t="shared" si="133"/>
        <v>5.9684380210490405E-2</v>
      </c>
      <c r="AH112" s="71">
        <f>'TCD sortants série 3 (janvier)'!AH17</f>
        <v>7.158836689038027E-2</v>
      </c>
      <c r="AI112" s="71">
        <f>'TCD sortants série 3 (janvier)'!AI17</f>
        <v>7.7568134171907721E-2</v>
      </c>
      <c r="AJ112" s="71">
        <f>'TCD sortants série 3 (janvier)'!AJ17</f>
        <v>7.3226544622425629E-2</v>
      </c>
      <c r="AK112" s="73">
        <f t="shared" si="134"/>
        <v>7.412768189490454E-2</v>
      </c>
      <c r="AL112" s="71">
        <f>'TCD sortants série 3 (janvier)'!AL17</f>
        <v>0.20333333333333325</v>
      </c>
      <c r="AM112" s="71">
        <f>'TCD sortants série 3 (janvier)'!AM17</f>
        <v>0.17647058823529421</v>
      </c>
      <c r="AN112" s="71">
        <f>'TCD sortants série 3 (janvier)'!AN17</f>
        <v>0</v>
      </c>
      <c r="AO112" s="73">
        <f t="shared" si="135"/>
        <v>0.12660130718954249</v>
      </c>
      <c r="AP112" s="71">
        <f>'TCD sortants série 3 (janvier)'!AP17</f>
        <v>4.098360655737706E-2</v>
      </c>
      <c r="AQ112" s="71">
        <f>'TCD sortants série 3 (janvier)'!AQ17</f>
        <v>6.9380203515263625E-2</v>
      </c>
      <c r="AR112" s="71">
        <f>'TCD sortants série 3 (janvier)'!AR17</f>
        <v>7.662835249042145E-2</v>
      </c>
      <c r="AS112" s="73">
        <f t="shared" si="136"/>
        <v>6.2330720854354038E-2</v>
      </c>
      <c r="AT112" s="71">
        <f>'TCD sortants série 3 (janvier)'!AT17</f>
        <v>9.4256259204712797E-2</v>
      </c>
      <c r="AU112" s="71">
        <f>'TCD sortants série 3 (janvier)'!AU17</f>
        <v>9.7593582887700578E-2</v>
      </c>
      <c r="AV112" s="71">
        <f>'TCD sortants série 3 (janvier)'!AV17</f>
        <v>0.146788990825688</v>
      </c>
      <c r="AW112" s="73">
        <f t="shared" si="137"/>
        <v>0.11287961097270045</v>
      </c>
      <c r="AX112" s="71">
        <f>'TCD sortants série 3 (janvier)'!AX17</f>
        <v>0.43911439114391143</v>
      </c>
    </row>
    <row r="113" spans="1:50" x14ac:dyDescent="0.25">
      <c r="A113" s="83" t="s">
        <v>31</v>
      </c>
      <c r="B113" s="77">
        <f>SUM(B101:B112)</f>
        <v>1</v>
      </c>
      <c r="C113" s="78">
        <f t="shared" ref="C113:E113" si="138">SUM(C101:C112)</f>
        <v>1</v>
      </c>
      <c r="D113" s="78">
        <f t="shared" si="138"/>
        <v>1</v>
      </c>
      <c r="E113" s="79">
        <f t="shared" si="138"/>
        <v>1</v>
      </c>
      <c r="F113" s="77">
        <f>SUM(F101:F112)</f>
        <v>1</v>
      </c>
      <c r="G113" s="78">
        <f t="shared" ref="G113:I113" si="139">SUM(G101:G112)</f>
        <v>1</v>
      </c>
      <c r="H113" s="78">
        <f t="shared" si="139"/>
        <v>1</v>
      </c>
      <c r="I113" s="79">
        <f t="shared" si="139"/>
        <v>0.99999999999999989</v>
      </c>
      <c r="J113" s="77">
        <f>SUM(J101:J112)</f>
        <v>1</v>
      </c>
      <c r="K113" s="78">
        <f t="shared" ref="K113:M113" si="140">SUM(K101:K112)</f>
        <v>0.99999999999999978</v>
      </c>
      <c r="L113" s="78">
        <f t="shared" si="140"/>
        <v>0.99999999999999989</v>
      </c>
      <c r="M113" s="79">
        <f t="shared" si="140"/>
        <v>1</v>
      </c>
      <c r="N113" s="77">
        <f>SUM(N101:N112)</f>
        <v>0.99999999999999989</v>
      </c>
      <c r="O113" s="78">
        <f t="shared" ref="O113:Q113" si="141">SUM(O101:O112)</f>
        <v>1</v>
      </c>
      <c r="P113" s="78">
        <f t="shared" si="141"/>
        <v>1</v>
      </c>
      <c r="Q113" s="79">
        <f t="shared" si="141"/>
        <v>1</v>
      </c>
      <c r="R113" s="77">
        <f>SUM(R101:R112)</f>
        <v>0.99999999999999989</v>
      </c>
      <c r="S113" s="78">
        <f t="shared" ref="S113:U113" si="142">SUM(S101:S112)</f>
        <v>1</v>
      </c>
      <c r="T113" s="78">
        <f t="shared" si="142"/>
        <v>1</v>
      </c>
      <c r="U113" s="79">
        <f t="shared" si="142"/>
        <v>1</v>
      </c>
      <c r="V113" s="77">
        <f>SUM(V101:V112)</f>
        <v>1</v>
      </c>
      <c r="W113" s="78">
        <f t="shared" ref="W113:Y113" si="143">SUM(W101:W112)</f>
        <v>1</v>
      </c>
      <c r="X113" s="78">
        <f t="shared" si="143"/>
        <v>1</v>
      </c>
      <c r="Y113" s="79">
        <f t="shared" si="143"/>
        <v>1</v>
      </c>
      <c r="Z113" s="77">
        <f>SUM(Z101:Z112)</f>
        <v>0.99999999999999978</v>
      </c>
      <c r="AA113" s="78">
        <f t="shared" ref="AA113:AC113" si="144">SUM(AA101:AA112)</f>
        <v>0.99999999999999989</v>
      </c>
      <c r="AB113" s="78">
        <f t="shared" si="144"/>
        <v>0.99999999999999989</v>
      </c>
      <c r="AC113" s="79">
        <f t="shared" si="144"/>
        <v>0.99999999999999989</v>
      </c>
      <c r="AD113" s="77">
        <f>SUM(AD101:AD112)</f>
        <v>1</v>
      </c>
      <c r="AE113" s="78">
        <f t="shared" ref="AE113:AG113" si="145">SUM(AE101:AE112)</f>
        <v>1</v>
      </c>
      <c r="AF113" s="78">
        <f t="shared" si="145"/>
        <v>1</v>
      </c>
      <c r="AG113" s="79">
        <f t="shared" si="145"/>
        <v>1.0000000000000002</v>
      </c>
      <c r="AH113" s="77">
        <f>SUM(AH101:AH112)</f>
        <v>0.99999999999999989</v>
      </c>
      <c r="AI113" s="78">
        <f t="shared" ref="AI113:AK113" si="146">SUM(AI101:AI112)</f>
        <v>1</v>
      </c>
      <c r="AJ113" s="78">
        <f t="shared" si="146"/>
        <v>0.99999999999999989</v>
      </c>
      <c r="AK113" s="79">
        <f t="shared" si="146"/>
        <v>0.99999999999999978</v>
      </c>
      <c r="AL113" s="77">
        <f>SUM(AL101:AL112)</f>
        <v>1</v>
      </c>
      <c r="AM113" s="78">
        <f t="shared" ref="AM113:AO113" si="147">SUM(AM101:AM112)</f>
        <v>1</v>
      </c>
      <c r="AN113" s="78">
        <f t="shared" si="147"/>
        <v>1.0000000000000002</v>
      </c>
      <c r="AO113" s="79">
        <f t="shared" si="147"/>
        <v>1</v>
      </c>
      <c r="AP113" s="77">
        <f>SUM(AP101:AP112)</f>
        <v>0.99999999999999978</v>
      </c>
      <c r="AQ113" s="78">
        <f t="shared" ref="AQ113:AS113" si="148">SUM(AQ101:AQ112)</f>
        <v>0.99999999999999978</v>
      </c>
      <c r="AR113" s="78">
        <f t="shared" si="148"/>
        <v>1</v>
      </c>
      <c r="AS113" s="79">
        <f t="shared" si="148"/>
        <v>0.99999999999999978</v>
      </c>
      <c r="AT113" s="77">
        <f>SUM(AT101:AT112)</f>
        <v>0.99999999999999989</v>
      </c>
      <c r="AU113" s="78">
        <f t="shared" ref="AU113:AW113" si="149">SUM(AU101:AU112)</f>
        <v>0.99999999999999978</v>
      </c>
      <c r="AV113" s="78">
        <f t="shared" si="149"/>
        <v>0.99999999999999989</v>
      </c>
      <c r="AW113" s="79">
        <f t="shared" si="149"/>
        <v>1</v>
      </c>
      <c r="AX113" s="77">
        <f>SUM(AX101:AX112)</f>
        <v>1</v>
      </c>
    </row>
    <row r="114" spans="1:50" s="80" customFormat="1" ht="119.45" customHeight="1" thickBot="1" x14ac:dyDescent="0.3">
      <c r="A114" s="89" t="s">
        <v>64</v>
      </c>
      <c r="B114" s="84"/>
      <c r="C114" s="85"/>
      <c r="D114" s="86"/>
      <c r="E114" s="88"/>
      <c r="F114" s="87"/>
      <c r="G114" s="85"/>
      <c r="H114" s="86"/>
      <c r="I114" s="88"/>
      <c r="J114" s="84"/>
      <c r="K114" s="99"/>
      <c r="L114" s="91"/>
      <c r="M114" s="88"/>
      <c r="N114" s="87"/>
      <c r="O114" s="85"/>
      <c r="P114" s="91"/>
      <c r="Q114" s="88"/>
      <c r="R114" s="84"/>
      <c r="S114" s="85"/>
      <c r="T114" s="86"/>
      <c r="U114" s="88"/>
      <c r="V114" s="87"/>
      <c r="W114" s="85"/>
      <c r="X114" s="86"/>
      <c r="Y114" s="88"/>
      <c r="Z114" s="84"/>
      <c r="AA114" s="85"/>
      <c r="AB114" s="86"/>
      <c r="AC114" s="88"/>
      <c r="AD114" s="84"/>
      <c r="AE114" s="85"/>
      <c r="AF114" s="86"/>
      <c r="AG114" s="88"/>
      <c r="AH114" s="84"/>
      <c r="AI114" s="85"/>
      <c r="AJ114" s="86"/>
      <c r="AK114" s="88"/>
      <c r="AL114" s="87"/>
      <c r="AM114" s="85"/>
      <c r="AN114" s="86"/>
      <c r="AO114" s="88"/>
      <c r="AP114" s="87"/>
      <c r="AQ114" s="85"/>
      <c r="AR114" s="91"/>
      <c r="AS114" s="88"/>
      <c r="AT114" s="87"/>
      <c r="AU114" s="85"/>
      <c r="AV114" s="91"/>
      <c r="AW114" s="88"/>
      <c r="AX114" s="81"/>
    </row>
    <row r="117" spans="1:50" x14ac:dyDescent="0.25">
      <c r="B117" s="50" t="str">
        <f>B100</f>
        <v>Refus_7</v>
      </c>
      <c r="C117" s="50" t="str">
        <f>C100</f>
        <v>Refus_8</v>
      </c>
      <c r="D117" s="50" t="str">
        <f>D100</f>
        <v>Refus_9</v>
      </c>
      <c r="F117" s="50" t="str">
        <f>F100</f>
        <v>PET_clair_7</v>
      </c>
      <c r="G117" s="50" t="str">
        <f>G100</f>
        <v>PET_clair_8</v>
      </c>
      <c r="H117" s="50" t="str">
        <f>H100</f>
        <v>PET_clair_9</v>
      </c>
      <c r="J117" s="50" t="str">
        <f>J100</f>
        <v>EMR_7</v>
      </c>
      <c r="K117" s="50" t="str">
        <f>K100</f>
        <v>EMR_8</v>
      </c>
      <c r="L117" s="50" t="str">
        <f>L100</f>
        <v>EMR_9</v>
      </c>
      <c r="N117" s="50" t="str">
        <f>N100</f>
        <v>PCM_7</v>
      </c>
      <c r="O117" s="50" t="str">
        <f>O100</f>
        <v>PCM_8</v>
      </c>
      <c r="P117" s="50" t="str">
        <f>P100</f>
        <v>PCM_9</v>
      </c>
      <c r="R117" s="50" t="str">
        <f>R100</f>
        <v>JRM_7</v>
      </c>
      <c r="S117" s="50" t="str">
        <f>S100</f>
        <v>JRM_8</v>
      </c>
      <c r="T117" s="50" t="str">
        <f>T100</f>
        <v>JRM_9</v>
      </c>
      <c r="V117" s="50" t="str">
        <f>V100</f>
        <v>Gros_cartons_7</v>
      </c>
      <c r="W117" s="50" t="str">
        <f>W100</f>
        <v>Gros_cartons_8</v>
      </c>
      <c r="X117" s="50" t="str">
        <f>X100</f>
        <v>Gros_cartons_9</v>
      </c>
      <c r="Z117" s="50" t="str">
        <f>Z100</f>
        <v>ELA_7</v>
      </c>
      <c r="AA117" s="50" t="str">
        <f>AA100</f>
        <v>ELA_8</v>
      </c>
      <c r="AB117" s="50" t="str">
        <f>AB100</f>
        <v>ELA_9</v>
      </c>
      <c r="AD117" s="50" t="str">
        <f>AD100</f>
        <v>PEHD/PP_7</v>
      </c>
      <c r="AE117" s="50" t="str">
        <f>AE100</f>
        <v>PEHD/PP_8</v>
      </c>
      <c r="AF117" s="50" t="str">
        <f>AF100</f>
        <v>PEHD/PP_9</v>
      </c>
      <c r="AH117" s="50" t="str">
        <f>AH100</f>
        <v>FLUX_DEV_7</v>
      </c>
      <c r="AI117" s="50" t="str">
        <f>AI100</f>
        <v>FLUX_DEV_8</v>
      </c>
      <c r="AJ117" s="50" t="str">
        <f>AJ100</f>
        <v>FLUX_DEV_9</v>
      </c>
      <c r="AL117" s="50" t="str">
        <f>AL100</f>
        <v>FILM_PE_7</v>
      </c>
      <c r="AM117" s="50" t="str">
        <f>AM100</f>
        <v>FILM_PE_8</v>
      </c>
      <c r="AN117" s="50" t="str">
        <f>AN100</f>
        <v>FILM_PE_9</v>
      </c>
      <c r="AP117" s="50" t="str">
        <f>AP100</f>
        <v>Acier_7</v>
      </c>
      <c r="AQ117" s="50" t="str">
        <f>AQ100</f>
        <v>Acier_8</v>
      </c>
      <c r="AR117" s="50" t="str">
        <f>AR100</f>
        <v>Acier_9</v>
      </c>
      <c r="AT117" s="50" t="str">
        <f>AT100</f>
        <v>Aluminium_7</v>
      </c>
      <c r="AU117" s="50" t="str">
        <f>AU100</f>
        <v>Aluminium_8</v>
      </c>
      <c r="AV117" s="50" t="str">
        <f>AV100</f>
        <v>Aluminium_9</v>
      </c>
    </row>
    <row r="118" spans="1:50" x14ac:dyDescent="0.25">
      <c r="A118" s="55" t="s">
        <v>33</v>
      </c>
      <c r="B118" s="51">
        <f>B112</f>
        <v>0.59033613445378141</v>
      </c>
      <c r="C118" s="51">
        <f>C112</f>
        <v>0.55438596491228076</v>
      </c>
      <c r="D118" s="51">
        <f>D112</f>
        <v>0.6513249651324966</v>
      </c>
      <c r="F118" s="51">
        <f>F112</f>
        <v>8.3892617449664378E-3</v>
      </c>
      <c r="G118" s="51">
        <f>G112</f>
        <v>2.7522935779816533E-2</v>
      </c>
      <c r="H118" s="51">
        <f>H112</f>
        <v>1.3671874999999995E-2</v>
      </c>
      <c r="J118" s="51">
        <f>J112</f>
        <v>1.953125E-2</v>
      </c>
      <c r="K118" s="51">
        <f>K112</f>
        <v>3.1884057971014484E-2</v>
      </c>
      <c r="L118" s="51">
        <f>L112</f>
        <v>4.7846889952153089E-2</v>
      </c>
      <c r="N118" s="51">
        <f>N112</f>
        <v>0.28728453659755182</v>
      </c>
      <c r="O118" s="51">
        <f>O112</f>
        <v>0.18857142857142856</v>
      </c>
      <c r="P118" s="51">
        <f>P112</f>
        <v>0.15131578947368415</v>
      </c>
      <c r="R118" s="51">
        <f>R112</f>
        <v>1.8571116451824337E-2</v>
      </c>
      <c r="S118" s="51">
        <f>S112</f>
        <v>2.4590163934426208E-2</v>
      </c>
      <c r="T118" s="51">
        <f>T112</f>
        <v>1.4705882352941159E-2</v>
      </c>
      <c r="V118" s="51">
        <f>V112</f>
        <v>3.2894736842105244E-3</v>
      </c>
      <c r="W118" s="51">
        <f>W112</f>
        <v>1.185185185185185E-2</v>
      </c>
      <c r="X118" s="51">
        <f>X112</f>
        <v>1.0050251256281407E-2</v>
      </c>
      <c r="Z118" s="51">
        <f>Z112</f>
        <v>5.2297939778129909E-2</v>
      </c>
      <c r="AA118" s="51">
        <f>AA112</f>
        <v>3.142329020332716E-2</v>
      </c>
      <c r="AB118" s="51">
        <f>AB112</f>
        <v>3.7184594953519216E-2</v>
      </c>
      <c r="AD118" s="51">
        <f>AD112</f>
        <v>3.9215686274509803E-2</v>
      </c>
      <c r="AE118" s="51">
        <f>AE112</f>
        <v>5.9679767103347769E-2</v>
      </c>
      <c r="AF118" s="51">
        <f>AF112</f>
        <v>8.0157687253613635E-2</v>
      </c>
      <c r="AH118" s="51">
        <f>AH112</f>
        <v>7.158836689038027E-2</v>
      </c>
      <c r="AI118" s="51">
        <f>AI112</f>
        <v>7.7568134171907721E-2</v>
      </c>
      <c r="AJ118" s="51">
        <f>AJ112</f>
        <v>7.3226544622425629E-2</v>
      </c>
      <c r="AL118" s="51">
        <f>AL112</f>
        <v>0.20333333333333325</v>
      </c>
      <c r="AM118" s="51">
        <f>AM112</f>
        <v>0.17647058823529421</v>
      </c>
      <c r="AN118" s="51">
        <f>AN112</f>
        <v>0</v>
      </c>
      <c r="AP118" s="51">
        <f>AP112</f>
        <v>4.098360655737706E-2</v>
      </c>
      <c r="AQ118" s="51">
        <f>AQ112</f>
        <v>6.9380203515263625E-2</v>
      </c>
      <c r="AR118" s="51">
        <f>AR112</f>
        <v>7.662835249042145E-2</v>
      </c>
      <c r="AT118" s="51">
        <f>AT112</f>
        <v>9.4256259204712797E-2</v>
      </c>
      <c r="AU118" s="51">
        <f>AU112</f>
        <v>9.7593582887700578E-2</v>
      </c>
      <c r="AV118" s="51">
        <f>AV112</f>
        <v>0.146788990825688</v>
      </c>
    </row>
    <row r="119" spans="1:50" x14ac:dyDescent="0.25">
      <c r="A119" s="68" t="s">
        <v>62</v>
      </c>
      <c r="B119" s="51">
        <f>100%-B118</f>
        <v>0.40966386554621859</v>
      </c>
      <c r="C119" s="51">
        <f t="shared" ref="C119:D119" si="150">100%-C118</f>
        <v>0.44561403508771924</v>
      </c>
      <c r="D119" s="51">
        <f t="shared" si="150"/>
        <v>0.3486750348675034</v>
      </c>
      <c r="F119" s="51">
        <f>100%-F118-F120</f>
        <v>4.0827740492169973E-2</v>
      </c>
      <c r="G119" s="51">
        <f t="shared" ref="G119:H119" si="151">100%-G118-G120</f>
        <v>4.2813455657492283E-2</v>
      </c>
      <c r="H119" s="51">
        <f t="shared" si="151"/>
        <v>0.22070312499999989</v>
      </c>
      <c r="J119" s="51">
        <f>100%-J118-J120</f>
        <v>4.1015625E-2</v>
      </c>
      <c r="K119" s="51">
        <f t="shared" ref="K119:L119" si="152">100%-K118-K120</f>
        <v>5.3623188405797273E-2</v>
      </c>
      <c r="L119" s="51">
        <f t="shared" si="152"/>
        <v>4.7222800083212002E-2</v>
      </c>
      <c r="N119" s="51">
        <f>100%-N118-N120</f>
        <v>0.11566325256057963</v>
      </c>
      <c r="O119" s="51">
        <f t="shared" ref="O119:P119" si="153">100%-O118-O120</f>
        <v>0.14714285714285702</v>
      </c>
      <c r="P119" s="51">
        <f t="shared" si="153"/>
        <v>0.1875</v>
      </c>
      <c r="R119" s="51">
        <f>100%-R118-R120</f>
        <v>5.9427572645837978E-2</v>
      </c>
      <c r="S119" s="51">
        <f t="shared" ref="S119:T119" si="154">100%-S118-S120</f>
        <v>7.3770491803278548E-2</v>
      </c>
      <c r="T119" s="51">
        <f t="shared" si="154"/>
        <v>6.4338235294117641E-2</v>
      </c>
      <c r="V119" s="51">
        <f>100%-V118-V120</f>
        <v>2.4671052631578982E-2</v>
      </c>
      <c r="W119" s="51">
        <f t="shared" ref="W119:X119" si="155">100%-W118-W120</f>
        <v>1.185185185185178E-2</v>
      </c>
      <c r="X119" s="51">
        <f t="shared" si="155"/>
        <v>3.1407035175879283E-2</v>
      </c>
      <c r="Z119" s="51">
        <f>100%-Z118-Z120</f>
        <v>4.4374009508716394E-2</v>
      </c>
      <c r="AA119" s="51">
        <f t="shared" ref="AA119:AB119" si="156">100%-AA118-AA120</f>
        <v>6.0998151571164616E-2</v>
      </c>
      <c r="AB119" s="51">
        <f t="shared" si="156"/>
        <v>5.5776892430278946E-2</v>
      </c>
      <c r="AD119" s="51">
        <f>100%-AD118-AD120</f>
        <v>4.0723981900452455E-2</v>
      </c>
      <c r="AE119" s="51">
        <f t="shared" ref="AE119:AF119" si="157">100%-AE118-AE120</f>
        <v>6.1135371179039111E-2</v>
      </c>
      <c r="AF119" s="51">
        <f t="shared" si="157"/>
        <v>6.9645203679369216E-2</v>
      </c>
      <c r="AH119" s="51">
        <f>100%-AH118-AH120</f>
        <v>6.0402684563758524E-2</v>
      </c>
      <c r="AI119" s="51">
        <f t="shared" ref="AI119:AJ119" si="158">100%-AI118-AI120</f>
        <v>0.16142557651991629</v>
      </c>
      <c r="AJ119" s="51">
        <f t="shared" si="158"/>
        <v>0.19450800915331823</v>
      </c>
      <c r="AL119" s="51">
        <f>100%-AL118-AL120</f>
        <v>9.000000000000008E-2</v>
      </c>
      <c r="AM119" s="51">
        <f t="shared" ref="AM119:AN119" si="159">100%-AM118-AM120</f>
        <v>0.14901960784313728</v>
      </c>
      <c r="AN119" s="51">
        <f t="shared" si="159"/>
        <v>1.6460905349794164E-2</v>
      </c>
      <c r="AP119" s="51">
        <f>100%-AP118-AP120</f>
        <v>3.770491803278686E-2</v>
      </c>
      <c r="AQ119" s="51">
        <f t="shared" ref="AQ119:AR119" si="160">100%-AQ118-AQ120</f>
        <v>3.3302497687326738E-2</v>
      </c>
      <c r="AR119" s="51">
        <f t="shared" si="160"/>
        <v>2.4904214559387072E-2</v>
      </c>
      <c r="AT119" s="51">
        <f>100%-AT118-AT120</f>
        <v>0.12960235640648021</v>
      </c>
      <c r="AU119" s="51">
        <f t="shared" ref="AU119:AV119" si="161">100%-AU118-AU120</f>
        <v>0.40106951871657759</v>
      </c>
      <c r="AV119" s="51">
        <f t="shared" si="161"/>
        <v>0.18807339449541283</v>
      </c>
    </row>
    <row r="120" spans="1:50" x14ac:dyDescent="0.25">
      <c r="A120" s="56" t="s">
        <v>63</v>
      </c>
      <c r="B120" s="51"/>
      <c r="C120" s="51"/>
      <c r="D120" s="51"/>
      <c r="F120" s="51">
        <f>F111</f>
        <v>0.95078299776286357</v>
      </c>
      <c r="G120" s="51">
        <f t="shared" ref="G120:H120" si="162">G111</f>
        <v>0.92966360856269115</v>
      </c>
      <c r="H120" s="51">
        <f t="shared" si="162"/>
        <v>0.76562500000000011</v>
      </c>
      <c r="J120" s="51">
        <f>J105</f>
        <v>0.939453125</v>
      </c>
      <c r="K120" s="51">
        <f t="shared" ref="K120:L120" si="163">K105</f>
        <v>0.91449275362318827</v>
      </c>
      <c r="L120" s="51">
        <f t="shared" si="163"/>
        <v>0.90493030996463486</v>
      </c>
      <c r="N120" s="51">
        <f>N109</f>
        <v>0.59705221084186855</v>
      </c>
      <c r="O120" s="51">
        <f t="shared" ref="O120:P120" si="164">O109</f>
        <v>0.66428571428571437</v>
      </c>
      <c r="P120" s="51">
        <f t="shared" si="164"/>
        <v>0.66118421052631582</v>
      </c>
      <c r="R120" s="51">
        <f>R108</f>
        <v>0.92200131090233772</v>
      </c>
      <c r="S120" s="51">
        <f t="shared" ref="S120:T120" si="165">S108</f>
        <v>0.90163934426229519</v>
      </c>
      <c r="T120" s="51">
        <f t="shared" si="165"/>
        <v>0.92095588235294124</v>
      </c>
      <c r="V120" s="51">
        <f>V105</f>
        <v>0.97203947368421051</v>
      </c>
      <c r="W120" s="51">
        <f t="shared" ref="W120:X120" si="166">W105</f>
        <v>0.97629629629629633</v>
      </c>
      <c r="X120" s="51">
        <f t="shared" si="166"/>
        <v>0.95854271356783927</v>
      </c>
      <c r="Z120" s="51">
        <f>Z104</f>
        <v>0.9033280507131537</v>
      </c>
      <c r="AA120" s="51">
        <f t="shared" ref="AA120:AB120" si="167">AA104</f>
        <v>0.90757855822550826</v>
      </c>
      <c r="AB120" s="51">
        <f t="shared" si="167"/>
        <v>0.90703851261620183</v>
      </c>
      <c r="AD120" s="51">
        <f>AD110</f>
        <v>0.92006033182503777</v>
      </c>
      <c r="AE120" s="51">
        <f t="shared" ref="AE120:AF120" si="168">AE110</f>
        <v>0.87918486171761312</v>
      </c>
      <c r="AF120" s="51">
        <f t="shared" si="168"/>
        <v>0.85019710906701718</v>
      </c>
      <c r="AH120" s="51">
        <f>AH107</f>
        <v>0.86800894854586119</v>
      </c>
      <c r="AI120" s="51">
        <f t="shared" ref="AI120:AJ120" si="169">AI107</f>
        <v>0.76100628930817604</v>
      </c>
      <c r="AJ120" s="51">
        <f t="shared" si="169"/>
        <v>0.73226544622425616</v>
      </c>
      <c r="AL120" s="51">
        <f>AL106</f>
        <v>0.70666666666666667</v>
      </c>
      <c r="AM120" s="51">
        <f t="shared" ref="AM120:AN120" si="170">AM106</f>
        <v>0.67450980392156856</v>
      </c>
      <c r="AN120" s="51">
        <f t="shared" si="170"/>
        <v>0.98353909465020584</v>
      </c>
      <c r="AP120" s="51">
        <f>AP101</f>
        <v>0.92131147540983604</v>
      </c>
      <c r="AQ120" s="51">
        <f t="shared" ref="AQ120:AR120" si="171">AQ101</f>
        <v>0.89731729879740962</v>
      </c>
      <c r="AR120" s="51">
        <f t="shared" si="171"/>
        <v>0.89846743295019149</v>
      </c>
      <c r="AT120" s="51">
        <f>AT102</f>
        <v>0.77614138438880698</v>
      </c>
      <c r="AU120" s="51">
        <f t="shared" ref="AU120:AV120" si="172">AU102</f>
        <v>0.50133689839572182</v>
      </c>
      <c r="AV120" s="51">
        <f t="shared" si="172"/>
        <v>0.6651376146788992</v>
      </c>
    </row>
    <row r="122" spans="1:50" hidden="1" outlineLevel="2" x14ac:dyDescent="0.25"/>
    <row r="123" spans="1:50" hidden="1" outlineLevel="2" x14ac:dyDescent="0.25"/>
    <row r="124" spans="1:50" hidden="1" outlineLevel="2" x14ac:dyDescent="0.25"/>
    <row r="125" spans="1:50" hidden="1" outlineLevel="2" x14ac:dyDescent="0.25"/>
    <row r="126" spans="1:50" hidden="1" outlineLevel="2" x14ac:dyDescent="0.25"/>
    <row r="127" spans="1:50" hidden="1" outlineLevel="2" x14ac:dyDescent="0.25"/>
    <row r="128" spans="1:50" hidden="1" outlineLevel="2" x14ac:dyDescent="0.25"/>
    <row r="129" customFormat="1" hidden="1" outlineLevel="2" x14ac:dyDescent="0.25"/>
    <row r="130" customFormat="1" hidden="1" outlineLevel="2" x14ac:dyDescent="0.25"/>
    <row r="131" customFormat="1" hidden="1" outlineLevel="2" x14ac:dyDescent="0.25"/>
    <row r="132" customFormat="1" hidden="1" outlineLevel="2" x14ac:dyDescent="0.25"/>
    <row r="133" customFormat="1" hidden="1" outlineLevel="2" x14ac:dyDescent="0.25"/>
    <row r="134" customFormat="1" hidden="1" outlineLevel="2" x14ac:dyDescent="0.25"/>
    <row r="135" customFormat="1" hidden="1" outlineLevel="2" x14ac:dyDescent="0.25"/>
    <row r="136" customFormat="1" hidden="1" outlineLevel="2" x14ac:dyDescent="0.25"/>
    <row r="137" customFormat="1" hidden="1" outlineLevel="2" x14ac:dyDescent="0.25"/>
    <row r="138" customFormat="1" hidden="1" outlineLevel="2" x14ac:dyDescent="0.25"/>
    <row r="139" customFormat="1" hidden="1" outlineLevel="2" x14ac:dyDescent="0.25"/>
    <row r="140" customFormat="1" hidden="1" outlineLevel="2" x14ac:dyDescent="0.25"/>
    <row r="141" customFormat="1" hidden="1" outlineLevel="2" x14ac:dyDescent="0.25"/>
    <row r="142" customFormat="1" hidden="1" outlineLevel="2" x14ac:dyDescent="0.25"/>
    <row r="143" customFormat="1" hidden="1" outlineLevel="2" x14ac:dyDescent="0.25"/>
    <row r="144" customFormat="1" hidden="1" outlineLevel="2" x14ac:dyDescent="0.25"/>
    <row r="145" spans="1:50" collapsed="1" x14ac:dyDescent="0.25"/>
    <row r="146" spans="1:50" ht="21" x14ac:dyDescent="0.35">
      <c r="A146" s="105" t="s">
        <v>522</v>
      </c>
      <c r="B146" s="105"/>
      <c r="C146" s="105"/>
      <c r="D146" s="105"/>
      <c r="E146" s="105"/>
      <c r="F146" s="105"/>
      <c r="G146" s="105"/>
      <c r="H146" s="105"/>
    </row>
    <row r="148" spans="1:50" ht="15.75" thickBot="1" x14ac:dyDescent="0.3"/>
    <row r="149" spans="1:50" s="5" customFormat="1" ht="30" x14ac:dyDescent="0.25">
      <c r="B149" s="74" t="str">
        <f>'TCD sortants série 4 (février)'!B5</f>
        <v>Refus_10</v>
      </c>
      <c r="C149" s="75" t="str">
        <f>'TCD sortants série 4 (février)'!C5</f>
        <v>Refus_11</v>
      </c>
      <c r="D149" s="75" t="str">
        <f>'TCD sortants série 4 (février)'!D5</f>
        <v>Refus_12</v>
      </c>
      <c r="E149" s="76" t="s">
        <v>201</v>
      </c>
      <c r="F149" s="74" t="str">
        <f>'TCD sortants série 4 (février)'!F5</f>
        <v>PET_clair_10</v>
      </c>
      <c r="G149" s="75" t="str">
        <f>'TCD sortants série 4 (février)'!G5</f>
        <v>PET_clair_11</v>
      </c>
      <c r="H149" s="75" t="str">
        <f>'TCD sortants série 4 (février)'!H5</f>
        <v>PET_clair_12</v>
      </c>
      <c r="I149" s="76" t="s">
        <v>202</v>
      </c>
      <c r="J149" s="74" t="str">
        <f>'TCD sortants série 4 (février)'!J5</f>
        <v>EMR_10</v>
      </c>
      <c r="K149" s="75" t="str">
        <f>'TCD sortants série 4 (février)'!K5</f>
        <v>EMR_11</v>
      </c>
      <c r="L149" s="75" t="str">
        <f>'TCD sortants série 4 (février)'!L5</f>
        <v>EMR_12</v>
      </c>
      <c r="M149" s="76" t="s">
        <v>203</v>
      </c>
      <c r="N149" s="74" t="str">
        <f>'TCD sortants série 4 (février)'!N5</f>
        <v>PCM_10</v>
      </c>
      <c r="O149" s="75" t="str">
        <f>'TCD sortants série 4 (février)'!O5</f>
        <v>PCM_11</v>
      </c>
      <c r="P149" s="75" t="str">
        <f>'TCD sortants série 4 (février)'!P5</f>
        <v>PCM_12</v>
      </c>
      <c r="Q149" s="76" t="s">
        <v>204</v>
      </c>
      <c r="R149" s="74" t="str">
        <f>'TCD sortants série 4 (février)'!R5</f>
        <v>JRM_10</v>
      </c>
      <c r="S149" s="75" t="str">
        <f>'TCD sortants série 4 (février)'!S5</f>
        <v>JRM_11</v>
      </c>
      <c r="T149" s="75" t="str">
        <f>'TCD sortants série 4 (février)'!T5</f>
        <v>JRM_12</v>
      </c>
      <c r="U149" s="76" t="s">
        <v>205</v>
      </c>
      <c r="V149" s="74" t="str">
        <f>'TCD sortants série 4 (février)'!V5</f>
        <v>Gros_cartons_10</v>
      </c>
      <c r="W149" s="75" t="str">
        <f>'TCD sortants série 4 (février)'!W5</f>
        <v>Gros_cartons_11</v>
      </c>
      <c r="X149" s="75" t="str">
        <f>'TCD sortants série 4 (février)'!X5</f>
        <v>Gros_cartons_12</v>
      </c>
      <c r="Y149" s="76" t="s">
        <v>206</v>
      </c>
      <c r="Z149" s="74" t="str">
        <f>'TCD sortants série 4 (février)'!Z5</f>
        <v>ELA_10</v>
      </c>
      <c r="AA149" s="75" t="str">
        <f>'TCD sortants série 4 (février)'!AA5</f>
        <v>ELA_11</v>
      </c>
      <c r="AB149" s="75" t="str">
        <f>'TCD sortants série 4 (février)'!AB5</f>
        <v>ELA_12</v>
      </c>
      <c r="AC149" s="76" t="s">
        <v>207</v>
      </c>
      <c r="AD149" s="74" t="str">
        <f>'TCD sortants série 4 (février)'!AD5</f>
        <v>PEHD/PP_10</v>
      </c>
      <c r="AE149" s="75" t="str">
        <f>'TCD sortants série 4 (février)'!AE5</f>
        <v>PEHD/PP_11</v>
      </c>
      <c r="AF149" s="75" t="str">
        <f>'TCD sortants série 4 (février)'!AF5</f>
        <v>PEHD/PP_12</v>
      </c>
      <c r="AG149" s="76" t="s">
        <v>208</v>
      </c>
      <c r="AH149" s="74" t="str">
        <f>'TCD sortants série 4 (février)'!AH5</f>
        <v>FLUX_DEV_10</v>
      </c>
      <c r="AI149" s="75" t="str">
        <f>'TCD sortants série 4 (février)'!AI5</f>
        <v>FLUX_DEV_11</v>
      </c>
      <c r="AJ149" s="75" t="str">
        <f>'TCD sortants série 4 (février)'!AJ5</f>
        <v>FLUX_DEV_12</v>
      </c>
      <c r="AK149" s="76" t="s">
        <v>209</v>
      </c>
      <c r="AL149" s="74" t="str">
        <f>'TCD sortants série 4 (février)'!AL5</f>
        <v>FILM_PE_10</v>
      </c>
      <c r="AM149" s="75" t="str">
        <f>'TCD sortants série 4 (février)'!AM5</f>
        <v>FILM_PE_11</v>
      </c>
      <c r="AN149" s="75" t="str">
        <f>'TCD sortants série 4 (février)'!AN5</f>
        <v>FILM_PE_12</v>
      </c>
      <c r="AO149" s="76" t="s">
        <v>210</v>
      </c>
      <c r="AP149" s="74" t="str">
        <f>'TCD sortants série 4 (février)'!AP5</f>
        <v>Acier_10</v>
      </c>
      <c r="AQ149" s="75" t="str">
        <f>'TCD sortants série 4 (février)'!AQ5</f>
        <v>Acier_11</v>
      </c>
      <c r="AR149" s="75" t="str">
        <f>'TCD sortants série 4 (février)'!AR5</f>
        <v>Acier_12</v>
      </c>
      <c r="AS149" s="76" t="s">
        <v>211</v>
      </c>
      <c r="AT149" s="74" t="str">
        <f>'TCD sortants série 4 (février)'!AT5</f>
        <v>Aluminium_10</v>
      </c>
      <c r="AU149" s="75" t="str">
        <f>'TCD sortants série 4 (février)'!AU5</f>
        <v>Aluminium_11</v>
      </c>
      <c r="AV149" s="75" t="str">
        <f>'TCD sortants série 4 (février)'!AV5</f>
        <v>Aluminium_12</v>
      </c>
      <c r="AW149" s="76" t="s">
        <v>212</v>
      </c>
      <c r="AX149" s="74" t="str">
        <f>'TCD sortants série 4 (février)'!AX5</f>
        <v>Petits_alus_4</v>
      </c>
    </row>
    <row r="150" spans="1:50" x14ac:dyDescent="0.25">
      <c r="A150" s="82" t="s">
        <v>38</v>
      </c>
      <c r="B150" s="71">
        <f>'TCD sortants série 4 (février)'!B6</f>
        <v>0</v>
      </c>
      <c r="C150" s="71">
        <f>'TCD sortants série 4 (février)'!C6</f>
        <v>0</v>
      </c>
      <c r="D150" s="71">
        <f>'TCD sortants série 4 (février)'!D6</f>
        <v>0</v>
      </c>
      <c r="E150" s="73">
        <f>AVERAGE(B150:D150)</f>
        <v>0</v>
      </c>
      <c r="F150" s="71">
        <f>'TCD sortants série 4 (février)'!F6</f>
        <v>0</v>
      </c>
      <c r="G150" s="71">
        <f>'TCD sortants série 4 (février)'!G6</f>
        <v>0</v>
      </c>
      <c r="H150" s="71">
        <f>'TCD sortants série 4 (février)'!H6</f>
        <v>0</v>
      </c>
      <c r="I150" s="73">
        <f>AVERAGE(F150:H150)</f>
        <v>0</v>
      </c>
      <c r="J150" s="71">
        <f>'TCD sortants série 4 (février)'!J6</f>
        <v>0</v>
      </c>
      <c r="K150" s="71">
        <f>'TCD sortants série 4 (février)'!K6</f>
        <v>0</v>
      </c>
      <c r="L150" s="71">
        <f>'TCD sortants série 4 (février)'!L6</f>
        <v>0</v>
      </c>
      <c r="M150" s="73">
        <f>AVERAGE(J150:L150)</f>
        <v>0</v>
      </c>
      <c r="N150" s="71">
        <f>'TCD sortants série 4 (février)'!N6</f>
        <v>0</v>
      </c>
      <c r="O150" s="71">
        <f>'TCD sortants série 4 (février)'!O6</f>
        <v>0</v>
      </c>
      <c r="P150" s="71">
        <f>'TCD sortants série 4 (février)'!P6</f>
        <v>2.6737967914438497E-3</v>
      </c>
      <c r="Q150" s="73">
        <f>AVERAGE(N150:P150)</f>
        <v>8.9126559714794993E-4</v>
      </c>
      <c r="R150" s="71">
        <f>'TCD sortants série 4 (février)'!R6</f>
        <v>0</v>
      </c>
      <c r="S150" s="71">
        <f>'TCD sortants série 4 (février)'!S6</f>
        <v>0</v>
      </c>
      <c r="T150" s="71">
        <f>'TCD sortants série 4 (février)'!T6</f>
        <v>0</v>
      </c>
      <c r="U150" s="73">
        <f>AVERAGE(R150:T150)</f>
        <v>0</v>
      </c>
      <c r="V150" s="71">
        <f>'TCD sortants série 4 (février)'!V6</f>
        <v>0</v>
      </c>
      <c r="W150" s="71">
        <f>'TCD sortants série 4 (février)'!W6</f>
        <v>0</v>
      </c>
      <c r="X150" s="71">
        <f>'TCD sortants série 4 (février)'!X6</f>
        <v>0</v>
      </c>
      <c r="Y150" s="73">
        <f>AVERAGE(V150:X150)</f>
        <v>0</v>
      </c>
      <c r="Z150" s="71">
        <f>'TCD sortants série 4 (février)'!Z6</f>
        <v>0</v>
      </c>
      <c r="AA150" s="71">
        <f>'TCD sortants série 4 (février)'!AA6</f>
        <v>0</v>
      </c>
      <c r="AB150" s="71">
        <f>'TCD sortants série 4 (février)'!AB6</f>
        <v>0</v>
      </c>
      <c r="AC150" s="73">
        <f>AVERAGE(Z150:AB150)</f>
        <v>0</v>
      </c>
      <c r="AD150" s="71">
        <f>'TCD sortants série 4 (février)'!AD6</f>
        <v>0</v>
      </c>
      <c r="AE150" s="71">
        <f>'TCD sortants série 4 (février)'!AE6</f>
        <v>0</v>
      </c>
      <c r="AF150" s="71">
        <f>'TCD sortants série 4 (février)'!AF6</f>
        <v>0</v>
      </c>
      <c r="AG150" s="73">
        <f>AVERAGE(AD150:AF150)</f>
        <v>0</v>
      </c>
      <c r="AH150" s="71">
        <f>'TCD sortants série 4 (février)'!AH6</f>
        <v>0</v>
      </c>
      <c r="AI150" s="71">
        <f>'TCD sortants série 4 (février)'!AI6</f>
        <v>0</v>
      </c>
      <c r="AJ150" s="71">
        <f>'TCD sortants série 4 (février)'!AJ6</f>
        <v>0</v>
      </c>
      <c r="AK150" s="73">
        <f>AVERAGE(AH150:AJ150)</f>
        <v>0</v>
      </c>
      <c r="AL150" s="71">
        <f>'TCD sortants série 4 (février)'!AL6</f>
        <v>0</v>
      </c>
      <c r="AM150" s="71">
        <f>'TCD sortants série 4 (février)'!AM6</f>
        <v>0</v>
      </c>
      <c r="AN150" s="71">
        <f>'TCD sortants série 4 (février)'!AN6</f>
        <v>0</v>
      </c>
      <c r="AO150" s="73">
        <f>AVERAGE(AL150:AN150)</f>
        <v>0</v>
      </c>
      <c r="AP150" s="71">
        <f>'TCD sortants série 4 (février)'!AP6</f>
        <v>0.86358099878197314</v>
      </c>
      <c r="AQ150" s="71">
        <f>'TCD sortants série 4 (février)'!AQ6</f>
        <v>0.84946236559139787</v>
      </c>
      <c r="AR150" s="71">
        <f>'TCD sortants série 4 (février)'!AR6</f>
        <v>0.87736900780379035</v>
      </c>
      <c r="AS150" s="73">
        <f>AVERAGE(AP150:AR150)</f>
        <v>0.86347079072572042</v>
      </c>
      <c r="AT150" s="71">
        <f>'TCD sortants série 4 (février)'!AT6</f>
        <v>3.2175032175032162E-2</v>
      </c>
      <c r="AU150" s="71">
        <f>'TCD sortants série 4 (février)'!AU6</f>
        <v>0</v>
      </c>
      <c r="AV150" s="71">
        <f>'TCD sortants série 4 (février)'!AV6</f>
        <v>0</v>
      </c>
      <c r="AW150" s="73">
        <f>AVERAGE(AT150:AV150)</f>
        <v>1.072501072501072E-2</v>
      </c>
      <c r="AX150" s="71">
        <f>'TCD sortants série 4 (février)'!AX6</f>
        <v>0</v>
      </c>
    </row>
    <row r="151" spans="1:50" x14ac:dyDescent="0.25">
      <c r="A151" s="82" t="s">
        <v>34</v>
      </c>
      <c r="B151" s="71">
        <f>'TCD sortants série 4 (février)'!B7</f>
        <v>2.8625954198473282E-2</v>
      </c>
      <c r="C151" s="71">
        <f>'TCD sortants série 4 (février)'!C7</f>
        <v>4.2276422764227641E-2</v>
      </c>
      <c r="D151" s="71">
        <f>'TCD sortants série 4 (février)'!D7</f>
        <v>3.9246467817896397E-2</v>
      </c>
      <c r="E151" s="73">
        <f t="shared" ref="E151:E161" si="173">AVERAGE(B151:D151)</f>
        <v>3.6716281593532442E-2</v>
      </c>
      <c r="F151" s="71">
        <f>'TCD sortants série 4 (février)'!F7</f>
        <v>2.0703933747411979E-3</v>
      </c>
      <c r="G151" s="71">
        <f>'TCD sortants série 4 (février)'!G7</f>
        <v>0</v>
      </c>
      <c r="H151" s="71">
        <f>'TCD sortants série 4 (février)'!H7</f>
        <v>0</v>
      </c>
      <c r="I151" s="73">
        <f t="shared" ref="I151:I161" si="174">AVERAGE(F151:H151)</f>
        <v>6.9013112491373265E-4</v>
      </c>
      <c r="J151" s="71">
        <f>'TCD sortants série 4 (février)'!J7</f>
        <v>2.4721878862793575E-3</v>
      </c>
      <c r="K151" s="71">
        <f>'TCD sortants série 4 (février)'!K7</f>
        <v>2.7247956403269745E-3</v>
      </c>
      <c r="L151" s="71">
        <f>'TCD sortants série 4 (février)'!L7</f>
        <v>0</v>
      </c>
      <c r="M151" s="73">
        <f t="shared" ref="M151:M161" si="175">AVERAGE(J151:L151)</f>
        <v>1.7323278422021107E-3</v>
      </c>
      <c r="N151" s="71">
        <f>'TCD sortants série 4 (février)'!N7</f>
        <v>2.0231213872832374E-2</v>
      </c>
      <c r="O151" s="71">
        <f>'TCD sortants série 4 (février)'!O7</f>
        <v>1.9199999999999995E-2</v>
      </c>
      <c r="P151" s="71">
        <f>'TCD sortants série 4 (février)'!P7</f>
        <v>1.3368983957219251E-2</v>
      </c>
      <c r="Q151" s="73">
        <f t="shared" ref="Q151:Q161" si="176">AVERAGE(N151:P151)</f>
        <v>1.7600065943350538E-2</v>
      </c>
      <c r="R151" s="71">
        <f>'TCD sortants série 4 (février)'!R7</f>
        <v>1.3192612137203151E-3</v>
      </c>
      <c r="S151" s="71">
        <f>'TCD sortants série 4 (février)'!S7</f>
        <v>0</v>
      </c>
      <c r="T151" s="71">
        <f>'TCD sortants série 4 (février)'!T7</f>
        <v>0</v>
      </c>
      <c r="U151" s="73">
        <f t="shared" ref="U151:U161" si="177">AVERAGE(R151:T151)</f>
        <v>4.3975373790677169E-4</v>
      </c>
      <c r="V151" s="71">
        <f>'TCD sortants série 4 (février)'!V7</f>
        <v>0</v>
      </c>
      <c r="W151" s="71">
        <f>'TCD sortants série 4 (février)'!W7</f>
        <v>0</v>
      </c>
      <c r="X151" s="71">
        <f>'TCD sortants série 4 (février)'!X7</f>
        <v>0</v>
      </c>
      <c r="Y151" s="73">
        <f t="shared" ref="Y151:Y161" si="178">AVERAGE(V151:X151)</f>
        <v>0</v>
      </c>
      <c r="Z151" s="71">
        <f>'TCD sortants série 4 (février)'!Z7</f>
        <v>0</v>
      </c>
      <c r="AA151" s="71">
        <f>'TCD sortants série 4 (février)'!AA7</f>
        <v>1.2453300124532992E-3</v>
      </c>
      <c r="AB151" s="71">
        <f>'TCD sortants série 4 (février)'!AB7</f>
        <v>0</v>
      </c>
      <c r="AC151" s="73">
        <f t="shared" ref="AC151:AC161" si="179">AVERAGE(Z151:AB151)</f>
        <v>4.1511000415109977E-4</v>
      </c>
      <c r="AD151" s="71">
        <f>'TCD sortants série 4 (février)'!AD7</f>
        <v>4.3290043290043273E-3</v>
      </c>
      <c r="AE151" s="71">
        <f>'TCD sortants série 4 (février)'!AE7</f>
        <v>1.6420361247947437E-3</v>
      </c>
      <c r="AF151" s="71">
        <f>'TCD sortants série 4 (février)'!AF7</f>
        <v>8.5995085995085978E-3</v>
      </c>
      <c r="AG151" s="73">
        <f t="shared" ref="AG151:AG161" si="180">AVERAGE(AD151:AF151)</f>
        <v>4.8568496844358898E-3</v>
      </c>
      <c r="AH151" s="71">
        <f>'TCD sortants série 4 (février)'!AH7</f>
        <v>6.3694267515923518E-3</v>
      </c>
      <c r="AI151" s="71">
        <f>'TCD sortants série 4 (février)'!AI7</f>
        <v>6.7114093959731551E-3</v>
      </c>
      <c r="AJ151" s="71">
        <f>'TCD sortants série 4 (février)'!AJ7</f>
        <v>5.0761421319796933E-3</v>
      </c>
      <c r="AK151" s="73">
        <f t="shared" ref="AK151:AK161" si="181">AVERAGE(AH151:AJ151)</f>
        <v>6.0523260931817334E-3</v>
      </c>
      <c r="AL151" s="71">
        <f>'TCD sortants série 4 (février)'!AL7</f>
        <v>0</v>
      </c>
      <c r="AM151" s="71">
        <f>'TCD sortants série 4 (février)'!AM7</f>
        <v>0</v>
      </c>
      <c r="AN151" s="71">
        <f>'TCD sortants série 4 (février)'!AN7</f>
        <v>0</v>
      </c>
      <c r="AO151" s="73">
        <f t="shared" ref="AO151:AO161" si="182">AVERAGE(AL151:AN151)</f>
        <v>0</v>
      </c>
      <c r="AP151" s="71">
        <f>'TCD sortants série 4 (février)'!AP7</f>
        <v>2.4360535931790489E-3</v>
      </c>
      <c r="AQ151" s="71">
        <f>'TCD sortants série 4 (février)'!AQ7</f>
        <v>0</v>
      </c>
      <c r="AR151" s="71">
        <f>'TCD sortants série 4 (février)'!AR7</f>
        <v>4.459308807134894E-3</v>
      </c>
      <c r="AS151" s="73">
        <f t="shared" ref="AS151:AS161" si="183">AVERAGE(AP151:AR151)</f>
        <v>2.2984541334379808E-3</v>
      </c>
      <c r="AT151" s="71">
        <f>'TCD sortants série 4 (février)'!AT7</f>
        <v>0.8571428571428571</v>
      </c>
      <c r="AU151" s="71">
        <f>'TCD sortants série 4 (février)'!AU7</f>
        <v>0.8075471698113208</v>
      </c>
      <c r="AV151" s="71">
        <f>'TCD sortants série 4 (février)'!AV7</f>
        <v>0.84666666666666657</v>
      </c>
      <c r="AW151" s="73">
        <f t="shared" ref="AW151:AW161" si="184">AVERAGE(AT151:AV151)</f>
        <v>0.83711889787361482</v>
      </c>
      <c r="AX151" s="71">
        <f>'TCD sortants série 4 (février)'!AX7</f>
        <v>0.50878594249201281</v>
      </c>
    </row>
    <row r="152" spans="1:50" x14ac:dyDescent="0.25">
      <c r="A152" s="82" t="s">
        <v>35</v>
      </c>
      <c r="B152" s="71">
        <f>'TCD sortants série 4 (février)'!B8</f>
        <v>0</v>
      </c>
      <c r="C152" s="71">
        <f>'TCD sortants série 4 (février)'!C8</f>
        <v>0</v>
      </c>
      <c r="D152" s="71">
        <f>'TCD sortants série 4 (février)'!D8</f>
        <v>0</v>
      </c>
      <c r="E152" s="73">
        <f t="shared" si="173"/>
        <v>0</v>
      </c>
      <c r="F152" s="71">
        <f>'TCD sortants série 4 (février)'!F8</f>
        <v>0</v>
      </c>
      <c r="G152" s="71">
        <f>'TCD sortants série 4 (février)'!G8</f>
        <v>0</v>
      </c>
      <c r="H152" s="71">
        <f>'TCD sortants série 4 (février)'!H8</f>
        <v>0</v>
      </c>
      <c r="I152" s="73">
        <f t="shared" si="174"/>
        <v>0</v>
      </c>
      <c r="J152" s="71">
        <f>'TCD sortants série 4 (février)'!J8</f>
        <v>0</v>
      </c>
      <c r="K152" s="71">
        <f>'TCD sortants série 4 (février)'!K8</f>
        <v>0</v>
      </c>
      <c r="L152" s="71">
        <f>'TCD sortants série 4 (février)'!L8</f>
        <v>0</v>
      </c>
      <c r="M152" s="73">
        <f t="shared" si="175"/>
        <v>0</v>
      </c>
      <c r="N152" s="71">
        <f>'TCD sortants série 4 (février)'!N8</f>
        <v>0</v>
      </c>
      <c r="O152" s="71">
        <f>'TCD sortants série 4 (février)'!O8</f>
        <v>0</v>
      </c>
      <c r="P152" s="71">
        <f>'TCD sortants série 4 (février)'!P8</f>
        <v>0</v>
      </c>
      <c r="Q152" s="73">
        <f t="shared" si="176"/>
        <v>0</v>
      </c>
      <c r="R152" s="71">
        <f>'TCD sortants série 4 (février)'!R8</f>
        <v>0</v>
      </c>
      <c r="S152" s="71">
        <f>'TCD sortants série 4 (février)'!S8</f>
        <v>0</v>
      </c>
      <c r="T152" s="71">
        <f>'TCD sortants série 4 (février)'!T8</f>
        <v>0</v>
      </c>
      <c r="U152" s="73">
        <f t="shared" si="177"/>
        <v>0</v>
      </c>
      <c r="V152" s="71">
        <f>'TCD sortants série 4 (février)'!V8</f>
        <v>0</v>
      </c>
      <c r="W152" s="71">
        <f>'TCD sortants série 4 (février)'!W8</f>
        <v>0</v>
      </c>
      <c r="X152" s="71">
        <f>'TCD sortants série 4 (février)'!X8</f>
        <v>0</v>
      </c>
      <c r="Y152" s="73">
        <f t="shared" si="178"/>
        <v>0</v>
      </c>
      <c r="Z152" s="71">
        <f>'TCD sortants série 4 (février)'!Z8</f>
        <v>0</v>
      </c>
      <c r="AA152" s="71">
        <f>'TCD sortants série 4 (février)'!AA8</f>
        <v>0</v>
      </c>
      <c r="AB152" s="71">
        <f>'TCD sortants série 4 (février)'!AB8</f>
        <v>0</v>
      </c>
      <c r="AC152" s="73">
        <f t="shared" si="179"/>
        <v>0</v>
      </c>
      <c r="AD152" s="71">
        <f>'TCD sortants série 4 (février)'!AD8</f>
        <v>0</v>
      </c>
      <c r="AE152" s="71">
        <f>'TCD sortants série 4 (février)'!AE8</f>
        <v>0</v>
      </c>
      <c r="AF152" s="71">
        <f>'TCD sortants série 4 (février)'!AF8</f>
        <v>0</v>
      </c>
      <c r="AG152" s="73">
        <f t="shared" si="180"/>
        <v>0</v>
      </c>
      <c r="AH152" s="71">
        <f>'TCD sortants série 4 (février)'!AH8</f>
        <v>0</v>
      </c>
      <c r="AI152" s="71">
        <f>'TCD sortants série 4 (février)'!AI8</f>
        <v>0</v>
      </c>
      <c r="AJ152" s="71">
        <f>'TCD sortants série 4 (février)'!AJ8</f>
        <v>0</v>
      </c>
      <c r="AK152" s="73">
        <f t="shared" si="181"/>
        <v>0</v>
      </c>
      <c r="AL152" s="71">
        <f>'TCD sortants série 4 (février)'!AL8</f>
        <v>0</v>
      </c>
      <c r="AM152" s="71">
        <f>'TCD sortants série 4 (février)'!AM8</f>
        <v>0</v>
      </c>
      <c r="AN152" s="71">
        <f>'TCD sortants série 4 (février)'!AN8</f>
        <v>0</v>
      </c>
      <c r="AO152" s="73">
        <f t="shared" si="182"/>
        <v>0</v>
      </c>
      <c r="AP152" s="71">
        <f>'TCD sortants série 4 (février)'!AP8</f>
        <v>0</v>
      </c>
      <c r="AQ152" s="71">
        <f>'TCD sortants série 4 (février)'!AQ8</f>
        <v>0</v>
      </c>
      <c r="AR152" s="71">
        <f>'TCD sortants série 4 (février)'!AR8</f>
        <v>0</v>
      </c>
      <c r="AS152" s="73">
        <f t="shared" si="183"/>
        <v>0</v>
      </c>
      <c r="AT152" s="71">
        <f>'TCD sortants série 4 (février)'!AT8</f>
        <v>5.1480051480051444E-3</v>
      </c>
      <c r="AU152" s="71">
        <f>'TCD sortants série 4 (février)'!AU8</f>
        <v>1.257861635220124E-3</v>
      </c>
      <c r="AV152" s="71">
        <f>'TCD sortants série 4 (février)'!AV8</f>
        <v>6.6666666666666628E-3</v>
      </c>
      <c r="AW152" s="73">
        <f t="shared" si="184"/>
        <v>4.3575111499639767E-3</v>
      </c>
      <c r="AX152" s="71">
        <f>'TCD sortants série 4 (février)'!AX8</f>
        <v>0.10516506922257723</v>
      </c>
    </row>
    <row r="153" spans="1:50" x14ac:dyDescent="0.25">
      <c r="A153" s="82" t="s">
        <v>22</v>
      </c>
      <c r="B153" s="71">
        <f>'TCD sortants série 4 (février)'!B9</f>
        <v>1.1450381679389311E-2</v>
      </c>
      <c r="C153" s="71">
        <f>'TCD sortants série 4 (février)'!C9</f>
        <v>1.7886178861788619E-2</v>
      </c>
      <c r="D153" s="71">
        <f>'TCD sortants série 4 (février)'!D9</f>
        <v>1.5698587127158558E-2</v>
      </c>
      <c r="E153" s="73">
        <f t="shared" si="173"/>
        <v>1.5011715889445497E-2</v>
      </c>
      <c r="F153" s="71">
        <f>'TCD sortants série 4 (février)'!F9</f>
        <v>0</v>
      </c>
      <c r="G153" s="71">
        <f>'TCD sortants série 4 (février)'!G9</f>
        <v>0</v>
      </c>
      <c r="H153" s="71">
        <f>'TCD sortants série 4 (février)'!H9</f>
        <v>0</v>
      </c>
      <c r="I153" s="73">
        <f t="shared" si="174"/>
        <v>0</v>
      </c>
      <c r="J153" s="71">
        <f>'TCD sortants série 4 (février)'!J9</f>
        <v>1.2360939431396772E-3</v>
      </c>
      <c r="K153" s="71">
        <f>'TCD sortants série 4 (février)'!K9</f>
        <v>1.3623978201634857E-3</v>
      </c>
      <c r="L153" s="71">
        <f>'TCD sortants série 4 (février)'!L9</f>
        <v>1.5898251192368821E-3</v>
      </c>
      <c r="M153" s="73">
        <f t="shared" si="175"/>
        <v>1.3961056275133485E-3</v>
      </c>
      <c r="N153" s="71">
        <f>'TCD sortants série 4 (février)'!N9</f>
        <v>2.8901734104046241E-3</v>
      </c>
      <c r="O153" s="71">
        <f>'TCD sortants série 4 (février)'!O9</f>
        <v>4.799999999999997E-3</v>
      </c>
      <c r="P153" s="71">
        <f>'TCD sortants série 4 (février)'!P9</f>
        <v>4.0106951871657732E-3</v>
      </c>
      <c r="Q153" s="73">
        <f t="shared" si="176"/>
        <v>3.9002895325234654E-3</v>
      </c>
      <c r="R153" s="71">
        <f>'TCD sortants série 4 (février)'!R9</f>
        <v>1.3192612137203151E-3</v>
      </c>
      <c r="S153" s="71">
        <f>'TCD sortants série 4 (février)'!S9</f>
        <v>3.9421813403416536E-3</v>
      </c>
      <c r="T153" s="71">
        <f>'TCD sortants série 4 (février)'!T9</f>
        <v>0</v>
      </c>
      <c r="U153" s="73">
        <f t="shared" si="177"/>
        <v>1.753814184687323E-3</v>
      </c>
      <c r="V153" s="71">
        <f>'TCD sortants série 4 (février)'!V9</f>
        <v>0</v>
      </c>
      <c r="W153" s="71">
        <f>'TCD sortants série 4 (février)'!W9</f>
        <v>0</v>
      </c>
      <c r="X153" s="71">
        <f>'TCD sortants série 4 (février)'!X9</f>
        <v>0</v>
      </c>
      <c r="Y153" s="73">
        <f t="shared" si="178"/>
        <v>0</v>
      </c>
      <c r="Z153" s="71">
        <f>'TCD sortants série 4 (février)'!Z9</f>
        <v>0.95053475935828868</v>
      </c>
      <c r="AA153" s="71">
        <f>'TCD sortants série 4 (février)'!AA9</f>
        <v>0.89663760896637623</v>
      </c>
      <c r="AB153" s="71">
        <f>'TCD sortants série 4 (février)'!AB9</f>
        <v>0.92753623188405776</v>
      </c>
      <c r="AC153" s="73">
        <f t="shared" si="179"/>
        <v>0.92490286673624089</v>
      </c>
      <c r="AD153" s="71">
        <f>'TCD sortants série 4 (février)'!AD9</f>
        <v>5.772005772005772E-3</v>
      </c>
      <c r="AE153" s="71">
        <f>'TCD sortants série 4 (février)'!AE9</f>
        <v>0</v>
      </c>
      <c r="AF153" s="71">
        <f>'TCD sortants série 4 (février)'!AF9</f>
        <v>1.8427518427518427E-2</v>
      </c>
      <c r="AG153" s="73">
        <f t="shared" si="180"/>
        <v>8.0665080665080664E-3</v>
      </c>
      <c r="AH153" s="71">
        <f>'TCD sortants série 4 (février)'!AH9</f>
        <v>6.3694267515923518E-3</v>
      </c>
      <c r="AI153" s="71">
        <f>'TCD sortants série 4 (février)'!AI9</f>
        <v>0</v>
      </c>
      <c r="AJ153" s="71">
        <f>'TCD sortants série 4 (février)'!AJ9</f>
        <v>1.6920473773265631E-3</v>
      </c>
      <c r="AK153" s="73">
        <f t="shared" si="181"/>
        <v>2.6871580429729714E-3</v>
      </c>
      <c r="AL153" s="71">
        <f>'TCD sortants série 4 (février)'!AL9</f>
        <v>0</v>
      </c>
      <c r="AM153" s="71">
        <f>'TCD sortants série 4 (février)'!AM9</f>
        <v>0</v>
      </c>
      <c r="AN153" s="71">
        <f>'TCD sortants série 4 (février)'!AN9</f>
        <v>0</v>
      </c>
      <c r="AO153" s="73">
        <f t="shared" si="182"/>
        <v>0</v>
      </c>
      <c r="AP153" s="71">
        <f>'TCD sortants série 4 (février)'!AP9</f>
        <v>4.8721071863580979E-3</v>
      </c>
      <c r="AQ153" s="71">
        <f>'TCD sortants série 4 (février)'!AQ9</f>
        <v>0</v>
      </c>
      <c r="AR153" s="71">
        <f>'TCD sortants série 4 (février)'!AR9</f>
        <v>1.1148272017837222E-3</v>
      </c>
      <c r="AS153" s="73">
        <f t="shared" si="183"/>
        <v>1.9956447960472732E-3</v>
      </c>
      <c r="AT153" s="71">
        <f>'TCD sortants série 4 (février)'!AT9</f>
        <v>1.9305019305019298E-2</v>
      </c>
      <c r="AU153" s="71">
        <f>'TCD sortants série 4 (février)'!AU9</f>
        <v>2.7672955974842765E-2</v>
      </c>
      <c r="AV153" s="71">
        <f>'TCD sortants série 4 (février)'!AV9</f>
        <v>2.4444444444444435E-2</v>
      </c>
      <c r="AW153" s="73">
        <f t="shared" si="184"/>
        <v>2.3807473241435496E-2</v>
      </c>
      <c r="AX153" s="71">
        <f>'TCD sortants série 4 (février)'!AX9</f>
        <v>2.5292864749733756E-2</v>
      </c>
    </row>
    <row r="154" spans="1:50" x14ac:dyDescent="0.25">
      <c r="A154" s="82" t="s">
        <v>23</v>
      </c>
      <c r="B154" s="71">
        <f>'TCD sortants série 4 (février)'!B10</f>
        <v>5.3435114503816744E-2</v>
      </c>
      <c r="C154" s="71">
        <f>'TCD sortants série 4 (février)'!C10</f>
        <v>0.11869918699186988</v>
      </c>
      <c r="D154" s="71">
        <f>'TCD sortants série 4 (février)'!D10</f>
        <v>0.20251177394034539</v>
      </c>
      <c r="E154" s="73">
        <f t="shared" si="173"/>
        <v>0.12488202514534401</v>
      </c>
      <c r="F154" s="71">
        <f>'TCD sortants série 4 (février)'!F10</f>
        <v>2.0703933747411979E-3</v>
      </c>
      <c r="G154" s="71">
        <f>'TCD sortants série 4 (février)'!G10</f>
        <v>0</v>
      </c>
      <c r="H154" s="71">
        <f>'TCD sortants série 4 (février)'!H10</f>
        <v>1.7921146953405029E-3</v>
      </c>
      <c r="I154" s="73">
        <f t="shared" si="174"/>
        <v>1.2875026900272335E-3</v>
      </c>
      <c r="J154" s="71">
        <f>'TCD sortants série 4 (février)'!J10</f>
        <v>0.8862793572311497</v>
      </c>
      <c r="K154" s="71">
        <f>'TCD sortants série 4 (février)'!K10</f>
        <v>0.82016348773841974</v>
      </c>
      <c r="L154" s="71">
        <f>'TCD sortants série 4 (février)'!L10</f>
        <v>0.82988871224165339</v>
      </c>
      <c r="M154" s="73">
        <f t="shared" si="175"/>
        <v>0.84544385240374087</v>
      </c>
      <c r="N154" s="71">
        <f>'TCD sortants série 4 (février)'!N10</f>
        <v>7.3699421965317896E-2</v>
      </c>
      <c r="O154" s="71">
        <f>'TCD sortants série 4 (février)'!O10</f>
        <v>4.9599999999999998E-2</v>
      </c>
      <c r="P154" s="71">
        <f>'TCD sortants série 4 (février)'!P10</f>
        <v>9.3582887700534759E-2</v>
      </c>
      <c r="Q154" s="73">
        <f t="shared" si="176"/>
        <v>7.2294103221950887E-2</v>
      </c>
      <c r="R154" s="71">
        <f>'TCD sortants série 4 (février)'!R10</f>
        <v>0.11741424802110818</v>
      </c>
      <c r="S154" s="71">
        <f>'TCD sortants série 4 (février)'!S10</f>
        <v>0.126149802890933</v>
      </c>
      <c r="T154" s="71">
        <f>'TCD sortants série 4 (février)'!T10</f>
        <v>0.15309842041312272</v>
      </c>
      <c r="U154" s="73">
        <f t="shared" si="177"/>
        <v>0.13222082377505465</v>
      </c>
      <c r="V154" s="71">
        <f>'TCD sortants série 4 (février)'!V10</f>
        <v>0.96142433234421376</v>
      </c>
      <c r="W154" s="71">
        <f>'TCD sortants série 4 (février)'!W10</f>
        <v>0.97222222222222221</v>
      </c>
      <c r="X154" s="71">
        <f>'TCD sortants série 4 (février)'!X10</f>
        <v>1</v>
      </c>
      <c r="Y154" s="73">
        <f t="shared" si="178"/>
        <v>0.97788218485547862</v>
      </c>
      <c r="Z154" s="71">
        <f>'TCD sortants série 4 (février)'!Z10</f>
        <v>1.2032085561497326E-2</v>
      </c>
      <c r="AA154" s="71">
        <f>'TCD sortants série 4 (février)'!AA10</f>
        <v>2.9887920298879218E-2</v>
      </c>
      <c r="AB154" s="71">
        <f>'TCD sortants série 4 (février)'!AB10</f>
        <v>1.3175230566534911E-2</v>
      </c>
      <c r="AC154" s="73">
        <f t="shared" si="179"/>
        <v>1.8365078808970484E-2</v>
      </c>
      <c r="AD154" s="71">
        <f>'TCD sortants série 4 (février)'!AD10</f>
        <v>7.2150072150072167E-3</v>
      </c>
      <c r="AE154" s="71">
        <f>'TCD sortants série 4 (février)'!AE10</f>
        <v>4.9261083743842348E-3</v>
      </c>
      <c r="AF154" s="71">
        <f>'TCD sortants série 4 (février)'!AF10</f>
        <v>2.2113022113022109E-2</v>
      </c>
      <c r="AG154" s="73">
        <f t="shared" si="180"/>
        <v>1.1418045900804521E-2</v>
      </c>
      <c r="AH154" s="71">
        <f>'TCD sortants série 4 (février)'!AH10</f>
        <v>2.3354564755838639E-2</v>
      </c>
      <c r="AI154" s="71">
        <f>'TCD sortants série 4 (février)'!AI10</f>
        <v>8.3892617449664465E-3</v>
      </c>
      <c r="AJ154" s="71">
        <f>'TCD sortants série 4 (février)'!AJ10</f>
        <v>1.1844331641285956E-2</v>
      </c>
      <c r="AK154" s="73">
        <f t="shared" si="181"/>
        <v>1.4529386047363681E-2</v>
      </c>
      <c r="AL154" s="71">
        <f>'TCD sortants série 4 (février)'!AL10</f>
        <v>5.8252427184466028E-2</v>
      </c>
      <c r="AM154" s="71">
        <f>'TCD sortants série 4 (février)'!AM10</f>
        <v>4.947916666666663E-2</v>
      </c>
      <c r="AN154" s="71">
        <f>'TCD sortants série 4 (février)'!AN10</f>
        <v>1.0282776349614397E-2</v>
      </c>
      <c r="AO154" s="73">
        <f t="shared" si="182"/>
        <v>3.9338123400249017E-2</v>
      </c>
      <c r="AP154" s="71">
        <f>'TCD sortants série 4 (février)'!AP10</f>
        <v>2.0706455542021919E-2</v>
      </c>
      <c r="AQ154" s="71">
        <f>'TCD sortants série 4 (février)'!AQ10</f>
        <v>1.9115890083632021E-2</v>
      </c>
      <c r="AR154" s="71">
        <f>'TCD sortants série 4 (février)'!AR10</f>
        <v>1.4492753623188406E-2</v>
      </c>
      <c r="AS154" s="73">
        <f t="shared" si="183"/>
        <v>1.8105033082947451E-2</v>
      </c>
      <c r="AT154" s="71">
        <f>'TCD sortants série 4 (février)'!AT10</f>
        <v>2.5740025740025731E-2</v>
      </c>
      <c r="AU154" s="71">
        <f>'TCD sortants série 4 (février)'!AU10</f>
        <v>2.2641509433962259E-2</v>
      </c>
      <c r="AV154" s="71">
        <f>'TCD sortants série 4 (février)'!AV10</f>
        <v>2.1111111111111105E-2</v>
      </c>
      <c r="AW154" s="73">
        <f t="shared" si="184"/>
        <v>2.3164215428366369E-2</v>
      </c>
      <c r="AX154" s="71">
        <f>'TCD sortants série 4 (février)'!AX10</f>
        <v>3.9936102236421706E-3</v>
      </c>
    </row>
    <row r="155" spans="1:50" x14ac:dyDescent="0.25">
      <c r="A155" s="82" t="s">
        <v>60</v>
      </c>
      <c r="B155" s="71">
        <f>'TCD sortants série 4 (février)'!B11</f>
        <v>1.1450381679389315E-2</v>
      </c>
      <c r="C155" s="71">
        <f>'TCD sortants série 4 (février)'!C11</f>
        <v>9.756097560975608E-3</v>
      </c>
      <c r="D155" s="71">
        <f>'TCD sortants série 4 (février)'!D11</f>
        <v>9.4191522762951327E-3</v>
      </c>
      <c r="E155" s="73">
        <f t="shared" si="173"/>
        <v>1.0208543838886685E-2</v>
      </c>
      <c r="F155" s="71">
        <f>'TCD sortants série 4 (février)'!F11</f>
        <v>0</v>
      </c>
      <c r="G155" s="71">
        <f>'TCD sortants série 4 (février)'!G11</f>
        <v>0</v>
      </c>
      <c r="H155" s="71">
        <f>'TCD sortants série 4 (février)'!H11</f>
        <v>0</v>
      </c>
      <c r="I155" s="73">
        <f t="shared" si="174"/>
        <v>0</v>
      </c>
      <c r="J155" s="71">
        <f>'TCD sortants série 4 (février)'!J11</f>
        <v>1.2360939431396772E-3</v>
      </c>
      <c r="K155" s="71">
        <f>'TCD sortants série 4 (février)'!K11</f>
        <v>1.3623978201634857E-3</v>
      </c>
      <c r="L155" s="71">
        <f>'TCD sortants série 4 (février)'!L11</f>
        <v>3.1796502384737677E-3</v>
      </c>
      <c r="M155" s="73">
        <f t="shared" si="175"/>
        <v>1.9260473339256436E-3</v>
      </c>
      <c r="N155" s="71">
        <f>'TCD sortants série 4 (février)'!N11</f>
        <v>1.4450867052023136E-3</v>
      </c>
      <c r="O155" s="71">
        <f>'TCD sortants série 4 (février)'!O11</f>
        <v>0</v>
      </c>
      <c r="P155" s="71">
        <f>'TCD sortants série 4 (février)'!P11</f>
        <v>1.3368983957219233E-3</v>
      </c>
      <c r="Q155" s="73">
        <f t="shared" si="176"/>
        <v>9.2732836697474556E-4</v>
      </c>
      <c r="R155" s="71">
        <f>'TCD sortants série 4 (février)'!R11</f>
        <v>2.6385224274406332E-3</v>
      </c>
      <c r="S155" s="71">
        <f>'TCD sortants série 4 (février)'!S11</f>
        <v>0</v>
      </c>
      <c r="T155" s="71">
        <f>'TCD sortants série 4 (février)'!T11</f>
        <v>1.215066828675576E-3</v>
      </c>
      <c r="U155" s="73">
        <f t="shared" si="177"/>
        <v>1.2845297520387364E-3</v>
      </c>
      <c r="V155" s="71">
        <f>'TCD sortants série 4 (février)'!V11</f>
        <v>1.4836795252225531E-3</v>
      </c>
      <c r="W155" s="71">
        <f>'TCD sortants série 4 (février)'!W11</f>
        <v>0</v>
      </c>
      <c r="X155" s="71">
        <f>'TCD sortants série 4 (février)'!X11</f>
        <v>0</v>
      </c>
      <c r="Y155" s="73">
        <f t="shared" si="178"/>
        <v>4.9455984174085106E-4</v>
      </c>
      <c r="Z155" s="71">
        <f>'TCD sortants série 4 (février)'!Z11</f>
        <v>1.3368983957219233E-3</v>
      </c>
      <c r="AA155" s="71">
        <f>'TCD sortants série 4 (février)'!AA11</f>
        <v>1.2453300124532992E-3</v>
      </c>
      <c r="AB155" s="71">
        <f>'TCD sortants série 4 (février)'!AB11</f>
        <v>2.6350461133069817E-3</v>
      </c>
      <c r="AC155" s="73">
        <f t="shared" si="179"/>
        <v>1.7390915071607345E-3</v>
      </c>
      <c r="AD155" s="71">
        <f>'TCD sortants série 4 (février)'!AD11</f>
        <v>1.4430014430014415E-3</v>
      </c>
      <c r="AE155" s="71">
        <f>'TCD sortants série 4 (février)'!AE11</f>
        <v>0</v>
      </c>
      <c r="AF155" s="71">
        <f>'TCD sortants série 4 (février)'!AF11</f>
        <v>3.685503685503683E-3</v>
      </c>
      <c r="AG155" s="73">
        <f t="shared" si="180"/>
        <v>1.709501709501708E-3</v>
      </c>
      <c r="AH155" s="71">
        <f>'TCD sortants série 4 (février)'!AH11</f>
        <v>2.1231422505307825E-3</v>
      </c>
      <c r="AI155" s="71">
        <f>'TCD sortants série 4 (février)'!AI11</f>
        <v>1.6778523489932868E-3</v>
      </c>
      <c r="AJ155" s="71">
        <f>'TCD sortants série 4 (février)'!AJ11</f>
        <v>3.3840947546531297E-3</v>
      </c>
      <c r="AK155" s="73">
        <f t="shared" si="181"/>
        <v>2.3950297847257331E-3</v>
      </c>
      <c r="AL155" s="71">
        <f>'TCD sortants série 4 (février)'!AL11</f>
        <v>0.82200647249190939</v>
      </c>
      <c r="AM155" s="71">
        <f>'TCD sortants série 4 (février)'!AM11</f>
        <v>0.89843750000000022</v>
      </c>
      <c r="AN155" s="71">
        <f>'TCD sortants série 4 (février)'!AN11</f>
        <v>0.98457583547557836</v>
      </c>
      <c r="AO155" s="73">
        <f t="shared" si="182"/>
        <v>0.90167326932249603</v>
      </c>
      <c r="AP155" s="71">
        <f>'TCD sortants série 4 (février)'!AP11</f>
        <v>8.5261875761266735E-3</v>
      </c>
      <c r="AQ155" s="71">
        <f>'TCD sortants série 4 (février)'!AQ11</f>
        <v>9.557945041816009E-3</v>
      </c>
      <c r="AR155" s="71">
        <f>'TCD sortants série 4 (février)'!AR11</f>
        <v>7.803790412486065E-3</v>
      </c>
      <c r="AS155" s="73">
        <f t="shared" si="183"/>
        <v>8.6293076768095816E-3</v>
      </c>
      <c r="AT155" s="71">
        <f>'TCD sortants série 4 (février)'!AT11</f>
        <v>2.5740025740025722E-3</v>
      </c>
      <c r="AU155" s="71">
        <f>'TCD sortants série 4 (février)'!AU11</f>
        <v>5.0314465408805012E-3</v>
      </c>
      <c r="AV155" s="71">
        <f>'TCD sortants série 4 (février)'!AV11</f>
        <v>0</v>
      </c>
      <c r="AW155" s="73">
        <f t="shared" si="184"/>
        <v>2.5351497049610244E-3</v>
      </c>
      <c r="AX155" s="71">
        <f>'TCD sortants série 4 (février)'!AX11</f>
        <v>0</v>
      </c>
    </row>
    <row r="156" spans="1:50" x14ac:dyDescent="0.25">
      <c r="A156" s="82" t="s">
        <v>57</v>
      </c>
      <c r="B156" s="71">
        <f>'TCD sortants série 4 (février)'!B12</f>
        <v>4.3893129770992363E-2</v>
      </c>
      <c r="C156" s="71">
        <f>'TCD sortants série 4 (février)'!C12</f>
        <v>9.7560975609756101E-2</v>
      </c>
      <c r="D156" s="71">
        <f>'TCD sortants série 4 (février)'!D12</f>
        <v>7.6923076923076802E-2</v>
      </c>
      <c r="E156" s="73">
        <f t="shared" si="173"/>
        <v>7.2792394101275082E-2</v>
      </c>
      <c r="F156" s="71">
        <f>'TCD sortants série 4 (février)'!F12</f>
        <v>4.3478260869565209E-2</v>
      </c>
      <c r="G156" s="71">
        <f>'TCD sortants série 4 (février)'!G12</f>
        <v>2.1390374331550804E-2</v>
      </c>
      <c r="H156" s="71">
        <f>'TCD sortants série 4 (février)'!H12</f>
        <v>2.3297491039426511E-2</v>
      </c>
      <c r="I156" s="73">
        <f t="shared" si="174"/>
        <v>2.938870874684751E-2</v>
      </c>
      <c r="J156" s="71">
        <f>'TCD sortants série 4 (février)'!J12</f>
        <v>0</v>
      </c>
      <c r="K156" s="71">
        <f>'TCD sortants série 4 (février)'!K12</f>
        <v>1.3623978201634857E-3</v>
      </c>
      <c r="L156" s="71">
        <f>'TCD sortants série 4 (février)'!L12</f>
        <v>3.1796502384737677E-3</v>
      </c>
      <c r="M156" s="73">
        <f t="shared" si="175"/>
        <v>1.5140160195457511E-3</v>
      </c>
      <c r="N156" s="71">
        <f>'TCD sortants série 4 (février)'!N12</f>
        <v>1.4450867052023125E-2</v>
      </c>
      <c r="O156" s="71">
        <f>'TCD sortants série 4 (février)'!O12</f>
        <v>1.2799999999999999E-2</v>
      </c>
      <c r="P156" s="71">
        <f>'TCD sortants série 4 (février)'!P12</f>
        <v>1.3368983957219251E-2</v>
      </c>
      <c r="Q156" s="73">
        <f t="shared" si="176"/>
        <v>1.3539950336414126E-2</v>
      </c>
      <c r="R156" s="71">
        <f>'TCD sortants série 4 (février)'!R12</f>
        <v>1.3192612137203151E-3</v>
      </c>
      <c r="S156" s="71">
        <f>'TCD sortants série 4 (février)'!S12</f>
        <v>1.3140604467805502E-3</v>
      </c>
      <c r="T156" s="71">
        <f>'TCD sortants série 4 (février)'!T12</f>
        <v>0</v>
      </c>
      <c r="U156" s="73">
        <f t="shared" si="177"/>
        <v>8.7777388683362172E-4</v>
      </c>
      <c r="V156" s="71">
        <f>'TCD sortants série 4 (février)'!V12</f>
        <v>0</v>
      </c>
      <c r="W156" s="71">
        <f>'TCD sortants série 4 (février)'!W12</f>
        <v>1.388888888888887E-3</v>
      </c>
      <c r="X156" s="71">
        <f>'TCD sortants série 4 (février)'!X12</f>
        <v>0</v>
      </c>
      <c r="Y156" s="73">
        <f t="shared" si="178"/>
        <v>4.6296296296296233E-4</v>
      </c>
      <c r="Z156" s="71">
        <f>'TCD sortants série 4 (février)'!Z12</f>
        <v>1.3368983957219233E-3</v>
      </c>
      <c r="AA156" s="71">
        <f>'TCD sortants série 4 (février)'!AA12</f>
        <v>4.9813200498132022E-3</v>
      </c>
      <c r="AB156" s="71">
        <f>'TCD sortants série 4 (février)'!AB12</f>
        <v>5.2700922266139634E-3</v>
      </c>
      <c r="AC156" s="73">
        <f t="shared" si="179"/>
        <v>3.8627702240496965E-3</v>
      </c>
      <c r="AD156" s="71">
        <f>'TCD sortants série 4 (février)'!AD12</f>
        <v>1.4430014430014383E-2</v>
      </c>
      <c r="AE156" s="71">
        <f>'TCD sortants série 4 (février)'!AE12</f>
        <v>2.4630541871921187E-2</v>
      </c>
      <c r="AF156" s="71">
        <f>'TCD sortants série 4 (février)'!AF12</f>
        <v>3.3169533169533118E-2</v>
      </c>
      <c r="AG156" s="73">
        <f t="shared" si="180"/>
        <v>2.4076696490489564E-2</v>
      </c>
      <c r="AH156" s="71">
        <f>'TCD sortants série 4 (février)'!AH12</f>
        <v>0.60934182590233565</v>
      </c>
      <c r="AI156" s="71">
        <f>'TCD sortants série 4 (février)'!AI12</f>
        <v>0.74328859060402686</v>
      </c>
      <c r="AJ156" s="71">
        <f>'TCD sortants série 4 (février)'!AJ12</f>
        <v>0.52284263959390853</v>
      </c>
      <c r="AK156" s="73">
        <f t="shared" si="181"/>
        <v>0.62515768536675698</v>
      </c>
      <c r="AL156" s="71">
        <f>'TCD sortants série 4 (février)'!AL12</f>
        <v>0</v>
      </c>
      <c r="AM156" s="71">
        <f>'TCD sortants série 4 (février)'!AM12</f>
        <v>0</v>
      </c>
      <c r="AN156" s="71">
        <f>'TCD sortants série 4 (février)'!AN12</f>
        <v>5.1413881748071984E-3</v>
      </c>
      <c r="AO156" s="73">
        <f t="shared" si="182"/>
        <v>1.7137960582690661E-3</v>
      </c>
      <c r="AP156" s="71">
        <f>'TCD sortants série 4 (février)'!AP12</f>
        <v>8.5261875761266735E-3</v>
      </c>
      <c r="AQ156" s="71">
        <f>'TCD sortants série 4 (février)'!AQ12</f>
        <v>7.1684587813620063E-3</v>
      </c>
      <c r="AR156" s="71">
        <f>'TCD sortants série 4 (février)'!AR12</f>
        <v>5.5741360089186179E-3</v>
      </c>
      <c r="AS156" s="73">
        <f t="shared" si="183"/>
        <v>7.0895941221357671E-3</v>
      </c>
      <c r="AT156" s="71">
        <f>'TCD sortants série 4 (février)'!AT12</f>
        <v>2.5740025740025722E-3</v>
      </c>
      <c r="AU156" s="71">
        <f>'TCD sortants série 4 (février)'!AU12</f>
        <v>1.132075471698113E-2</v>
      </c>
      <c r="AV156" s="71">
        <f>'TCD sortants série 4 (février)'!AV12</f>
        <v>9.999999999999995E-3</v>
      </c>
      <c r="AW156" s="73">
        <f t="shared" si="184"/>
        <v>7.964919096994566E-3</v>
      </c>
      <c r="AX156" s="71">
        <f>'TCD sortants série 4 (février)'!AX12</f>
        <v>0</v>
      </c>
    </row>
    <row r="157" spans="1:50" x14ac:dyDescent="0.25">
      <c r="A157" s="82" t="s">
        <v>59</v>
      </c>
      <c r="B157" s="71">
        <f>'TCD sortants série 4 (février)'!B13</f>
        <v>2.4809160305343459E-2</v>
      </c>
      <c r="C157" s="71">
        <f>'TCD sortants série 4 (février)'!C13</f>
        <v>8.1300813008130079E-2</v>
      </c>
      <c r="D157" s="71">
        <f>'TCD sortants série 4 (février)'!D13</f>
        <v>0.17739403453689173</v>
      </c>
      <c r="E157" s="73">
        <f t="shared" si="173"/>
        <v>9.4501335950121765E-2</v>
      </c>
      <c r="F157" s="71">
        <f>'TCD sortants série 4 (février)'!F13</f>
        <v>4.1407867494824002E-3</v>
      </c>
      <c r="G157" s="71">
        <f>'TCD sortants série 4 (février)'!G13</f>
        <v>0</v>
      </c>
      <c r="H157" s="71">
        <f>'TCD sortants série 4 (février)'!H13</f>
        <v>1.7921146953404988E-3</v>
      </c>
      <c r="I157" s="73">
        <f t="shared" si="174"/>
        <v>1.9776338149409662E-3</v>
      </c>
      <c r="J157" s="71">
        <f>'TCD sortants série 4 (février)'!J13</f>
        <v>6.0568603213844253E-2</v>
      </c>
      <c r="K157" s="71">
        <f>'TCD sortants série 4 (février)'!K13</f>
        <v>0.14577656675749312</v>
      </c>
      <c r="L157" s="71">
        <f>'TCD sortants série 4 (février)'!L13</f>
        <v>9.5389507154213043E-2</v>
      </c>
      <c r="M157" s="73">
        <f t="shared" si="175"/>
        <v>0.10057822570851681</v>
      </c>
      <c r="N157" s="71">
        <f>'TCD sortants série 4 (février)'!N13</f>
        <v>7.9479768786127183E-2</v>
      </c>
      <c r="O157" s="71">
        <f>'TCD sortants série 4 (février)'!O13</f>
        <v>1.7600000000000001E-2</v>
      </c>
      <c r="P157" s="71">
        <f>'TCD sortants série 4 (février)'!P13</f>
        <v>4.0106951871657748E-2</v>
      </c>
      <c r="Q157" s="73">
        <f t="shared" si="176"/>
        <v>4.572890688592831E-2</v>
      </c>
      <c r="R157" s="71">
        <f>'TCD sortants série 4 (février)'!R13</f>
        <v>0.83377308707124009</v>
      </c>
      <c r="S157" s="71">
        <f>'TCD sortants série 4 (février)'!S13</f>
        <v>0.83442838370565053</v>
      </c>
      <c r="T157" s="71">
        <f>'TCD sortants série 4 (février)'!T13</f>
        <v>0.81166464155528562</v>
      </c>
      <c r="U157" s="73">
        <f t="shared" si="177"/>
        <v>0.82662203744405882</v>
      </c>
      <c r="V157" s="71">
        <f>'TCD sortants série 4 (février)'!V13</f>
        <v>2.2255192878338277E-2</v>
      </c>
      <c r="W157" s="71">
        <f>'TCD sortants série 4 (février)'!W13</f>
        <v>1.1111111111111108E-2</v>
      </c>
      <c r="X157" s="71">
        <f>'TCD sortants série 4 (février)'!X13</f>
        <v>0</v>
      </c>
      <c r="Y157" s="73">
        <f t="shared" si="178"/>
        <v>1.1122101329816461E-2</v>
      </c>
      <c r="Z157" s="71">
        <f>'TCD sortants série 4 (février)'!Z13</f>
        <v>2.6737967914438497E-3</v>
      </c>
      <c r="AA157" s="71">
        <f>'TCD sortants série 4 (février)'!AA13</f>
        <v>7.4719800747198063E-3</v>
      </c>
      <c r="AB157" s="71">
        <f>'TCD sortants série 4 (février)'!AB13</f>
        <v>6.5876152832674553E-3</v>
      </c>
      <c r="AC157" s="73">
        <f t="shared" si="179"/>
        <v>5.5777973831437041E-3</v>
      </c>
      <c r="AD157" s="71">
        <f>'TCD sortants série 4 (février)'!AD13</f>
        <v>1.4430014430014415E-3</v>
      </c>
      <c r="AE157" s="71">
        <f>'TCD sortants série 4 (février)'!AE13</f>
        <v>8.2101806239737295E-3</v>
      </c>
      <c r="AF157" s="71">
        <f>'TCD sortants série 4 (février)'!AF13</f>
        <v>4.9140049140049121E-3</v>
      </c>
      <c r="AG157" s="73">
        <f t="shared" si="180"/>
        <v>4.8557289936600285E-3</v>
      </c>
      <c r="AH157" s="71">
        <f>'TCD sortants série 4 (février)'!AH13</f>
        <v>4.2462845010615693E-3</v>
      </c>
      <c r="AI157" s="71">
        <f>'TCD sortants série 4 (février)'!AI13</f>
        <v>6.7114093959731551E-3</v>
      </c>
      <c r="AJ157" s="71">
        <f>'TCD sortants série 4 (février)'!AJ13</f>
        <v>3.3840947546531297E-3</v>
      </c>
      <c r="AK157" s="73">
        <f t="shared" si="181"/>
        <v>4.7805962172292847E-3</v>
      </c>
      <c r="AL157" s="71">
        <f>'TCD sortants série 4 (février)'!AL13</f>
        <v>0</v>
      </c>
      <c r="AM157" s="71">
        <f>'TCD sortants série 4 (février)'!AM13</f>
        <v>0</v>
      </c>
      <c r="AN157" s="71">
        <f>'TCD sortants série 4 (février)'!AN13</f>
        <v>0</v>
      </c>
      <c r="AO157" s="73">
        <f t="shared" si="182"/>
        <v>0</v>
      </c>
      <c r="AP157" s="71">
        <f>'TCD sortants série 4 (février)'!AP13</f>
        <v>2.1924482338611447E-2</v>
      </c>
      <c r="AQ157" s="71">
        <f>'TCD sortants série 4 (février)'!AQ13</f>
        <v>0</v>
      </c>
      <c r="AR157" s="71">
        <f>'TCD sortants série 4 (février)'!AR13</f>
        <v>7.803790412486065E-3</v>
      </c>
      <c r="AS157" s="73">
        <f t="shared" si="183"/>
        <v>9.9094242503658374E-3</v>
      </c>
      <c r="AT157" s="71">
        <f>'TCD sortants série 4 (février)'!AT13</f>
        <v>0</v>
      </c>
      <c r="AU157" s="71">
        <f>'TCD sortants série 4 (février)'!AU13</f>
        <v>2.5157232704402506E-3</v>
      </c>
      <c r="AV157" s="71">
        <f>'TCD sortants série 4 (février)'!AV13</f>
        <v>2.2222222222222209E-3</v>
      </c>
      <c r="AW157" s="73">
        <f t="shared" si="184"/>
        <v>1.579315164220824E-3</v>
      </c>
      <c r="AX157" s="71">
        <f>'TCD sortants série 4 (février)'!AX13</f>
        <v>0</v>
      </c>
    </row>
    <row r="158" spans="1:50" x14ac:dyDescent="0.25">
      <c r="A158" s="82" t="s">
        <v>200</v>
      </c>
      <c r="B158" s="71">
        <f>'TCD sortants série 4 (février)'!B14</f>
        <v>0</v>
      </c>
      <c r="C158" s="71">
        <f>'TCD sortants série 4 (février)'!C14</f>
        <v>0</v>
      </c>
      <c r="D158" s="71">
        <f>'TCD sortants série 4 (février)'!D14</f>
        <v>0</v>
      </c>
      <c r="E158" s="73">
        <f t="shared" si="173"/>
        <v>0</v>
      </c>
      <c r="F158" s="71">
        <f>'TCD sortants série 4 (février)'!F14</f>
        <v>0</v>
      </c>
      <c r="G158" s="71">
        <f>'TCD sortants série 4 (février)'!G14</f>
        <v>0</v>
      </c>
      <c r="H158" s="71">
        <f>'TCD sortants série 4 (février)'!H14</f>
        <v>0</v>
      </c>
      <c r="I158" s="73">
        <f t="shared" si="174"/>
        <v>0</v>
      </c>
      <c r="J158" s="71">
        <f>'TCD sortants série 4 (février)'!J14</f>
        <v>0</v>
      </c>
      <c r="K158" s="71">
        <f>'TCD sortants série 4 (février)'!K14</f>
        <v>0</v>
      </c>
      <c r="L158" s="71">
        <f>'TCD sortants série 4 (février)'!L14</f>
        <v>0</v>
      </c>
      <c r="M158" s="73">
        <f t="shared" si="175"/>
        <v>0</v>
      </c>
      <c r="N158" s="71">
        <f>'TCD sortants série 4 (février)'!N14</f>
        <v>0.51445086705202314</v>
      </c>
      <c r="O158" s="71">
        <f>'TCD sortants série 4 (février)'!O14</f>
        <v>0.63040000000000007</v>
      </c>
      <c r="P158" s="71">
        <f>'TCD sortants série 4 (février)'!P14</f>
        <v>0.5895721925133689</v>
      </c>
      <c r="Q158" s="73">
        <f t="shared" si="176"/>
        <v>0.57814101985513078</v>
      </c>
      <c r="R158" s="71">
        <f>'TCD sortants série 4 (février)'!R14</f>
        <v>0</v>
      </c>
      <c r="S158" s="71">
        <f>'TCD sortants série 4 (février)'!S14</f>
        <v>0</v>
      </c>
      <c r="T158" s="71">
        <f>'TCD sortants série 4 (février)'!T14</f>
        <v>0</v>
      </c>
      <c r="U158" s="73">
        <f t="shared" si="177"/>
        <v>0</v>
      </c>
      <c r="V158" s="71">
        <f>'TCD sortants série 4 (février)'!V14</f>
        <v>0</v>
      </c>
      <c r="W158" s="71">
        <f>'TCD sortants série 4 (février)'!W14</f>
        <v>0</v>
      </c>
      <c r="X158" s="71">
        <f>'TCD sortants série 4 (février)'!X14</f>
        <v>0</v>
      </c>
      <c r="Y158" s="73">
        <f t="shared" si="178"/>
        <v>0</v>
      </c>
      <c r="Z158" s="71">
        <f>'TCD sortants série 4 (février)'!Z14</f>
        <v>0</v>
      </c>
      <c r="AA158" s="71">
        <f>'TCD sortants série 4 (février)'!AA14</f>
        <v>0</v>
      </c>
      <c r="AB158" s="71">
        <f>'TCD sortants série 4 (février)'!AB14</f>
        <v>0</v>
      </c>
      <c r="AC158" s="73">
        <f t="shared" si="179"/>
        <v>0</v>
      </c>
      <c r="AD158" s="71">
        <f>'TCD sortants série 4 (février)'!AD14</f>
        <v>0</v>
      </c>
      <c r="AE158" s="71">
        <f>'TCD sortants série 4 (février)'!AE14</f>
        <v>0</v>
      </c>
      <c r="AF158" s="71">
        <f>'TCD sortants série 4 (février)'!AF14</f>
        <v>0</v>
      </c>
      <c r="AG158" s="73">
        <f t="shared" si="180"/>
        <v>0</v>
      </c>
      <c r="AH158" s="71">
        <f>'TCD sortants série 4 (février)'!AH14</f>
        <v>0</v>
      </c>
      <c r="AI158" s="71">
        <f>'TCD sortants série 4 (février)'!AI14</f>
        <v>0</v>
      </c>
      <c r="AJ158" s="71">
        <f>'TCD sortants série 4 (février)'!AJ14</f>
        <v>0</v>
      </c>
      <c r="AK158" s="73">
        <f t="shared" si="181"/>
        <v>0</v>
      </c>
      <c r="AL158" s="71">
        <f>'TCD sortants série 4 (février)'!AL14</f>
        <v>0</v>
      </c>
      <c r="AM158" s="71">
        <f>'TCD sortants série 4 (février)'!AM14</f>
        <v>0</v>
      </c>
      <c r="AN158" s="71">
        <f>'TCD sortants série 4 (février)'!AN14</f>
        <v>0</v>
      </c>
      <c r="AO158" s="73">
        <f t="shared" si="182"/>
        <v>0</v>
      </c>
      <c r="AP158" s="71">
        <f>'TCD sortants série 4 (février)'!AP14</f>
        <v>0</v>
      </c>
      <c r="AQ158" s="71">
        <f>'TCD sortants série 4 (février)'!AQ14</f>
        <v>0</v>
      </c>
      <c r="AR158" s="71">
        <f>'TCD sortants série 4 (février)'!AR14</f>
        <v>0</v>
      </c>
      <c r="AS158" s="73">
        <f t="shared" si="183"/>
        <v>0</v>
      </c>
      <c r="AT158" s="71">
        <f>'TCD sortants série 4 (février)'!AT14</f>
        <v>0</v>
      </c>
      <c r="AU158" s="71">
        <f>'TCD sortants série 4 (février)'!AU14</f>
        <v>0</v>
      </c>
      <c r="AV158" s="71">
        <f>'TCD sortants série 4 (février)'!AV14</f>
        <v>0</v>
      </c>
      <c r="AW158" s="73">
        <f t="shared" si="184"/>
        <v>0</v>
      </c>
      <c r="AX158" s="71">
        <f>'TCD sortants série 4 (février)'!AX14</f>
        <v>0</v>
      </c>
    </row>
    <row r="159" spans="1:50" x14ac:dyDescent="0.25">
      <c r="A159" s="82" t="s">
        <v>58</v>
      </c>
      <c r="B159" s="71">
        <f>'TCD sortants série 4 (février)'!B15</f>
        <v>0.16984732824427479</v>
      </c>
      <c r="C159" s="71">
        <f>'TCD sortants série 4 (février)'!C15</f>
        <v>0.15284552845528454</v>
      </c>
      <c r="D159" s="71">
        <f>'TCD sortants série 4 (février)'!D15</f>
        <v>0.11616954474097331</v>
      </c>
      <c r="E159" s="73">
        <f t="shared" si="173"/>
        <v>0.14628746714684421</v>
      </c>
      <c r="F159" s="71">
        <f>'TCD sortants série 4 (février)'!F15</f>
        <v>2.0703933747411979E-3</v>
      </c>
      <c r="G159" s="71">
        <f>'TCD sortants série 4 (février)'!G15</f>
        <v>0</v>
      </c>
      <c r="H159" s="71">
        <f>'TCD sortants série 4 (février)'!H15</f>
        <v>1.9713261648745515E-2</v>
      </c>
      <c r="I159" s="73">
        <f t="shared" si="174"/>
        <v>7.2612183411622372E-3</v>
      </c>
      <c r="J159" s="71">
        <f>'TCD sortants série 4 (février)'!J15</f>
        <v>2.4721878862793575E-3</v>
      </c>
      <c r="K159" s="71">
        <f>'TCD sortants série 4 (février)'!K15</f>
        <v>0</v>
      </c>
      <c r="L159" s="71">
        <f>'TCD sortants série 4 (février)'!L15</f>
        <v>1.5898251192368821E-3</v>
      </c>
      <c r="M159" s="73">
        <f t="shared" si="175"/>
        <v>1.35400433517208E-3</v>
      </c>
      <c r="N159" s="71">
        <f>'TCD sortants série 4 (février)'!N15</f>
        <v>1.1560693641618497E-2</v>
      </c>
      <c r="O159" s="71">
        <f>'TCD sortants série 4 (février)'!O15</f>
        <v>4.799999999999997E-3</v>
      </c>
      <c r="P159" s="71">
        <f>'TCD sortants série 4 (février)'!P15</f>
        <v>8.0213903743315516E-3</v>
      </c>
      <c r="Q159" s="73">
        <f t="shared" si="176"/>
        <v>8.1273613386500156E-3</v>
      </c>
      <c r="R159" s="71">
        <f>'TCD sortants série 4 (février)'!R15</f>
        <v>1.3192612137203181E-3</v>
      </c>
      <c r="S159" s="71">
        <f>'TCD sortants série 4 (février)'!S15</f>
        <v>1.3140604467805532E-3</v>
      </c>
      <c r="T159" s="71">
        <f>'TCD sortants série 4 (février)'!T15</f>
        <v>2.4301336573511545E-3</v>
      </c>
      <c r="U159" s="73">
        <f t="shared" si="177"/>
        <v>1.6878184392840085E-3</v>
      </c>
      <c r="V159" s="71">
        <f>'TCD sortants série 4 (février)'!V15</f>
        <v>1.4836795252225531E-3</v>
      </c>
      <c r="W159" s="71">
        <f>'TCD sortants série 4 (février)'!W15</f>
        <v>1.388888888888887E-3</v>
      </c>
      <c r="X159" s="71">
        <f>'TCD sortants série 4 (février)'!X15</f>
        <v>0</v>
      </c>
      <c r="Y159" s="73">
        <f t="shared" si="178"/>
        <v>9.5752280470381339E-4</v>
      </c>
      <c r="Z159" s="71">
        <f>'TCD sortants série 4 (février)'!Z15</f>
        <v>1.60427807486631E-2</v>
      </c>
      <c r="AA159" s="71">
        <f>'TCD sortants série 4 (février)'!AA15</f>
        <v>2.6151930261519317E-2</v>
      </c>
      <c r="AB159" s="71">
        <f>'TCD sortants série 4 (février)'!AB15</f>
        <v>1.9762845849802365E-2</v>
      </c>
      <c r="AC159" s="73">
        <f t="shared" si="179"/>
        <v>2.0652518953328262E-2</v>
      </c>
      <c r="AD159" s="71">
        <f>'TCD sortants série 4 (février)'!AD15</f>
        <v>0.91630591630591651</v>
      </c>
      <c r="AE159" s="71">
        <f>'TCD sortants série 4 (février)'!AE15</f>
        <v>0.91461412151067323</v>
      </c>
      <c r="AF159" s="71">
        <f>'TCD sortants série 4 (février)'!AF15</f>
        <v>0.80466830466830463</v>
      </c>
      <c r="AG159" s="73">
        <f t="shared" si="180"/>
        <v>0.87852944749496487</v>
      </c>
      <c r="AH159" s="71">
        <f>'TCD sortants série 4 (février)'!AH15</f>
        <v>1.0615711252653925E-2</v>
      </c>
      <c r="AI159" s="71">
        <f>'TCD sortants série 4 (février)'!AI15</f>
        <v>3.3557046979865786E-2</v>
      </c>
      <c r="AJ159" s="71">
        <f>'TCD sortants série 4 (février)'!AJ15</f>
        <v>7.1065989847715727E-2</v>
      </c>
      <c r="AK159" s="73">
        <f t="shared" si="181"/>
        <v>3.8412916026745146E-2</v>
      </c>
      <c r="AL159" s="71">
        <f>'TCD sortants série 4 (février)'!AL15</f>
        <v>6.4724919093851066E-3</v>
      </c>
      <c r="AM159" s="71">
        <f>'TCD sortants série 4 (février)'!AM15</f>
        <v>2.6041666666666618E-3</v>
      </c>
      <c r="AN159" s="71">
        <f>'TCD sortants série 4 (février)'!AN15</f>
        <v>0</v>
      </c>
      <c r="AO159" s="73">
        <f t="shared" si="182"/>
        <v>3.0255528586839229E-3</v>
      </c>
      <c r="AP159" s="71">
        <f>'TCD sortants série 4 (février)'!AP15</f>
        <v>2.4360535931790489E-3</v>
      </c>
      <c r="AQ159" s="71">
        <f>'TCD sortants série 4 (février)'!AQ15</f>
        <v>5.9737156511350071E-3</v>
      </c>
      <c r="AR159" s="71">
        <f>'TCD sortants série 4 (février)'!AR15</f>
        <v>0</v>
      </c>
      <c r="AS159" s="73">
        <f t="shared" si="183"/>
        <v>2.8032564147713519E-3</v>
      </c>
      <c r="AT159" s="71">
        <f>'TCD sortants série 4 (février)'!AT15</f>
        <v>6.4350064350064328E-3</v>
      </c>
      <c r="AU159" s="71">
        <f>'TCD sortants série 4 (février)'!AU15</f>
        <v>7.5471698113207487E-3</v>
      </c>
      <c r="AV159" s="71">
        <f>'TCD sortants série 4 (février)'!AV15</f>
        <v>5.555555555555554E-3</v>
      </c>
      <c r="AW159" s="73">
        <f t="shared" si="184"/>
        <v>6.5125772672942452E-3</v>
      </c>
      <c r="AX159" s="71">
        <f>'TCD sortants série 4 (février)'!AX15</f>
        <v>5.3248136315228959E-3</v>
      </c>
    </row>
    <row r="160" spans="1:50" x14ac:dyDescent="0.25">
      <c r="A160" s="82" t="s">
        <v>404</v>
      </c>
      <c r="B160" s="71">
        <f>'TCD sortants série 4 (février)'!B16</f>
        <v>2.6717557251908396E-2</v>
      </c>
      <c r="C160" s="71">
        <f>'TCD sortants série 4 (février)'!C16</f>
        <v>7.4796747967479635E-2</v>
      </c>
      <c r="D160" s="71">
        <f>'TCD sortants série 4 (février)'!D16</f>
        <v>1.8838304552590258E-2</v>
      </c>
      <c r="E160" s="73">
        <f t="shared" si="173"/>
        <v>4.0117536590659426E-2</v>
      </c>
      <c r="F160" s="71">
        <f>'TCD sortants série 4 (février)'!F16</f>
        <v>0.94409937888198736</v>
      </c>
      <c r="G160" s="71">
        <f>'TCD sortants série 4 (février)'!G16</f>
        <v>0.97147950089126556</v>
      </c>
      <c r="H160" s="71">
        <f>'TCD sortants série 4 (février)'!H16</f>
        <v>0.93548387096774188</v>
      </c>
      <c r="I160" s="73">
        <f t="shared" si="174"/>
        <v>0.95035425024699827</v>
      </c>
      <c r="J160" s="71">
        <f>'TCD sortants série 4 (février)'!J16</f>
        <v>1.2360939431396772E-3</v>
      </c>
      <c r="K160" s="71">
        <f>'TCD sortants série 4 (février)'!K16</f>
        <v>0</v>
      </c>
      <c r="L160" s="71">
        <f>'TCD sortants série 4 (février)'!L16</f>
        <v>1.1128775834658189E-2</v>
      </c>
      <c r="M160" s="73">
        <f t="shared" si="175"/>
        <v>4.1216232592659547E-3</v>
      </c>
      <c r="N160" s="71">
        <f>'TCD sortants série 4 (février)'!N16</f>
        <v>0</v>
      </c>
      <c r="O160" s="71">
        <f>'TCD sortants série 4 (février)'!O16</f>
        <v>0</v>
      </c>
      <c r="P160" s="71">
        <f>'TCD sortants série 4 (février)'!P16</f>
        <v>0</v>
      </c>
      <c r="Q160" s="73">
        <f t="shared" si="176"/>
        <v>0</v>
      </c>
      <c r="R160" s="71">
        <f>'TCD sortants série 4 (février)'!R16</f>
        <v>0</v>
      </c>
      <c r="S160" s="71">
        <f>'TCD sortants série 4 (février)'!S16</f>
        <v>0</v>
      </c>
      <c r="T160" s="71">
        <f>'TCD sortants série 4 (février)'!T16</f>
        <v>0</v>
      </c>
      <c r="U160" s="73">
        <f t="shared" si="177"/>
        <v>0</v>
      </c>
      <c r="V160" s="71">
        <f>'TCD sortants série 4 (février)'!V16</f>
        <v>0</v>
      </c>
      <c r="W160" s="71">
        <f>'TCD sortants série 4 (février)'!W16</f>
        <v>0</v>
      </c>
      <c r="X160" s="71">
        <f>'TCD sortants série 4 (février)'!X16</f>
        <v>0</v>
      </c>
      <c r="Y160" s="73">
        <f t="shared" si="178"/>
        <v>0</v>
      </c>
      <c r="Z160" s="71">
        <f>'TCD sortants série 4 (février)'!Z16</f>
        <v>0</v>
      </c>
      <c r="AA160" s="71">
        <f>'TCD sortants série 4 (février)'!AA16</f>
        <v>0</v>
      </c>
      <c r="AB160" s="71">
        <f>'TCD sortants série 4 (février)'!AB16</f>
        <v>0</v>
      </c>
      <c r="AC160" s="73">
        <f t="shared" si="179"/>
        <v>0</v>
      </c>
      <c r="AD160" s="71">
        <f>'TCD sortants série 4 (février)'!AD16</f>
        <v>5.772005772005772E-3</v>
      </c>
      <c r="AE160" s="71">
        <f>'TCD sortants série 4 (février)'!AE16</f>
        <v>0</v>
      </c>
      <c r="AF160" s="71">
        <f>'TCD sortants série 4 (février)'!AF16</f>
        <v>3.685503685503683E-3</v>
      </c>
      <c r="AG160" s="73">
        <f t="shared" si="180"/>
        <v>3.1525031525031517E-3</v>
      </c>
      <c r="AH160" s="71">
        <f>'TCD sortants série 4 (février)'!AH16</f>
        <v>0.2760084925690019</v>
      </c>
      <c r="AI160" s="71">
        <f>'TCD sortants série 4 (février)'!AI16</f>
        <v>0.14261744966442957</v>
      </c>
      <c r="AJ160" s="71">
        <f>'TCD sortants série 4 (février)'!AJ16</f>
        <v>0.31979695431472072</v>
      </c>
      <c r="AK160" s="73">
        <f t="shared" si="181"/>
        <v>0.24614096551605072</v>
      </c>
      <c r="AL160" s="71">
        <f>'TCD sortants série 4 (février)'!AL16</f>
        <v>0</v>
      </c>
      <c r="AM160" s="71">
        <f>'TCD sortants série 4 (février)'!AM16</f>
        <v>0</v>
      </c>
      <c r="AN160" s="71">
        <f>'TCD sortants série 4 (février)'!AN16</f>
        <v>0</v>
      </c>
      <c r="AO160" s="73">
        <f t="shared" si="182"/>
        <v>0</v>
      </c>
      <c r="AP160" s="71">
        <f>'TCD sortants série 4 (février)'!AP16</f>
        <v>6.0901339829476184E-3</v>
      </c>
      <c r="AQ160" s="71">
        <f>'TCD sortants série 4 (février)'!AQ16</f>
        <v>3.5842293906810018E-3</v>
      </c>
      <c r="AR160" s="71">
        <f>'TCD sortants série 4 (février)'!AR16</f>
        <v>1.1148272017837222E-3</v>
      </c>
      <c r="AS160" s="73">
        <f t="shared" si="183"/>
        <v>3.5963968584707805E-3</v>
      </c>
      <c r="AT160" s="71">
        <f>'TCD sortants série 4 (février)'!AT16</f>
        <v>1.2870012870012848E-3</v>
      </c>
      <c r="AU160" s="71">
        <f>'TCD sortants série 4 (février)'!AU16</f>
        <v>0</v>
      </c>
      <c r="AV160" s="71">
        <f>'TCD sortants série 4 (février)'!AV16</f>
        <v>3.3333333333333305E-3</v>
      </c>
      <c r="AW160" s="73">
        <f t="shared" si="184"/>
        <v>1.5401115401115384E-3</v>
      </c>
      <c r="AX160" s="71">
        <f>'TCD sortants série 4 (février)'!AX16</f>
        <v>0</v>
      </c>
    </row>
    <row r="161" spans="1:50" x14ac:dyDescent="0.25">
      <c r="A161" s="82" t="s">
        <v>10</v>
      </c>
      <c r="B161" s="71">
        <f>'TCD sortants série 4 (février)'!B17</f>
        <v>0.62977099236641232</v>
      </c>
      <c r="C161" s="71">
        <f>'TCD sortants série 4 (février)'!C17</f>
        <v>0.40487804878048778</v>
      </c>
      <c r="D161" s="71">
        <f>'TCD sortants série 4 (février)'!D17</f>
        <v>0.3437990580847724</v>
      </c>
      <c r="E161" s="73">
        <f t="shared" si="173"/>
        <v>0.45948269974389078</v>
      </c>
      <c r="F161" s="71">
        <f>'TCD sortants série 4 (février)'!F17</f>
        <v>2.0703933747411979E-3</v>
      </c>
      <c r="G161" s="71">
        <f>'TCD sortants série 4 (février)'!G17</f>
        <v>7.1301247771835986E-3</v>
      </c>
      <c r="H161" s="71">
        <f>'TCD sortants série 4 (février)'!H17</f>
        <v>1.7921146953405014E-2</v>
      </c>
      <c r="I161" s="73">
        <f t="shared" si="174"/>
        <v>9.0405550351099363E-3</v>
      </c>
      <c r="J161" s="71">
        <f>'TCD sortants série 4 (février)'!J17</f>
        <v>4.4499381953028418E-2</v>
      </c>
      <c r="K161" s="71">
        <f>'TCD sortants série 4 (février)'!K17</f>
        <v>2.7247956403269751E-2</v>
      </c>
      <c r="L161" s="71">
        <f>'TCD sortants série 4 (février)'!L17</f>
        <v>5.4054054054054057E-2</v>
      </c>
      <c r="M161" s="73">
        <f t="shared" si="175"/>
        <v>4.1933797470117405E-2</v>
      </c>
      <c r="N161" s="71">
        <f>'TCD sortants série 4 (février)'!N17</f>
        <v>0.28179190751445093</v>
      </c>
      <c r="O161" s="71">
        <f>'TCD sortants série 4 (février)'!O17</f>
        <v>0.26079999999999992</v>
      </c>
      <c r="P161" s="71">
        <f>'TCD sortants série 4 (février)'!P17</f>
        <v>0.23395721925133692</v>
      </c>
      <c r="Q161" s="73">
        <f t="shared" si="176"/>
        <v>0.25884970892192927</v>
      </c>
      <c r="R161" s="71">
        <f>'TCD sortants série 4 (février)'!R17</f>
        <v>4.0897097625329823E-2</v>
      </c>
      <c r="S161" s="71">
        <f>'TCD sortants série 4 (février)'!S17</f>
        <v>3.2851511169513799E-2</v>
      </c>
      <c r="T161" s="71">
        <f>'TCD sortants série 4 (février)'!T17</f>
        <v>3.1591737545565018E-2</v>
      </c>
      <c r="U161" s="73">
        <f t="shared" si="177"/>
        <v>3.5113448780136218E-2</v>
      </c>
      <c r="V161" s="71">
        <f>'TCD sortants série 4 (février)'!V17</f>
        <v>1.3353115727002958E-2</v>
      </c>
      <c r="W161" s="71">
        <f>'TCD sortants série 4 (février)'!W17</f>
        <v>1.3888888888888888E-2</v>
      </c>
      <c r="X161" s="71">
        <f>'TCD sortants série 4 (février)'!X17</f>
        <v>0</v>
      </c>
      <c r="Y161" s="73">
        <f t="shared" si="178"/>
        <v>9.080668205297281E-3</v>
      </c>
      <c r="Z161" s="71">
        <f>'TCD sortants série 4 (février)'!Z17</f>
        <v>1.6042780748663093E-2</v>
      </c>
      <c r="AA161" s="71">
        <f>'TCD sortants série 4 (février)'!AA17</f>
        <v>3.2378580323785794E-2</v>
      </c>
      <c r="AB161" s="71">
        <f>'TCD sortants série 4 (février)'!AB17</f>
        <v>2.5032938076416322E-2</v>
      </c>
      <c r="AC161" s="73">
        <f t="shared" si="179"/>
        <v>2.4484766382955072E-2</v>
      </c>
      <c r="AD161" s="71">
        <f>'TCD sortants série 4 (février)'!AD17</f>
        <v>4.3290043290043302E-2</v>
      </c>
      <c r="AE161" s="71">
        <f>'TCD sortants série 4 (février)'!AE17</f>
        <v>4.597701149425288E-2</v>
      </c>
      <c r="AF161" s="71">
        <f>'TCD sortants série 4 (février)'!AF17</f>
        <v>0.10073710073710072</v>
      </c>
      <c r="AG161" s="73">
        <f t="shared" si="180"/>
        <v>6.3334718507132307E-2</v>
      </c>
      <c r="AH161" s="71">
        <f>'TCD sortants série 4 (février)'!AH17</f>
        <v>6.157112526539274E-2</v>
      </c>
      <c r="AI161" s="71">
        <f>'TCD sortants série 4 (février)'!AI17</f>
        <v>5.7046979865771806E-2</v>
      </c>
      <c r="AJ161" s="71">
        <f>'TCD sortants série 4 (février)'!AJ17</f>
        <v>6.0913705583756313E-2</v>
      </c>
      <c r="AK161" s="73">
        <f t="shared" si="181"/>
        <v>5.9843936904973617E-2</v>
      </c>
      <c r="AL161" s="71">
        <f>'TCD sortants série 4 (février)'!AL17</f>
        <v>0.11326860841423951</v>
      </c>
      <c r="AM161" s="71">
        <f>'TCD sortants série 4 (février)'!AM17</f>
        <v>4.9479166666666421E-2</v>
      </c>
      <c r="AN161" s="71">
        <f>'TCD sortants série 4 (février)'!AN17</f>
        <v>0</v>
      </c>
      <c r="AO161" s="73">
        <f t="shared" si="182"/>
        <v>5.4249258360301977E-2</v>
      </c>
      <c r="AP161" s="71">
        <f>'TCD sortants série 4 (février)'!AP17</f>
        <v>6.0901339829476243E-2</v>
      </c>
      <c r="AQ161" s="71">
        <f>'TCD sortants série 4 (février)'!AQ17</f>
        <v>0.10513739545997608</v>
      </c>
      <c r="AR161" s="71">
        <f>'TCD sortants série 4 (février)'!AR17</f>
        <v>8.0267558528428096E-2</v>
      </c>
      <c r="AS161" s="73">
        <f t="shared" si="183"/>
        <v>8.2102097939293475E-2</v>
      </c>
      <c r="AT161" s="71">
        <f>'TCD sortants série 4 (février)'!AT17</f>
        <v>4.7619047619047589E-2</v>
      </c>
      <c r="AU161" s="71">
        <f>'TCD sortants série 4 (février)'!AU17</f>
        <v>0.11446540880503139</v>
      </c>
      <c r="AV161" s="71">
        <f>'TCD sortants série 4 (février)'!AV17</f>
        <v>7.999999999999996E-2</v>
      </c>
      <c r="AW161" s="73">
        <f t="shared" si="184"/>
        <v>8.0694818808026314E-2</v>
      </c>
      <c r="AX161" s="71">
        <f>'TCD sortants série 4 (février)'!AX17</f>
        <v>0.3514376996805112</v>
      </c>
    </row>
    <row r="162" spans="1:50" x14ac:dyDescent="0.25">
      <c r="A162" s="83" t="s">
        <v>31</v>
      </c>
      <c r="B162" s="77">
        <f>SUM(B150:B161)</f>
        <v>1</v>
      </c>
      <c r="C162" s="78">
        <f t="shared" ref="C162:E162" si="185">SUM(C150:C161)</f>
        <v>0.99999999999999978</v>
      </c>
      <c r="D162" s="78">
        <f t="shared" si="185"/>
        <v>1</v>
      </c>
      <c r="E162" s="79">
        <f t="shared" si="185"/>
        <v>1</v>
      </c>
      <c r="F162" s="77">
        <f>SUM(F150:F161)</f>
        <v>0.99999999999999978</v>
      </c>
      <c r="G162" s="78">
        <f t="shared" ref="G162:I162" si="186">SUM(G150:G161)</f>
        <v>0.99999999999999989</v>
      </c>
      <c r="H162" s="78">
        <f t="shared" si="186"/>
        <v>0.99999999999999989</v>
      </c>
      <c r="I162" s="79">
        <f t="shared" si="186"/>
        <v>0.99999999999999989</v>
      </c>
      <c r="J162" s="77">
        <f>SUM(J150:J161)</f>
        <v>1.0000000000000002</v>
      </c>
      <c r="K162" s="78">
        <f t="shared" ref="K162:M162" si="187">SUM(K150:K161)</f>
        <v>1</v>
      </c>
      <c r="L162" s="78">
        <f t="shared" si="187"/>
        <v>1</v>
      </c>
      <c r="M162" s="79">
        <f t="shared" si="187"/>
        <v>0.99999999999999989</v>
      </c>
      <c r="N162" s="77">
        <f>SUM(N150:N161)</f>
        <v>1</v>
      </c>
      <c r="O162" s="78">
        <f t="shared" ref="O162:Q162" si="188">SUM(O150:O161)</f>
        <v>1</v>
      </c>
      <c r="P162" s="78">
        <f t="shared" si="188"/>
        <v>1</v>
      </c>
      <c r="Q162" s="79">
        <f t="shared" si="188"/>
        <v>1</v>
      </c>
      <c r="R162" s="77">
        <f>SUM(R150:R161)</f>
        <v>0.99999999999999989</v>
      </c>
      <c r="S162" s="78">
        <f t="shared" ref="S162:U162" si="189">SUM(S150:S161)</f>
        <v>1</v>
      </c>
      <c r="T162" s="78">
        <f t="shared" si="189"/>
        <v>1</v>
      </c>
      <c r="U162" s="79">
        <f t="shared" si="189"/>
        <v>1.0000000000000002</v>
      </c>
      <c r="V162" s="77">
        <f>SUM(V150:V161)</f>
        <v>1.0000000000000002</v>
      </c>
      <c r="W162" s="78">
        <f t="shared" ref="W162:Y162" si="190">SUM(W150:W161)</f>
        <v>0.99999999999999989</v>
      </c>
      <c r="X162" s="78">
        <f t="shared" si="190"/>
        <v>1</v>
      </c>
      <c r="Y162" s="79">
        <f t="shared" si="190"/>
        <v>1</v>
      </c>
      <c r="Z162" s="77">
        <f>SUM(Z150:Z161)</f>
        <v>0.99999999999999989</v>
      </c>
      <c r="AA162" s="78">
        <f t="shared" ref="AA162:AC162" si="191">SUM(AA150:AA161)</f>
        <v>1.0000000000000002</v>
      </c>
      <c r="AB162" s="78">
        <f t="shared" si="191"/>
        <v>0.99999999999999978</v>
      </c>
      <c r="AC162" s="79">
        <f t="shared" si="191"/>
        <v>1</v>
      </c>
      <c r="AD162" s="77">
        <f>SUM(AD150:AD161)</f>
        <v>1.0000000000000002</v>
      </c>
      <c r="AE162" s="78">
        <f t="shared" ref="AE162:AG162" si="192">SUM(AE150:AE161)</f>
        <v>1</v>
      </c>
      <c r="AF162" s="78">
        <f t="shared" si="192"/>
        <v>0.99999999999999989</v>
      </c>
      <c r="AG162" s="79">
        <f t="shared" si="192"/>
        <v>1</v>
      </c>
      <c r="AH162" s="77">
        <f>SUM(AH150:AH161)</f>
        <v>1</v>
      </c>
      <c r="AI162" s="78">
        <f t="shared" ref="AI162:AK162" si="193">SUM(AI150:AI161)</f>
        <v>1.0000000000000002</v>
      </c>
      <c r="AJ162" s="78">
        <f t="shared" si="193"/>
        <v>0.99999999999999978</v>
      </c>
      <c r="AK162" s="79">
        <f t="shared" si="193"/>
        <v>0.99999999999999978</v>
      </c>
      <c r="AL162" s="77">
        <f>SUM(AL150:AL161)</f>
        <v>1</v>
      </c>
      <c r="AM162" s="78">
        <f t="shared" ref="AM162:AO162" si="194">SUM(AM150:AM161)</f>
        <v>0.99999999999999989</v>
      </c>
      <c r="AN162" s="78">
        <f t="shared" si="194"/>
        <v>1</v>
      </c>
      <c r="AO162" s="79">
        <f t="shared" si="194"/>
        <v>1</v>
      </c>
      <c r="AP162" s="77">
        <f>SUM(AP150:AP161)</f>
        <v>0.99999999999999978</v>
      </c>
      <c r="AQ162" s="78">
        <f t="shared" ref="AQ162:AS162" si="195">SUM(AQ150:AQ161)</f>
        <v>1</v>
      </c>
      <c r="AR162" s="78">
        <f t="shared" si="195"/>
        <v>0.99999999999999978</v>
      </c>
      <c r="AS162" s="79">
        <f t="shared" si="195"/>
        <v>0.99999999999999978</v>
      </c>
      <c r="AT162" s="77">
        <f>SUM(AT150:AT161)</f>
        <v>0.99999999999999978</v>
      </c>
      <c r="AU162" s="78">
        <f t="shared" ref="AU162:AW162" si="196">SUM(AU150:AU161)</f>
        <v>1</v>
      </c>
      <c r="AV162" s="78">
        <f t="shared" si="196"/>
        <v>0.99999999999999989</v>
      </c>
      <c r="AW162" s="79">
        <f t="shared" si="196"/>
        <v>1</v>
      </c>
      <c r="AX162" s="77">
        <f>SUM(AX150:AX161)</f>
        <v>1.0000000000000002</v>
      </c>
    </row>
    <row r="163" spans="1:50" s="80" customFormat="1" ht="119.45" customHeight="1" thickBot="1" x14ac:dyDescent="0.3">
      <c r="A163" s="89" t="s">
        <v>64</v>
      </c>
      <c r="B163" s="84"/>
      <c r="C163" s="85"/>
      <c r="D163" s="86"/>
      <c r="E163" s="88"/>
      <c r="F163" s="87"/>
      <c r="G163" s="85"/>
      <c r="H163" s="86"/>
      <c r="I163" s="88"/>
      <c r="J163" s="84"/>
      <c r="K163" s="99"/>
      <c r="L163" s="91"/>
      <c r="M163" s="88"/>
      <c r="N163" s="87"/>
      <c r="O163" s="85"/>
      <c r="P163" s="91"/>
      <c r="Q163" s="88"/>
      <c r="R163" s="84"/>
      <c r="S163" s="85"/>
      <c r="T163" s="86"/>
      <c r="U163" s="88"/>
      <c r="V163" s="87"/>
      <c r="W163" s="85"/>
      <c r="X163" s="86"/>
      <c r="Y163" s="88"/>
      <c r="Z163" s="84"/>
      <c r="AA163" s="85"/>
      <c r="AB163" s="86"/>
      <c r="AC163" s="88"/>
      <c r="AD163" s="84"/>
      <c r="AE163" s="85"/>
      <c r="AF163" s="86"/>
      <c r="AG163" s="88"/>
      <c r="AH163" s="84"/>
      <c r="AI163" s="85"/>
      <c r="AJ163" s="86"/>
      <c r="AK163" s="88"/>
      <c r="AL163" s="87"/>
      <c r="AM163" s="85"/>
      <c r="AN163" s="86"/>
      <c r="AO163" s="88"/>
      <c r="AP163" s="87"/>
      <c r="AQ163" s="85"/>
      <c r="AR163" s="91"/>
      <c r="AS163" s="88"/>
      <c r="AT163" s="87"/>
      <c r="AU163" s="85"/>
      <c r="AV163" s="91"/>
      <c r="AW163" s="88"/>
      <c r="AX163" s="81"/>
    </row>
    <row r="166" spans="1:50" x14ac:dyDescent="0.25">
      <c r="B166" s="50" t="str">
        <f>B149</f>
        <v>Refus_10</v>
      </c>
      <c r="C166" s="50" t="str">
        <f>C149</f>
        <v>Refus_11</v>
      </c>
      <c r="D166" s="50" t="str">
        <f>D149</f>
        <v>Refus_12</v>
      </c>
      <c r="F166" s="50" t="str">
        <f>F149</f>
        <v>PET_clair_10</v>
      </c>
      <c r="G166" s="50" t="str">
        <f>G149</f>
        <v>PET_clair_11</v>
      </c>
      <c r="H166" s="50" t="str">
        <f>H149</f>
        <v>PET_clair_12</v>
      </c>
      <c r="J166" s="50" t="str">
        <f>J149</f>
        <v>EMR_10</v>
      </c>
      <c r="K166" s="50" t="str">
        <f>K149</f>
        <v>EMR_11</v>
      </c>
      <c r="L166" s="50" t="str">
        <f>L149</f>
        <v>EMR_12</v>
      </c>
      <c r="N166" s="50" t="str">
        <f>N149</f>
        <v>PCM_10</v>
      </c>
      <c r="O166" s="50" t="str">
        <f>O149</f>
        <v>PCM_11</v>
      </c>
      <c r="P166" s="50" t="str">
        <f>P149</f>
        <v>PCM_12</v>
      </c>
      <c r="R166" s="50" t="str">
        <f>R149</f>
        <v>JRM_10</v>
      </c>
      <c r="S166" s="50" t="str">
        <f>S149</f>
        <v>JRM_11</v>
      </c>
      <c r="T166" s="50" t="str">
        <f>T149</f>
        <v>JRM_12</v>
      </c>
      <c r="V166" s="50" t="str">
        <f>V149</f>
        <v>Gros_cartons_10</v>
      </c>
      <c r="W166" s="50" t="str">
        <f>W149</f>
        <v>Gros_cartons_11</v>
      </c>
      <c r="X166" s="50" t="str">
        <f>X149</f>
        <v>Gros_cartons_12</v>
      </c>
      <c r="Z166" s="50" t="str">
        <f>Z149</f>
        <v>ELA_10</v>
      </c>
      <c r="AA166" s="50" t="str">
        <f>AA149</f>
        <v>ELA_11</v>
      </c>
      <c r="AB166" s="50" t="str">
        <f>AB149</f>
        <v>ELA_12</v>
      </c>
      <c r="AD166" s="50" t="str">
        <f>AD149</f>
        <v>PEHD/PP_10</v>
      </c>
      <c r="AE166" s="50" t="str">
        <f>AE149</f>
        <v>PEHD/PP_11</v>
      </c>
      <c r="AF166" s="50" t="str">
        <f>AF149</f>
        <v>PEHD/PP_12</v>
      </c>
      <c r="AH166" s="50" t="str">
        <f>AH149</f>
        <v>FLUX_DEV_10</v>
      </c>
      <c r="AI166" s="50" t="str">
        <f>AI149</f>
        <v>FLUX_DEV_11</v>
      </c>
      <c r="AJ166" s="50" t="str">
        <f>AJ149</f>
        <v>FLUX_DEV_12</v>
      </c>
      <c r="AL166" s="50" t="str">
        <f>AL149</f>
        <v>FILM_PE_10</v>
      </c>
      <c r="AM166" s="50" t="str">
        <f>AM149</f>
        <v>FILM_PE_11</v>
      </c>
      <c r="AN166" s="50" t="str">
        <f>AN149</f>
        <v>FILM_PE_12</v>
      </c>
      <c r="AP166" s="50" t="str">
        <f>AP149</f>
        <v>Acier_10</v>
      </c>
      <c r="AQ166" s="50" t="str">
        <f>AQ149</f>
        <v>Acier_11</v>
      </c>
      <c r="AR166" s="50" t="str">
        <f>AR149</f>
        <v>Acier_12</v>
      </c>
      <c r="AT166" s="50" t="str">
        <f>AT149</f>
        <v>Aluminium_10</v>
      </c>
      <c r="AU166" s="50" t="str">
        <f>AU149</f>
        <v>Aluminium_11</v>
      </c>
      <c r="AV166" s="50" t="str">
        <f>AV149</f>
        <v>Aluminium_12</v>
      </c>
    </row>
    <row r="167" spans="1:50" x14ac:dyDescent="0.25">
      <c r="A167" s="55" t="s">
        <v>33</v>
      </c>
      <c r="B167" s="51">
        <f>B161</f>
        <v>0.62977099236641232</v>
      </c>
      <c r="C167" s="51">
        <f>C161</f>
        <v>0.40487804878048778</v>
      </c>
      <c r="D167" s="51">
        <f>D161</f>
        <v>0.3437990580847724</v>
      </c>
      <c r="F167" s="51">
        <f>F161</f>
        <v>2.0703933747411979E-3</v>
      </c>
      <c r="G167" s="51">
        <f>G161</f>
        <v>7.1301247771835986E-3</v>
      </c>
      <c r="H167" s="51">
        <f>H161</f>
        <v>1.7921146953405014E-2</v>
      </c>
      <c r="J167" s="51">
        <f>J161</f>
        <v>4.4499381953028418E-2</v>
      </c>
      <c r="K167" s="51">
        <f>K161</f>
        <v>2.7247956403269751E-2</v>
      </c>
      <c r="L167" s="51">
        <f>L161</f>
        <v>5.4054054054054057E-2</v>
      </c>
      <c r="N167" s="51">
        <f>N161</f>
        <v>0.28179190751445093</v>
      </c>
      <c r="O167" s="51">
        <f>O161</f>
        <v>0.26079999999999992</v>
      </c>
      <c r="P167" s="51">
        <f>P161</f>
        <v>0.23395721925133692</v>
      </c>
      <c r="R167" s="51">
        <f>R161</f>
        <v>4.0897097625329823E-2</v>
      </c>
      <c r="S167" s="51">
        <f>S161</f>
        <v>3.2851511169513799E-2</v>
      </c>
      <c r="T167" s="51">
        <f>T161</f>
        <v>3.1591737545565018E-2</v>
      </c>
      <c r="V167" s="51">
        <f>V161</f>
        <v>1.3353115727002958E-2</v>
      </c>
      <c r="W167" s="51">
        <f>W161</f>
        <v>1.3888888888888888E-2</v>
      </c>
      <c r="X167" s="51">
        <f>X161</f>
        <v>0</v>
      </c>
      <c r="Z167" s="51">
        <f>Z161</f>
        <v>1.6042780748663093E-2</v>
      </c>
      <c r="AA167" s="51">
        <f>AA161</f>
        <v>3.2378580323785794E-2</v>
      </c>
      <c r="AB167" s="51">
        <f>AB161</f>
        <v>2.5032938076416322E-2</v>
      </c>
      <c r="AD167" s="51">
        <f>AD161</f>
        <v>4.3290043290043302E-2</v>
      </c>
      <c r="AE167" s="51">
        <f>AE161</f>
        <v>4.597701149425288E-2</v>
      </c>
      <c r="AF167" s="51">
        <f>AF161</f>
        <v>0.10073710073710072</v>
      </c>
      <c r="AH167" s="51">
        <f>AH161</f>
        <v>6.157112526539274E-2</v>
      </c>
      <c r="AI167" s="51">
        <f>AI161</f>
        <v>5.7046979865771806E-2</v>
      </c>
      <c r="AJ167" s="51">
        <f>AJ161</f>
        <v>6.0913705583756313E-2</v>
      </c>
      <c r="AL167" s="51">
        <f>AL161</f>
        <v>0.11326860841423951</v>
      </c>
      <c r="AM167" s="51">
        <f>AM161</f>
        <v>4.9479166666666421E-2</v>
      </c>
      <c r="AN167" s="51">
        <f>AN161</f>
        <v>0</v>
      </c>
      <c r="AP167" s="51">
        <f>AP161</f>
        <v>6.0901339829476243E-2</v>
      </c>
      <c r="AQ167" s="51">
        <f>AQ161</f>
        <v>0.10513739545997608</v>
      </c>
      <c r="AR167" s="51">
        <f>AR161</f>
        <v>8.0267558528428096E-2</v>
      </c>
      <c r="AT167" s="51">
        <f>AT161</f>
        <v>4.7619047619047589E-2</v>
      </c>
      <c r="AU167" s="51">
        <f>AU161</f>
        <v>0.11446540880503139</v>
      </c>
      <c r="AV167" s="51">
        <f>AV161</f>
        <v>7.999999999999996E-2</v>
      </c>
    </row>
    <row r="168" spans="1:50" x14ac:dyDescent="0.25">
      <c r="A168" s="68" t="s">
        <v>62</v>
      </c>
      <c r="B168" s="51">
        <f>100%-B167</f>
        <v>0.37022900763358768</v>
      </c>
      <c r="C168" s="51">
        <f t="shared" ref="C168:D168" si="197">100%-C167</f>
        <v>0.59512195121951228</v>
      </c>
      <c r="D168" s="51">
        <f t="shared" si="197"/>
        <v>0.6562009419152276</v>
      </c>
      <c r="F168" s="51">
        <f>100%-F167-F169</f>
        <v>5.3830227743271397E-2</v>
      </c>
      <c r="G168" s="51">
        <f t="shared" ref="G168:H168" si="198">100%-G167-G169</f>
        <v>2.1390374331550888E-2</v>
      </c>
      <c r="H168" s="51">
        <f t="shared" si="198"/>
        <v>4.6594982078853153E-2</v>
      </c>
      <c r="J168" s="51">
        <f>100%-J167-J169</f>
        <v>6.9221260815821917E-2</v>
      </c>
      <c r="K168" s="51">
        <f t="shared" ref="K168:L168" si="199">100%-K167-K169</f>
        <v>0.15258855585831055</v>
      </c>
      <c r="L168" s="51">
        <f t="shared" si="199"/>
        <v>0.11605723370429255</v>
      </c>
      <c r="N168" s="51">
        <f>100%-N167-N169</f>
        <v>0.20375722543352592</v>
      </c>
      <c r="O168" s="51">
        <f t="shared" ref="O168:P168" si="200">100%-O167-O169</f>
        <v>0.10880000000000001</v>
      </c>
      <c r="P168" s="51">
        <f t="shared" si="200"/>
        <v>0.17647058823529416</v>
      </c>
      <c r="R168" s="51">
        <f>100%-R167-R169</f>
        <v>0.12532981530343013</v>
      </c>
      <c r="S168" s="51">
        <f t="shared" ref="S168:T168" si="201">100%-S167-S169</f>
        <v>0.13272010512483567</v>
      </c>
      <c r="T168" s="51">
        <f t="shared" si="201"/>
        <v>0.15674362089914939</v>
      </c>
      <c r="V168" s="51">
        <f>100%-V167-V169</f>
        <v>2.522255192878331E-2</v>
      </c>
      <c r="W168" s="51">
        <f t="shared" ref="W168:X168" si="202">100%-W167-W169</f>
        <v>1.3888888888888951E-2</v>
      </c>
      <c r="X168" s="51">
        <f t="shared" si="202"/>
        <v>0</v>
      </c>
      <c r="Z168" s="51">
        <f>100%-Z167-Z169</f>
        <v>3.3422459893048262E-2</v>
      </c>
      <c r="AA168" s="51">
        <f t="shared" ref="AA168:AB168" si="203">100%-AA167-AA169</f>
        <v>7.0983810709837947E-2</v>
      </c>
      <c r="AB168" s="51">
        <f t="shared" si="203"/>
        <v>4.7430830039525973E-2</v>
      </c>
      <c r="AD168" s="51">
        <f>100%-AD167-AD169</f>
        <v>4.040404040404022E-2</v>
      </c>
      <c r="AE168" s="51">
        <f t="shared" ref="AE168:AF168" si="204">100%-AE167-AE169</f>
        <v>3.9408866995073843E-2</v>
      </c>
      <c r="AF168" s="51">
        <f t="shared" si="204"/>
        <v>9.4594594594594628E-2</v>
      </c>
      <c r="AH168" s="51">
        <f>100%-AH167-AH169</f>
        <v>0.32908704883227158</v>
      </c>
      <c r="AI168" s="51">
        <f t="shared" ref="AI168:AJ168" si="205">100%-AI167-AI169</f>
        <v>0.19966442953020136</v>
      </c>
      <c r="AJ168" s="51">
        <f t="shared" si="205"/>
        <v>0.41624365482233516</v>
      </c>
      <c r="AL168" s="51">
        <f>100%-AL167-AL169</f>
        <v>6.4724919093851141E-2</v>
      </c>
      <c r="AM168" s="51">
        <f t="shared" ref="AM168:AN168" si="206">100%-AM167-AM169</f>
        <v>5.208333333333337E-2</v>
      </c>
      <c r="AN168" s="51">
        <f t="shared" si="206"/>
        <v>1.5424164524421635E-2</v>
      </c>
      <c r="AP168" s="51">
        <f>100%-AP167-AP169</f>
        <v>7.551766138855065E-2</v>
      </c>
      <c r="AQ168" s="51">
        <f t="shared" ref="AQ168:AR168" si="207">100%-AQ167-AQ169</f>
        <v>4.5400238948625993E-2</v>
      </c>
      <c r="AR168" s="51">
        <f t="shared" si="207"/>
        <v>4.2363433667781614E-2</v>
      </c>
      <c r="AT168" s="51">
        <f>100%-AT167-AT169</f>
        <v>9.5238095238095344E-2</v>
      </c>
      <c r="AU168" s="51">
        <f t="shared" ref="AU168:AV168" si="208">100%-AU167-AU169</f>
        <v>7.7987421383647781E-2</v>
      </c>
      <c r="AV168" s="51">
        <f t="shared" si="208"/>
        <v>7.3333333333333472E-2</v>
      </c>
    </row>
    <row r="169" spans="1:50" x14ac:dyDescent="0.25">
      <c r="A169" s="56" t="s">
        <v>63</v>
      </c>
      <c r="B169" s="51"/>
      <c r="C169" s="51"/>
      <c r="D169" s="51"/>
      <c r="F169" s="51">
        <f>F160</f>
        <v>0.94409937888198736</v>
      </c>
      <c r="G169" s="51">
        <f t="shared" ref="G169:H169" si="209">G160</f>
        <v>0.97147950089126556</v>
      </c>
      <c r="H169" s="51">
        <f t="shared" si="209"/>
        <v>0.93548387096774188</v>
      </c>
      <c r="J169" s="51">
        <f>J154</f>
        <v>0.8862793572311497</v>
      </c>
      <c r="K169" s="51">
        <f t="shared" ref="K169:L169" si="210">K154</f>
        <v>0.82016348773841974</v>
      </c>
      <c r="L169" s="51">
        <f t="shared" si="210"/>
        <v>0.82988871224165339</v>
      </c>
      <c r="N169" s="51">
        <f>N158</f>
        <v>0.51445086705202314</v>
      </c>
      <c r="O169" s="51">
        <f t="shared" ref="O169:P169" si="211">O158</f>
        <v>0.63040000000000007</v>
      </c>
      <c r="P169" s="51">
        <f t="shared" si="211"/>
        <v>0.5895721925133689</v>
      </c>
      <c r="R169" s="51">
        <f>R157</f>
        <v>0.83377308707124009</v>
      </c>
      <c r="S169" s="51">
        <f t="shared" ref="S169:T169" si="212">S157</f>
        <v>0.83442838370565053</v>
      </c>
      <c r="T169" s="51">
        <f t="shared" si="212"/>
        <v>0.81166464155528562</v>
      </c>
      <c r="V169" s="51">
        <f>V154</f>
        <v>0.96142433234421376</v>
      </c>
      <c r="W169" s="51">
        <f t="shared" ref="W169:X169" si="213">W154</f>
        <v>0.97222222222222221</v>
      </c>
      <c r="X169" s="51">
        <f t="shared" si="213"/>
        <v>1</v>
      </c>
      <c r="Z169" s="51">
        <f>Z153</f>
        <v>0.95053475935828868</v>
      </c>
      <c r="AA169" s="51">
        <f t="shared" ref="AA169:AB169" si="214">AA153</f>
        <v>0.89663760896637623</v>
      </c>
      <c r="AB169" s="51">
        <f t="shared" si="214"/>
        <v>0.92753623188405776</v>
      </c>
      <c r="AD169" s="51">
        <f>AD159</f>
        <v>0.91630591630591651</v>
      </c>
      <c r="AE169" s="51">
        <f t="shared" ref="AE169:AF169" si="215">AE159</f>
        <v>0.91461412151067323</v>
      </c>
      <c r="AF169" s="51">
        <f t="shared" si="215"/>
        <v>0.80466830466830463</v>
      </c>
      <c r="AH169" s="51">
        <f>AH156</f>
        <v>0.60934182590233565</v>
      </c>
      <c r="AI169" s="51">
        <f t="shared" ref="AI169:AJ169" si="216">AI156</f>
        <v>0.74328859060402686</v>
      </c>
      <c r="AJ169" s="51">
        <f t="shared" si="216"/>
        <v>0.52284263959390853</v>
      </c>
      <c r="AL169" s="51">
        <f>AL155</f>
        <v>0.82200647249190939</v>
      </c>
      <c r="AM169" s="51">
        <f t="shared" ref="AM169:AN169" si="217">AM155</f>
        <v>0.89843750000000022</v>
      </c>
      <c r="AN169" s="51">
        <f t="shared" si="217"/>
        <v>0.98457583547557836</v>
      </c>
      <c r="AP169" s="51">
        <f>AP150</f>
        <v>0.86358099878197314</v>
      </c>
      <c r="AQ169" s="51">
        <f t="shared" ref="AQ169:AR169" si="218">AQ150</f>
        <v>0.84946236559139787</v>
      </c>
      <c r="AR169" s="51">
        <f t="shared" si="218"/>
        <v>0.87736900780379035</v>
      </c>
      <c r="AT169" s="51">
        <f>AT151</f>
        <v>0.8571428571428571</v>
      </c>
      <c r="AU169" s="51">
        <f t="shared" ref="AU169:AV169" si="219">AU151</f>
        <v>0.8075471698113208</v>
      </c>
      <c r="AV169" s="51">
        <f t="shared" si="219"/>
        <v>0.84666666666666657</v>
      </c>
    </row>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sheetData>
  <mergeCells count="4">
    <mergeCell ref="A1:H1"/>
    <mergeCell ref="A48:H48"/>
    <mergeCell ref="A97:H97"/>
    <mergeCell ref="A146:H146"/>
  </mergeCells>
  <conditionalFormatting sqref="B4:E15">
    <cfRule type="colorScale" priority="80">
      <colorScale>
        <cfvo type="min"/>
        <cfvo type="percentile" val="50"/>
        <cfvo type="max"/>
        <color rgb="FF63BE7B"/>
        <color rgb="FFFFEB84"/>
        <color rgb="FFF8696B"/>
      </colorScale>
    </cfRule>
  </conditionalFormatting>
  <conditionalFormatting sqref="B52:E63">
    <cfRule type="colorScale" priority="62">
      <colorScale>
        <cfvo type="min"/>
        <cfvo type="percentile" val="50"/>
        <cfvo type="max"/>
        <color rgb="FF63BE7B"/>
        <color rgb="FFFFEB84"/>
        <color rgb="FFF8696B"/>
      </colorScale>
    </cfRule>
  </conditionalFormatting>
  <conditionalFormatting sqref="B101:E112">
    <cfRule type="colorScale" priority="44">
      <colorScale>
        <cfvo type="min"/>
        <cfvo type="percentile" val="50"/>
        <cfvo type="max"/>
        <color rgb="FF63BE7B"/>
        <color rgb="FFFFEB84"/>
        <color rgb="FFF8696B"/>
      </colorScale>
    </cfRule>
  </conditionalFormatting>
  <conditionalFormatting sqref="B150:E161">
    <cfRule type="colorScale" priority="16">
      <colorScale>
        <cfvo type="min"/>
        <cfvo type="percentile" val="50"/>
        <cfvo type="max"/>
        <color rgb="FF63BE7B"/>
        <color rgb="FFFFEB84"/>
        <color rgb="FFF8696B"/>
      </colorScale>
    </cfRule>
  </conditionalFormatting>
  <conditionalFormatting sqref="F52:H63">
    <cfRule type="colorScale" priority="56">
      <colorScale>
        <cfvo type="min"/>
        <cfvo type="percentile" val="50"/>
        <cfvo type="max"/>
        <color rgb="FF63BE7B"/>
        <color rgb="FFFFEB84"/>
        <color rgb="FFF8696B"/>
      </colorScale>
    </cfRule>
  </conditionalFormatting>
  <conditionalFormatting sqref="F101:H112">
    <cfRule type="colorScale" priority="28">
      <colorScale>
        <cfvo type="min"/>
        <cfvo type="percentile" val="50"/>
        <cfvo type="max"/>
        <color rgb="FF63BE7B"/>
        <color rgb="FFFFEB84"/>
        <color rgb="FFF8696B"/>
      </colorScale>
    </cfRule>
  </conditionalFormatting>
  <conditionalFormatting sqref="F150:H161">
    <cfRule type="colorScale" priority="12">
      <colorScale>
        <cfvo type="min"/>
        <cfvo type="percentile" val="50"/>
        <cfvo type="max"/>
        <color rgb="FF63BE7B"/>
        <color rgb="FFFFEB84"/>
        <color rgb="FFF8696B"/>
      </colorScale>
    </cfRule>
  </conditionalFormatting>
  <conditionalFormatting sqref="F4:I15">
    <cfRule type="colorScale" priority="65">
      <colorScale>
        <cfvo type="min"/>
        <cfvo type="percentile" val="50"/>
        <cfvo type="max"/>
        <color rgb="FF63BE7B"/>
        <color rgb="FFFFEB84"/>
        <color rgb="FFF8696B"/>
      </colorScale>
    </cfRule>
  </conditionalFormatting>
  <conditionalFormatting sqref="I52:I63">
    <cfRule type="colorScale" priority="60">
      <colorScale>
        <cfvo type="min"/>
        <cfvo type="percentile" val="50"/>
        <cfvo type="max"/>
        <color rgb="FF63BE7B"/>
        <color rgb="FFFFEB84"/>
        <color rgb="FFF8696B"/>
      </colorScale>
    </cfRule>
  </conditionalFormatting>
  <conditionalFormatting sqref="I101:I112">
    <cfRule type="colorScale" priority="43">
      <colorScale>
        <cfvo type="min"/>
        <cfvo type="percentile" val="50"/>
        <cfvo type="max"/>
        <color rgb="FF63BE7B"/>
        <color rgb="FFFFEB84"/>
        <color rgb="FFF8696B"/>
      </colorScale>
    </cfRule>
  </conditionalFormatting>
  <conditionalFormatting sqref="I150:I161">
    <cfRule type="colorScale" priority="15">
      <colorScale>
        <cfvo type="min"/>
        <cfvo type="percentile" val="50"/>
        <cfvo type="max"/>
        <color rgb="FF63BE7B"/>
        <color rgb="FFFFEB84"/>
        <color rgb="FFF8696B"/>
      </colorScale>
    </cfRule>
  </conditionalFormatting>
  <conditionalFormatting sqref="J52:L63">
    <cfRule type="colorScale" priority="55">
      <colorScale>
        <cfvo type="min"/>
        <cfvo type="percentile" val="50"/>
        <cfvo type="max"/>
        <color rgb="FF63BE7B"/>
        <color rgb="FFFFEB84"/>
        <color rgb="FFF8696B"/>
      </colorScale>
    </cfRule>
  </conditionalFormatting>
  <conditionalFormatting sqref="J101:L112">
    <cfRule type="colorScale" priority="27">
      <colorScale>
        <cfvo type="min"/>
        <cfvo type="percentile" val="50"/>
        <cfvo type="max"/>
        <color rgb="FF63BE7B"/>
        <color rgb="FFFFEB84"/>
        <color rgb="FFF8696B"/>
      </colorScale>
    </cfRule>
  </conditionalFormatting>
  <conditionalFormatting sqref="J150:L161">
    <cfRule type="colorScale" priority="11">
      <colorScale>
        <cfvo type="min"/>
        <cfvo type="percentile" val="50"/>
        <cfvo type="max"/>
        <color rgb="FF63BE7B"/>
        <color rgb="FFFFEB84"/>
        <color rgb="FFF8696B"/>
      </colorScale>
    </cfRule>
  </conditionalFormatting>
  <conditionalFormatting sqref="J4:M15">
    <cfRule type="colorScale" priority="64">
      <colorScale>
        <cfvo type="min"/>
        <cfvo type="percentile" val="50"/>
        <cfvo type="max"/>
        <color rgb="FF63BE7B"/>
        <color rgb="FFFFEB84"/>
        <color rgb="FFF8696B"/>
      </colorScale>
    </cfRule>
  </conditionalFormatting>
  <conditionalFormatting sqref="M52:M63">
    <cfRule type="colorScale" priority="59">
      <colorScale>
        <cfvo type="min"/>
        <cfvo type="percentile" val="50"/>
        <cfvo type="max"/>
        <color rgb="FF63BE7B"/>
        <color rgb="FFFFEB84"/>
        <color rgb="FFF8696B"/>
      </colorScale>
    </cfRule>
  </conditionalFormatting>
  <conditionalFormatting sqref="M101:M112">
    <cfRule type="colorScale" priority="42">
      <colorScale>
        <cfvo type="min"/>
        <cfvo type="percentile" val="50"/>
        <cfvo type="max"/>
        <color rgb="FF63BE7B"/>
        <color rgb="FFFFEB84"/>
        <color rgb="FFF8696B"/>
      </colorScale>
    </cfRule>
  </conditionalFormatting>
  <conditionalFormatting sqref="M150:M161">
    <cfRule type="colorScale" priority="14">
      <colorScale>
        <cfvo type="min"/>
        <cfvo type="percentile" val="50"/>
        <cfvo type="max"/>
        <color rgb="FF63BE7B"/>
        <color rgb="FFFFEB84"/>
        <color rgb="FFF8696B"/>
      </colorScale>
    </cfRule>
  </conditionalFormatting>
  <conditionalFormatting sqref="N52:P63">
    <cfRule type="colorScale" priority="54">
      <colorScale>
        <cfvo type="min"/>
        <cfvo type="percentile" val="50"/>
        <cfvo type="max"/>
        <color rgb="FF63BE7B"/>
        <color rgb="FFFFEB84"/>
        <color rgb="FFF8696B"/>
      </colorScale>
    </cfRule>
  </conditionalFormatting>
  <conditionalFormatting sqref="N101:P112">
    <cfRule type="colorScale" priority="26">
      <colorScale>
        <cfvo type="min"/>
        <cfvo type="percentile" val="50"/>
        <cfvo type="max"/>
        <color rgb="FF63BE7B"/>
        <color rgb="FFFFEB84"/>
        <color rgb="FFF8696B"/>
      </colorScale>
    </cfRule>
  </conditionalFormatting>
  <conditionalFormatting sqref="N150:P161">
    <cfRule type="colorScale" priority="10">
      <colorScale>
        <cfvo type="min"/>
        <cfvo type="percentile" val="50"/>
        <cfvo type="max"/>
        <color rgb="FF63BE7B"/>
        <color rgb="FFFFEB84"/>
        <color rgb="FFF8696B"/>
      </colorScale>
    </cfRule>
  </conditionalFormatting>
  <conditionalFormatting sqref="N4:AW15">
    <cfRule type="colorScale" priority="63">
      <colorScale>
        <cfvo type="min"/>
        <cfvo type="percentile" val="50"/>
        <cfvo type="max"/>
        <color rgb="FF63BE7B"/>
        <color rgb="FFFFEB84"/>
        <color rgb="FFF8696B"/>
      </colorScale>
    </cfRule>
  </conditionalFormatting>
  <conditionalFormatting sqref="Q52:Q63 U52:U63 Y52:Y63 AC52:AC63 AG52:AG63 AK52:AK63 AO52:AO63 AS52:AS63 AW52:AW63">
    <cfRule type="colorScale" priority="58">
      <colorScale>
        <cfvo type="min"/>
        <cfvo type="percentile" val="50"/>
        <cfvo type="max"/>
        <color rgb="FF63BE7B"/>
        <color rgb="FFFFEB84"/>
        <color rgb="FFF8696B"/>
      </colorScale>
    </cfRule>
  </conditionalFormatting>
  <conditionalFormatting sqref="Q101:Q112 U101:U112 Y101:Y112 AC101:AC112 AG101:AG112 AK101:AK112 AO101:AO112 AS101:AS112 AW101:AW112">
    <cfRule type="colorScale" priority="41">
      <colorScale>
        <cfvo type="min"/>
        <cfvo type="percentile" val="50"/>
        <cfvo type="max"/>
        <color rgb="FF63BE7B"/>
        <color rgb="FFFFEB84"/>
        <color rgb="FFF8696B"/>
      </colorScale>
    </cfRule>
  </conditionalFormatting>
  <conditionalFormatting sqref="Q150:Q161 U150:U161 Y150:Y161 AC150:AC161 AG150:AG161 AK150:AK161 AO150:AO161 AS150:AS161 AW150:AW161">
    <cfRule type="colorScale" priority="13">
      <colorScale>
        <cfvo type="min"/>
        <cfvo type="percentile" val="50"/>
        <cfvo type="max"/>
        <color rgb="FF63BE7B"/>
        <color rgb="FFFFEB84"/>
        <color rgb="FFF8696B"/>
      </colorScale>
    </cfRule>
  </conditionalFormatting>
  <conditionalFormatting sqref="R52:T63">
    <cfRule type="colorScale" priority="53">
      <colorScale>
        <cfvo type="min"/>
        <cfvo type="percentile" val="50"/>
        <cfvo type="max"/>
        <color rgb="FF63BE7B"/>
        <color rgb="FFFFEB84"/>
        <color rgb="FFF8696B"/>
      </colorScale>
    </cfRule>
  </conditionalFormatting>
  <conditionalFormatting sqref="R101:T112">
    <cfRule type="colorScale" priority="25">
      <colorScale>
        <cfvo type="min"/>
        <cfvo type="percentile" val="50"/>
        <cfvo type="max"/>
        <color rgb="FF63BE7B"/>
        <color rgb="FFFFEB84"/>
        <color rgb="FFF8696B"/>
      </colorScale>
    </cfRule>
  </conditionalFormatting>
  <conditionalFormatting sqref="R150:T161">
    <cfRule type="colorScale" priority="9">
      <colorScale>
        <cfvo type="min"/>
        <cfvo type="percentile" val="50"/>
        <cfvo type="max"/>
        <color rgb="FF63BE7B"/>
        <color rgb="FFFFEB84"/>
        <color rgb="FFF8696B"/>
      </colorScale>
    </cfRule>
  </conditionalFormatting>
  <conditionalFormatting sqref="V52:X63">
    <cfRule type="colorScale" priority="52">
      <colorScale>
        <cfvo type="min"/>
        <cfvo type="percentile" val="50"/>
        <cfvo type="max"/>
        <color rgb="FF63BE7B"/>
        <color rgb="FFFFEB84"/>
        <color rgb="FFF8696B"/>
      </colorScale>
    </cfRule>
  </conditionalFormatting>
  <conditionalFormatting sqref="V101:X112">
    <cfRule type="colorScale" priority="24">
      <colorScale>
        <cfvo type="min"/>
        <cfvo type="percentile" val="50"/>
        <cfvo type="max"/>
        <color rgb="FF63BE7B"/>
        <color rgb="FFFFEB84"/>
        <color rgb="FFF8696B"/>
      </colorScale>
    </cfRule>
  </conditionalFormatting>
  <conditionalFormatting sqref="V150:X161">
    <cfRule type="colorScale" priority="8">
      <colorScale>
        <cfvo type="min"/>
        <cfvo type="percentile" val="50"/>
        <cfvo type="max"/>
        <color rgb="FF63BE7B"/>
        <color rgb="FFFFEB84"/>
        <color rgb="FFF8696B"/>
      </colorScale>
    </cfRule>
  </conditionalFormatting>
  <conditionalFormatting sqref="Z52:AB63">
    <cfRule type="colorScale" priority="51">
      <colorScale>
        <cfvo type="min"/>
        <cfvo type="percentile" val="50"/>
        <cfvo type="max"/>
        <color rgb="FF63BE7B"/>
        <color rgb="FFFFEB84"/>
        <color rgb="FFF8696B"/>
      </colorScale>
    </cfRule>
  </conditionalFormatting>
  <conditionalFormatting sqref="Z101:AB112">
    <cfRule type="colorScale" priority="23">
      <colorScale>
        <cfvo type="min"/>
        <cfvo type="percentile" val="50"/>
        <cfvo type="max"/>
        <color rgb="FF63BE7B"/>
        <color rgb="FFFFEB84"/>
        <color rgb="FFF8696B"/>
      </colorScale>
    </cfRule>
  </conditionalFormatting>
  <conditionalFormatting sqref="Z150:AB161">
    <cfRule type="colorScale" priority="7">
      <colorScale>
        <cfvo type="min"/>
        <cfvo type="percentile" val="50"/>
        <cfvo type="max"/>
        <color rgb="FF63BE7B"/>
        <color rgb="FFFFEB84"/>
        <color rgb="FFF8696B"/>
      </colorScale>
    </cfRule>
  </conditionalFormatting>
  <conditionalFormatting sqref="AD52:AF63">
    <cfRule type="colorScale" priority="50">
      <colorScale>
        <cfvo type="min"/>
        <cfvo type="percentile" val="50"/>
        <cfvo type="max"/>
        <color rgb="FF63BE7B"/>
        <color rgb="FFFFEB84"/>
        <color rgb="FFF8696B"/>
      </colorScale>
    </cfRule>
  </conditionalFormatting>
  <conditionalFormatting sqref="AD101:AF112">
    <cfRule type="colorScale" priority="22">
      <colorScale>
        <cfvo type="min"/>
        <cfvo type="percentile" val="50"/>
        <cfvo type="max"/>
        <color rgb="FF63BE7B"/>
        <color rgb="FFFFEB84"/>
        <color rgb="FFF8696B"/>
      </colorScale>
    </cfRule>
  </conditionalFormatting>
  <conditionalFormatting sqref="AD150:AF161">
    <cfRule type="colorScale" priority="6">
      <colorScale>
        <cfvo type="min"/>
        <cfvo type="percentile" val="50"/>
        <cfvo type="max"/>
        <color rgb="FF63BE7B"/>
        <color rgb="FFFFEB84"/>
        <color rgb="FFF8696B"/>
      </colorScale>
    </cfRule>
  </conditionalFormatting>
  <conditionalFormatting sqref="AH52:AJ63">
    <cfRule type="colorScale" priority="49">
      <colorScale>
        <cfvo type="min"/>
        <cfvo type="percentile" val="50"/>
        <cfvo type="max"/>
        <color rgb="FF63BE7B"/>
        <color rgb="FFFFEB84"/>
        <color rgb="FFF8696B"/>
      </colorScale>
    </cfRule>
  </conditionalFormatting>
  <conditionalFormatting sqref="AH101:AJ112">
    <cfRule type="colorScale" priority="21">
      <colorScale>
        <cfvo type="min"/>
        <cfvo type="percentile" val="50"/>
        <cfvo type="max"/>
        <color rgb="FF63BE7B"/>
        <color rgb="FFFFEB84"/>
        <color rgb="FFF8696B"/>
      </colorScale>
    </cfRule>
  </conditionalFormatting>
  <conditionalFormatting sqref="AH150:AJ161">
    <cfRule type="colorScale" priority="5">
      <colorScale>
        <cfvo type="min"/>
        <cfvo type="percentile" val="50"/>
        <cfvo type="max"/>
        <color rgb="FF63BE7B"/>
        <color rgb="FFFFEB84"/>
        <color rgb="FFF8696B"/>
      </colorScale>
    </cfRule>
  </conditionalFormatting>
  <conditionalFormatting sqref="AL52:AN63">
    <cfRule type="colorScale" priority="48">
      <colorScale>
        <cfvo type="min"/>
        <cfvo type="percentile" val="50"/>
        <cfvo type="max"/>
        <color rgb="FF63BE7B"/>
        <color rgb="FFFFEB84"/>
        <color rgb="FFF8696B"/>
      </colorScale>
    </cfRule>
  </conditionalFormatting>
  <conditionalFormatting sqref="AL101:AN112">
    <cfRule type="colorScale" priority="20">
      <colorScale>
        <cfvo type="min"/>
        <cfvo type="percentile" val="50"/>
        <cfvo type="max"/>
        <color rgb="FF63BE7B"/>
        <color rgb="FFFFEB84"/>
        <color rgb="FFF8696B"/>
      </colorScale>
    </cfRule>
  </conditionalFormatting>
  <conditionalFormatting sqref="AL150:AN161">
    <cfRule type="colorScale" priority="4">
      <colorScale>
        <cfvo type="min"/>
        <cfvo type="percentile" val="50"/>
        <cfvo type="max"/>
        <color rgb="FF63BE7B"/>
        <color rgb="FFFFEB84"/>
        <color rgb="FFF8696B"/>
      </colorScale>
    </cfRule>
  </conditionalFormatting>
  <conditionalFormatting sqref="AP52:AR63">
    <cfRule type="colorScale" priority="47">
      <colorScale>
        <cfvo type="min"/>
        <cfvo type="percentile" val="50"/>
        <cfvo type="max"/>
        <color rgb="FF63BE7B"/>
        <color rgb="FFFFEB84"/>
        <color rgb="FFF8696B"/>
      </colorScale>
    </cfRule>
  </conditionalFormatting>
  <conditionalFormatting sqref="AP101:AR112">
    <cfRule type="colorScale" priority="19">
      <colorScale>
        <cfvo type="min"/>
        <cfvo type="percentile" val="50"/>
        <cfvo type="max"/>
        <color rgb="FF63BE7B"/>
        <color rgb="FFFFEB84"/>
        <color rgb="FFF8696B"/>
      </colorScale>
    </cfRule>
  </conditionalFormatting>
  <conditionalFormatting sqref="AP150:AR161">
    <cfRule type="colorScale" priority="3">
      <colorScale>
        <cfvo type="min"/>
        <cfvo type="percentile" val="50"/>
        <cfvo type="max"/>
        <color rgb="FF63BE7B"/>
        <color rgb="FFFFEB84"/>
        <color rgb="FFF8696B"/>
      </colorScale>
    </cfRule>
  </conditionalFormatting>
  <conditionalFormatting sqref="AT52:AV63">
    <cfRule type="colorScale" priority="46">
      <colorScale>
        <cfvo type="min"/>
        <cfvo type="percentile" val="50"/>
        <cfvo type="max"/>
        <color rgb="FF63BE7B"/>
        <color rgb="FFFFEB84"/>
        <color rgb="FFF8696B"/>
      </colorScale>
    </cfRule>
  </conditionalFormatting>
  <conditionalFormatting sqref="AT101:AV112">
    <cfRule type="colorScale" priority="18">
      <colorScale>
        <cfvo type="min"/>
        <cfvo type="percentile" val="50"/>
        <cfvo type="max"/>
        <color rgb="FF63BE7B"/>
        <color rgb="FFFFEB84"/>
        <color rgb="FFF8696B"/>
      </colorScale>
    </cfRule>
  </conditionalFormatting>
  <conditionalFormatting sqref="AT150:AV161">
    <cfRule type="colorScale" priority="2">
      <colorScale>
        <cfvo type="min"/>
        <cfvo type="percentile" val="50"/>
        <cfvo type="max"/>
        <color rgb="FF63BE7B"/>
        <color rgb="FFFFEB84"/>
        <color rgb="FFF8696B"/>
      </colorScale>
    </cfRule>
  </conditionalFormatting>
  <conditionalFormatting sqref="AX4:AX15">
    <cfRule type="colorScale" priority="66">
      <colorScale>
        <cfvo type="min"/>
        <cfvo type="percentile" val="50"/>
        <cfvo type="max"/>
        <color rgb="FF63BE7B"/>
        <color rgb="FFFFEB84"/>
        <color rgb="FFF8696B"/>
      </colorScale>
    </cfRule>
  </conditionalFormatting>
  <conditionalFormatting sqref="AX52:AX63">
    <cfRule type="colorScale" priority="45">
      <colorScale>
        <cfvo type="min"/>
        <cfvo type="percentile" val="50"/>
        <cfvo type="max"/>
        <color rgb="FF63BE7B"/>
        <color rgb="FFFFEB84"/>
        <color rgb="FFF8696B"/>
      </colorScale>
    </cfRule>
  </conditionalFormatting>
  <conditionalFormatting sqref="AX101:AX112">
    <cfRule type="colorScale" priority="17">
      <colorScale>
        <cfvo type="min"/>
        <cfvo type="percentile" val="50"/>
        <cfvo type="max"/>
        <color rgb="FF63BE7B"/>
        <color rgb="FFFFEB84"/>
        <color rgb="FFF8696B"/>
      </colorScale>
    </cfRule>
  </conditionalFormatting>
  <conditionalFormatting sqref="AX150:AX16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BF58"/>
  <sheetViews>
    <sheetView topLeftCell="A37" zoomScale="80" zoomScaleNormal="80" workbookViewId="0">
      <pane xSplit="1" topLeftCell="B1" activePane="topRight" state="frozen"/>
      <selection pane="topRight" activeCell="V54" sqref="V54"/>
    </sheetView>
  </sheetViews>
  <sheetFormatPr baseColWidth="10" defaultColWidth="11.42578125" defaultRowHeight="15" x14ac:dyDescent="0.25"/>
  <cols>
    <col min="1" max="1" width="28.28515625" customWidth="1"/>
    <col min="2" max="2" width="21" customWidth="1"/>
    <col min="3" max="3" width="24.7109375" hidden="1" customWidth="1"/>
    <col min="4" max="4" width="17.7109375" customWidth="1"/>
    <col min="5" max="5" width="17.7109375" hidden="1" customWidth="1"/>
    <col min="6" max="6" width="17.7109375" customWidth="1"/>
    <col min="7" max="7" width="17.7109375" hidden="1" customWidth="1"/>
    <col min="8" max="8" width="17.7109375" customWidth="1"/>
    <col min="9" max="9" width="17.7109375" hidden="1" customWidth="1"/>
    <col min="10" max="10" width="17.7109375" customWidth="1"/>
    <col min="11" max="11" width="17.7109375" hidden="1" customWidth="1"/>
    <col min="12" max="12" width="17.7109375" customWidth="1"/>
    <col min="13" max="13" width="17.7109375" hidden="1" customWidth="1"/>
    <col min="14" max="14" width="17.7109375" customWidth="1"/>
    <col min="15" max="15" width="11.42578125" hidden="1" customWidth="1"/>
    <col min="16" max="16" width="17.7109375" customWidth="1"/>
    <col min="17" max="17" width="0" hidden="1" customWidth="1"/>
    <col min="18" max="18" width="17.7109375" customWidth="1"/>
    <col min="19" max="19" width="0" hidden="1" customWidth="1"/>
    <col min="20" max="20" width="17.7109375" customWidth="1"/>
    <col min="21" max="21" width="0" hidden="1" customWidth="1"/>
    <col min="22" max="22" width="17.7109375" customWidth="1"/>
    <col min="23" max="23" width="0" hidden="1" customWidth="1"/>
    <col min="24" max="24" width="17.7109375" customWidth="1"/>
    <col min="25" max="25" width="0" hidden="1" customWidth="1"/>
    <col min="26" max="26" width="17.7109375" customWidth="1"/>
    <col min="27" max="27" width="0" hidden="1" customWidth="1"/>
    <col min="28" max="28" width="17.7109375" customWidth="1"/>
    <col min="29" max="29" width="0" hidden="1" customWidth="1"/>
    <col min="30" max="30" width="17.7109375" customWidth="1"/>
    <col min="31" max="31" width="0" hidden="1" customWidth="1"/>
    <col min="32" max="32" width="17.7109375" customWidth="1"/>
    <col min="33" max="33" width="0" hidden="1" customWidth="1"/>
    <col min="34" max="34" width="17.7109375" customWidth="1"/>
    <col min="35" max="35" width="0" hidden="1" customWidth="1"/>
    <col min="36" max="36" width="17.7109375" customWidth="1"/>
    <col min="37" max="37" width="0" hidden="1" customWidth="1"/>
    <col min="38" max="38" width="17.7109375" customWidth="1"/>
    <col min="39" max="39" width="0" hidden="1" customWidth="1"/>
    <col min="40" max="40" width="17.7109375" customWidth="1"/>
    <col min="41" max="41" width="0" hidden="1" customWidth="1"/>
    <col min="42" max="42" width="17.7109375" customWidth="1"/>
    <col min="43" max="43" width="0" hidden="1" customWidth="1"/>
    <col min="44" max="44" width="17.7109375" customWidth="1"/>
    <col min="45" max="46" width="0" hidden="1" customWidth="1"/>
  </cols>
  <sheetData>
    <row r="1" spans="1:46" ht="21" x14ac:dyDescent="0.35">
      <c r="A1" s="105" t="s">
        <v>483</v>
      </c>
      <c r="B1" s="105"/>
      <c r="C1" s="105"/>
      <c r="D1" s="105"/>
      <c r="E1" s="105"/>
      <c r="F1" s="105"/>
      <c r="G1" s="105"/>
      <c r="H1" s="105"/>
    </row>
    <row r="2" spans="1:46" ht="15.75" thickBot="1" x14ac:dyDescent="0.3"/>
    <row r="3" spans="1:46" ht="31.5" customHeight="1" thickBot="1" x14ac:dyDescent="0.3">
      <c r="B3" s="107" t="s">
        <v>332</v>
      </c>
      <c r="C3" s="108"/>
      <c r="D3" s="109"/>
      <c r="F3" s="107" t="s">
        <v>333</v>
      </c>
      <c r="G3" s="108"/>
      <c r="H3" s="109"/>
      <c r="J3" s="107" t="s">
        <v>334</v>
      </c>
      <c r="K3" s="108"/>
      <c r="L3" s="108"/>
      <c r="M3" s="108"/>
      <c r="N3" s="108"/>
      <c r="O3" s="108"/>
      <c r="P3" s="109"/>
      <c r="R3" s="107" t="s">
        <v>335</v>
      </c>
      <c r="S3" s="108"/>
      <c r="T3" s="108"/>
      <c r="U3" s="108"/>
      <c r="V3" s="109"/>
      <c r="X3" s="107" t="s">
        <v>336</v>
      </c>
      <c r="Y3" s="108"/>
      <c r="Z3" s="108"/>
      <c r="AA3" s="108"/>
      <c r="AB3" s="108"/>
      <c r="AC3" s="108"/>
      <c r="AD3" s="108"/>
      <c r="AE3" s="108"/>
      <c r="AF3" s="108"/>
      <c r="AG3" s="108"/>
      <c r="AH3" s="109"/>
      <c r="AJ3" s="107" t="s">
        <v>337</v>
      </c>
      <c r="AK3" s="108"/>
      <c r="AL3" s="109"/>
      <c r="AN3" s="107" t="s">
        <v>338</v>
      </c>
      <c r="AO3" s="108"/>
      <c r="AP3" s="108"/>
      <c r="AQ3" s="108"/>
      <c r="AR3" s="109"/>
    </row>
    <row r="4" spans="1:46" s="94" customFormat="1" ht="45" x14ac:dyDescent="0.25">
      <c r="B4" s="95" t="str">
        <f>'TCD TO série 1'!B4</f>
        <v>Prélèvement 10 + 12</v>
      </c>
      <c r="C4" s="95" t="str">
        <f>'TCD TO série 1'!C4</f>
        <v>Total Prélèvement 10 + 12</v>
      </c>
      <c r="D4" s="95" t="str">
        <f>'TCD TO série 1'!D4</f>
        <v>Prélèvement 11 + 13</v>
      </c>
      <c r="E4" s="95" t="str">
        <f>'TCD TO série 1'!E4</f>
        <v>Total Prélèvement 11 + 13</v>
      </c>
      <c r="F4" s="95" t="str">
        <f>'TCD TO série 1'!F4</f>
        <v>Prélèvement 14</v>
      </c>
      <c r="G4" s="95" t="str">
        <f>'TCD TO série 1'!G4</f>
        <v>Total Prélèvement 14</v>
      </c>
      <c r="H4" s="95" t="str">
        <f>'TCD TO série 1'!H4</f>
        <v>Prélèvement 15</v>
      </c>
      <c r="I4" s="95" t="str">
        <f>'TCD TO série 1'!I4</f>
        <v>Total Prélèvement 15</v>
      </c>
      <c r="J4" s="95" t="str">
        <f>'TCD TO série 1'!J4</f>
        <v>Prélèvement 16+19</v>
      </c>
      <c r="K4" s="95" t="str">
        <f>'TCD TO série 1'!K4</f>
        <v>Total Prélèvement 16+19</v>
      </c>
      <c r="L4" s="95" t="str">
        <f>'TCD TO série 1'!L4</f>
        <v>Prélèvement 17</v>
      </c>
      <c r="M4" s="95" t="str">
        <f>'TCD TO série 1'!M4</f>
        <v>Total Prélèvement 17</v>
      </c>
      <c r="N4" s="95" t="str">
        <f>'TCD TO série 1'!N4</f>
        <v>Prélèvement 18+21</v>
      </c>
      <c r="O4" s="95" t="str">
        <f>'TCD TO série 1'!O4</f>
        <v>Total Prélèvement 18+21</v>
      </c>
      <c r="P4" s="95" t="str">
        <f>'TCD TO série 1'!P4</f>
        <v>Prélèvement 20</v>
      </c>
      <c r="Q4" s="95" t="str">
        <f>'TCD TO série 1'!Q4</f>
        <v>Total Prélèvement 20</v>
      </c>
      <c r="R4" s="95" t="str">
        <f>'TCD TO série 1'!R4</f>
        <v>Prélèvement 22</v>
      </c>
      <c r="S4" s="95" t="str">
        <f>'TCD TO série 1'!S4</f>
        <v>Total Prélèvement 22</v>
      </c>
      <c r="T4" s="95" t="str">
        <f>'TCD TO série 1'!T4</f>
        <v>Prélèvement 23</v>
      </c>
      <c r="U4" s="95" t="str">
        <f>'TCD TO série 1'!U4</f>
        <v>Total Prélèvement 23</v>
      </c>
      <c r="V4" s="95" t="str">
        <f>'TCD TO série 1'!V4</f>
        <v>Prélèvement 24</v>
      </c>
      <c r="W4" s="95" t="str">
        <f>'TCD TO série 1'!W4</f>
        <v>Total Prélèvement 24</v>
      </c>
      <c r="X4" s="95" t="str">
        <f>'TCD TO série 1'!X4</f>
        <v>Prélèvement 25+27+30</v>
      </c>
      <c r="Y4" s="95" t="str">
        <f>'TCD TO série 1'!Y4</f>
        <v>Total Prélèvement 25+27+30</v>
      </c>
      <c r="Z4" s="95" t="str">
        <f>'TCD TO série 1'!Z4</f>
        <v>Prélèvement 26</v>
      </c>
      <c r="AA4" s="95" t="str">
        <f>'TCD TO série 1'!AA4</f>
        <v>Total Prélèvement 26</v>
      </c>
      <c r="AB4" s="95" t="str">
        <f>'TCD TO série 1'!AB4</f>
        <v>Prélèvement 28</v>
      </c>
      <c r="AC4" s="95" t="str">
        <f>'TCD TO série 1'!AC4</f>
        <v>Total Prélèvement 28</v>
      </c>
      <c r="AD4" s="95" t="str">
        <f>'TCD TO série 1'!AD4</f>
        <v>Prélèvement 29</v>
      </c>
      <c r="AE4" s="95" t="str">
        <f>'TCD TO série 1'!AE4</f>
        <v>Total Prélèvement 29</v>
      </c>
      <c r="AF4" s="95" t="str">
        <f>'TCD TO série 1'!AF4</f>
        <v>Prélèvement 31</v>
      </c>
      <c r="AG4" s="95" t="str">
        <f>'TCD TO série 1'!AG4</f>
        <v>Total Prélèvement 31</v>
      </c>
      <c r="AH4" s="95" t="str">
        <f>'TCD TO série 1'!AH4</f>
        <v>Prélèvement 32</v>
      </c>
      <c r="AI4" s="95" t="str">
        <f>'TCD TO série 1'!AI4</f>
        <v>Total Prélèvement 32</v>
      </c>
      <c r="AJ4" s="95" t="str">
        <f>'TCD TO série 1'!AJ4</f>
        <v>Prélèvement 33</v>
      </c>
      <c r="AK4" s="95" t="str">
        <f>'TCD TO série 1'!AK4</f>
        <v>Total Prélèvement 33</v>
      </c>
      <c r="AL4" s="95" t="str">
        <f>'TCD TO série 1'!AL4</f>
        <v>Prélèvement 34</v>
      </c>
      <c r="AM4" s="95" t="str">
        <f>'TCD TO série 1'!AM4</f>
        <v>Total Prélèvement 34</v>
      </c>
      <c r="AN4" s="95" t="str">
        <f>'TCD TO série 1'!AN4</f>
        <v>Prélèvement 35+38</v>
      </c>
      <c r="AO4" s="95" t="str">
        <f>'TCD TO série 1'!AO4</f>
        <v>Total Prélèvement 35+38</v>
      </c>
      <c r="AP4" s="95" t="str">
        <f>'TCD TO série 1'!AP4</f>
        <v>Prélèvement 36+39</v>
      </c>
      <c r="AQ4" s="95" t="str">
        <f>'TCD TO série 1'!AQ4</f>
        <v>Total Prélèvement 36+39</v>
      </c>
      <c r="AR4" s="95" t="str">
        <f>'TCD TO série 1'!AR4</f>
        <v>Prélèvement 37+40</v>
      </c>
      <c r="AS4" s="95" t="str">
        <f>'TCD TO série 1'!AS4</f>
        <v>Total Prélèvement 37+40</v>
      </c>
      <c r="AT4" s="95" t="str">
        <f>'TCD TO série 1'!AT4</f>
        <v>Total général</v>
      </c>
    </row>
    <row r="5" spans="1:46" x14ac:dyDescent="0.25">
      <c r="A5" s="82" t="s">
        <v>38</v>
      </c>
      <c r="B5" s="71">
        <f>'TCD TO série 1'!B6</f>
        <v>7.0052539404553442E-3</v>
      </c>
      <c r="C5" s="71">
        <f>'TCD TO série 1'!C6</f>
        <v>7.0052539404553442E-3</v>
      </c>
      <c r="D5" s="71">
        <f>'TCD TO série 1'!D6</f>
        <v>0</v>
      </c>
      <c r="E5" s="71">
        <f>'TCD TO série 1'!E6</f>
        <v>0</v>
      </c>
      <c r="F5" s="71">
        <f>'TCD TO série 1'!F6</f>
        <v>3.9682539682539732E-3</v>
      </c>
      <c r="G5" s="71">
        <f>'TCD TO série 1'!G6</f>
        <v>3.9682539682539732E-3</v>
      </c>
      <c r="H5" s="71">
        <f>'TCD TO série 1'!H6</f>
        <v>1.0736196319018404E-2</v>
      </c>
      <c r="I5" s="71">
        <f>'TCD TO série 1'!I6</f>
        <v>1.0736196319018404E-2</v>
      </c>
      <c r="J5" s="71">
        <f>'TCD TO série 1'!J6</f>
        <v>0</v>
      </c>
      <c r="K5" s="71">
        <f>'TCD TO série 1'!K6</f>
        <v>0</v>
      </c>
      <c r="L5" s="71">
        <f>'TCD TO série 1'!L6</f>
        <v>0</v>
      </c>
      <c r="M5" s="71">
        <f>'TCD TO série 1'!M6</f>
        <v>0</v>
      </c>
      <c r="N5" s="71">
        <f>'TCD TO série 1'!N6</f>
        <v>0</v>
      </c>
      <c r="O5" s="71">
        <f>'TCD TO série 1'!O6</f>
        <v>0</v>
      </c>
      <c r="P5" s="71">
        <f>'TCD TO série 1'!P6</f>
        <v>0</v>
      </c>
      <c r="Q5" s="71">
        <f>'TCD TO série 1'!Q6</f>
        <v>0</v>
      </c>
      <c r="R5" s="71">
        <f>'TCD TO série 1'!R6</f>
        <v>0</v>
      </c>
      <c r="S5" s="71">
        <f>'TCD TO série 1'!S6</f>
        <v>0</v>
      </c>
      <c r="T5" s="71">
        <f>'TCD TO série 1'!T6</f>
        <v>0</v>
      </c>
      <c r="U5" s="71">
        <f>'TCD TO série 1'!U6</f>
        <v>0</v>
      </c>
      <c r="V5" s="71">
        <f>'TCD TO série 1'!V6</f>
        <v>0</v>
      </c>
      <c r="W5" s="71">
        <f>'TCD TO série 1'!W6</f>
        <v>0</v>
      </c>
      <c r="X5" s="71">
        <f>'TCD TO série 1'!X6</f>
        <v>0</v>
      </c>
      <c r="Y5" s="71">
        <f>'TCD TO série 1'!Y6</f>
        <v>0</v>
      </c>
      <c r="Z5" s="71">
        <f>'TCD TO série 1'!Z6</f>
        <v>0</v>
      </c>
      <c r="AA5" s="71">
        <f>'TCD TO série 1'!AA6</f>
        <v>0</v>
      </c>
      <c r="AB5" s="71">
        <f>'TCD TO série 1'!AB6</f>
        <v>0</v>
      </c>
      <c r="AC5" s="71">
        <f>'TCD TO série 1'!AC6</f>
        <v>0</v>
      </c>
      <c r="AD5" s="71">
        <f>'TCD TO série 1'!AD6</f>
        <v>0</v>
      </c>
      <c r="AE5" s="71">
        <f>'TCD TO série 1'!AE6</f>
        <v>0</v>
      </c>
      <c r="AF5" s="71">
        <f>'TCD TO série 1'!AF6</f>
        <v>0</v>
      </c>
      <c r="AG5" s="71">
        <f>'TCD TO série 1'!AG6</f>
        <v>0</v>
      </c>
      <c r="AH5" s="71">
        <f>'TCD TO série 1'!AH6</f>
        <v>0</v>
      </c>
      <c r="AI5" s="71">
        <f>'TCD TO série 1'!AI6</f>
        <v>0</v>
      </c>
      <c r="AJ5" s="71">
        <f>'TCD TO série 1'!AJ6</f>
        <v>0</v>
      </c>
      <c r="AK5" s="71">
        <f>'TCD TO série 1'!AK6</f>
        <v>0</v>
      </c>
      <c r="AL5" s="71">
        <f>'TCD TO série 1'!AL6</f>
        <v>0</v>
      </c>
      <c r="AM5" s="71">
        <f>'TCD TO série 1'!AM6</f>
        <v>0</v>
      </c>
      <c r="AN5" s="71">
        <f>'TCD TO série 1'!AN6</f>
        <v>0</v>
      </c>
      <c r="AO5" s="71">
        <f>'TCD TO série 1'!AO6</f>
        <v>0</v>
      </c>
      <c r="AP5" s="71">
        <f>'TCD TO série 1'!AP6</f>
        <v>0</v>
      </c>
      <c r="AQ5" s="71">
        <f>'TCD TO série 1'!AQ6</f>
        <v>0</v>
      </c>
      <c r="AR5" s="71">
        <f>'TCD TO série 1'!AR6</f>
        <v>0</v>
      </c>
      <c r="AS5" s="71">
        <f>'TCD TO série 1'!AS6</f>
        <v>0</v>
      </c>
      <c r="AT5" s="71">
        <f>'TCD TO série 1'!AT6</f>
        <v>2.1709704227727722E-2</v>
      </c>
    </row>
    <row r="6" spans="1:46" x14ac:dyDescent="0.25">
      <c r="A6" s="82" t="s">
        <v>34</v>
      </c>
      <c r="B6" s="71">
        <f>'TCD TO série 1'!B7</f>
        <v>1.9264448336252196E-2</v>
      </c>
      <c r="C6" s="71">
        <f>'TCD TO série 1'!C7</f>
        <v>1.9264448336252196E-2</v>
      </c>
      <c r="D6" s="71">
        <f>'TCD TO série 1'!D7</f>
        <v>1.9531249999999976E-3</v>
      </c>
      <c r="E6" s="71">
        <f>'TCD TO série 1'!E7</f>
        <v>1.9531249999999976E-3</v>
      </c>
      <c r="F6" s="71">
        <f>'TCD TO série 1'!F7</f>
        <v>0</v>
      </c>
      <c r="G6" s="71">
        <f>'TCD TO série 1'!G7</f>
        <v>0</v>
      </c>
      <c r="H6" s="71">
        <f>'TCD TO série 1'!H7</f>
        <v>1.5337423312883414E-3</v>
      </c>
      <c r="I6" s="71">
        <f>'TCD TO série 1'!I7</f>
        <v>1.5337423312883414E-3</v>
      </c>
      <c r="J6" s="71">
        <f>'TCD TO série 1'!J7</f>
        <v>0</v>
      </c>
      <c r="K6" s="71">
        <f>'TCD TO série 1'!K7</f>
        <v>0</v>
      </c>
      <c r="L6" s="71">
        <f>'TCD TO série 1'!L7</f>
        <v>0</v>
      </c>
      <c r="M6" s="71">
        <f>'TCD TO série 1'!M7</f>
        <v>0</v>
      </c>
      <c r="N6" s="71">
        <f>'TCD TO série 1'!N7</f>
        <v>0</v>
      </c>
      <c r="O6" s="71">
        <f>'TCD TO série 1'!O7</f>
        <v>0</v>
      </c>
      <c r="P6" s="71">
        <f>'TCD TO série 1'!P7</f>
        <v>0</v>
      </c>
      <c r="Q6" s="71">
        <f>'TCD TO série 1'!Q7</f>
        <v>0</v>
      </c>
      <c r="R6" s="71">
        <f>'TCD TO série 1'!R7</f>
        <v>1.3513513513513504E-2</v>
      </c>
      <c r="S6" s="71">
        <f>'TCD TO série 1'!S7</f>
        <v>1.3513513513513504E-2</v>
      </c>
      <c r="T6" s="71">
        <f>'TCD TO série 1'!T7</f>
        <v>1.7684887459807081E-2</v>
      </c>
      <c r="U6" s="71">
        <f>'TCD TO série 1'!U7</f>
        <v>1.7684887459807081E-2</v>
      </c>
      <c r="V6" s="71">
        <f>'TCD TO série 1'!V7</f>
        <v>8.1967213114754137E-3</v>
      </c>
      <c r="W6" s="71">
        <f>'TCD TO série 1'!W7</f>
        <v>8.1967213114754137E-3</v>
      </c>
      <c r="X6" s="71">
        <f>'TCD TO série 1'!X7</f>
        <v>0</v>
      </c>
      <c r="Y6" s="71">
        <f>'TCD TO série 1'!Y7</f>
        <v>0</v>
      </c>
      <c r="Z6" s="71">
        <f>'TCD TO série 1'!Z7</f>
        <v>0</v>
      </c>
      <c r="AA6" s="71">
        <f>'TCD TO série 1'!AA7</f>
        <v>0</v>
      </c>
      <c r="AB6" s="71">
        <f>'TCD TO série 1'!AB7</f>
        <v>1.9943019943019946E-2</v>
      </c>
      <c r="AC6" s="71">
        <f>'TCD TO série 1'!AC7</f>
        <v>1.9943019943019946E-2</v>
      </c>
      <c r="AD6" s="71">
        <f>'TCD TO série 1'!AD7</f>
        <v>9.7087378640776743E-3</v>
      </c>
      <c r="AE6" s="71">
        <f>'TCD TO série 1'!AE7</f>
        <v>9.7087378640776743E-3</v>
      </c>
      <c r="AF6" s="71">
        <f>'TCD TO série 1'!AF7</f>
        <v>0</v>
      </c>
      <c r="AG6" s="71">
        <f>'TCD TO série 1'!AG7</f>
        <v>0</v>
      </c>
      <c r="AH6" s="71">
        <f>'TCD TO série 1'!AH7</f>
        <v>0</v>
      </c>
      <c r="AI6" s="71">
        <f>'TCD TO série 1'!AI7</f>
        <v>0</v>
      </c>
      <c r="AJ6" s="71">
        <f>'TCD TO série 1'!AJ7</f>
        <v>0</v>
      </c>
      <c r="AK6" s="71">
        <f>'TCD TO série 1'!AK7</f>
        <v>0</v>
      </c>
      <c r="AL6" s="71">
        <f>'TCD TO série 1'!AL7</f>
        <v>3.2258064516129073E-2</v>
      </c>
      <c r="AM6" s="71">
        <f>'TCD TO série 1'!AM7</f>
        <v>3.2258064516129073E-2</v>
      </c>
      <c r="AN6" s="71">
        <f>'TCD TO série 1'!AN7</f>
        <v>4.8780487804878057E-3</v>
      </c>
      <c r="AO6" s="71">
        <f>'TCD TO série 1'!AO7</f>
        <v>4.8780487804878057E-3</v>
      </c>
      <c r="AP6" s="71">
        <f>'TCD TO série 1'!AP7</f>
        <v>1.0245901639344268E-2</v>
      </c>
      <c r="AQ6" s="71">
        <f>'TCD TO série 1'!AQ7</f>
        <v>1.0245901639344268E-2</v>
      </c>
      <c r="AR6" s="71">
        <f>'TCD TO série 1'!AR7</f>
        <v>0</v>
      </c>
      <c r="AS6" s="71">
        <f>'TCD TO série 1'!AS7</f>
        <v>0</v>
      </c>
      <c r="AT6" s="71">
        <f>'TCD TO série 1'!AT7</f>
        <v>0.13918021069539532</v>
      </c>
    </row>
    <row r="7" spans="1:46" x14ac:dyDescent="0.25">
      <c r="A7" s="82" t="s">
        <v>35</v>
      </c>
      <c r="B7" s="71">
        <f>'TCD TO série 1'!B8</f>
        <v>0</v>
      </c>
      <c r="C7" s="71">
        <f>'TCD TO série 1'!C8</f>
        <v>0</v>
      </c>
      <c r="D7" s="71">
        <f>'TCD TO série 1'!D8</f>
        <v>0</v>
      </c>
      <c r="E7" s="71">
        <f>'TCD TO série 1'!E8</f>
        <v>0</v>
      </c>
      <c r="F7" s="71">
        <f>'TCD TO série 1'!F8</f>
        <v>0</v>
      </c>
      <c r="G7" s="71">
        <f>'TCD TO série 1'!G8</f>
        <v>0</v>
      </c>
      <c r="H7" s="71">
        <f>'TCD TO série 1'!H8</f>
        <v>0</v>
      </c>
      <c r="I7" s="71">
        <f>'TCD TO série 1'!I8</f>
        <v>0</v>
      </c>
      <c r="J7" s="71">
        <f>'TCD TO série 1'!J8</f>
        <v>0</v>
      </c>
      <c r="K7" s="71">
        <f>'TCD TO série 1'!K8</f>
        <v>0</v>
      </c>
      <c r="L7" s="71">
        <f>'TCD TO série 1'!L8</f>
        <v>0</v>
      </c>
      <c r="M7" s="71">
        <f>'TCD TO série 1'!M8</f>
        <v>0</v>
      </c>
      <c r="N7" s="71">
        <f>'TCD TO série 1'!N8</f>
        <v>0</v>
      </c>
      <c r="O7" s="71">
        <f>'TCD TO série 1'!O8</f>
        <v>0</v>
      </c>
      <c r="P7" s="71">
        <f>'TCD TO série 1'!P8</f>
        <v>0</v>
      </c>
      <c r="Q7" s="71">
        <f>'TCD TO série 1'!Q8</f>
        <v>0</v>
      </c>
      <c r="R7" s="71">
        <f>'TCD TO série 1'!R8</f>
        <v>0</v>
      </c>
      <c r="S7" s="71">
        <f>'TCD TO série 1'!S8</f>
        <v>0</v>
      </c>
      <c r="T7" s="71">
        <f>'TCD TO série 1'!T8</f>
        <v>0</v>
      </c>
      <c r="U7" s="71">
        <f>'TCD TO série 1'!U8</f>
        <v>0</v>
      </c>
      <c r="V7" s="71">
        <f>'TCD TO série 1'!V8</f>
        <v>0</v>
      </c>
      <c r="W7" s="71">
        <f>'TCD TO série 1'!W8</f>
        <v>0</v>
      </c>
      <c r="X7" s="71">
        <f>'TCD TO série 1'!X8</f>
        <v>0</v>
      </c>
      <c r="Y7" s="71">
        <f>'TCD TO série 1'!Y8</f>
        <v>0</v>
      </c>
      <c r="Z7" s="71">
        <f>'TCD TO série 1'!Z8</f>
        <v>0</v>
      </c>
      <c r="AA7" s="71">
        <f>'TCD TO série 1'!AA8</f>
        <v>0</v>
      </c>
      <c r="AB7" s="71">
        <f>'TCD TO série 1'!AB8</f>
        <v>0</v>
      </c>
      <c r="AC7" s="71">
        <f>'TCD TO série 1'!AC8</f>
        <v>0</v>
      </c>
      <c r="AD7" s="71">
        <f>'TCD TO série 1'!AD8</f>
        <v>0</v>
      </c>
      <c r="AE7" s="71">
        <f>'TCD TO série 1'!AE8</f>
        <v>0</v>
      </c>
      <c r="AF7" s="71">
        <f>'TCD TO série 1'!AF8</f>
        <v>0</v>
      </c>
      <c r="AG7" s="71">
        <f>'TCD TO série 1'!AG8</f>
        <v>0</v>
      </c>
      <c r="AH7" s="71">
        <f>'TCD TO série 1'!AH8</f>
        <v>0</v>
      </c>
      <c r="AI7" s="71">
        <f>'TCD TO série 1'!AI8</f>
        <v>0</v>
      </c>
      <c r="AJ7" s="71">
        <f>'TCD TO série 1'!AJ8</f>
        <v>1.3513513513513523E-2</v>
      </c>
      <c r="AK7" s="71">
        <f>'TCD TO série 1'!AK8</f>
        <v>1.3513513513513523E-2</v>
      </c>
      <c r="AL7" s="71">
        <f>'TCD TO série 1'!AL8</f>
        <v>0</v>
      </c>
      <c r="AM7" s="71">
        <f>'TCD TO série 1'!AM8</f>
        <v>0</v>
      </c>
      <c r="AN7" s="71">
        <f>'TCD TO série 1'!AN8</f>
        <v>0</v>
      </c>
      <c r="AO7" s="71">
        <f>'TCD TO série 1'!AO8</f>
        <v>0</v>
      </c>
      <c r="AP7" s="71">
        <f>'TCD TO série 1'!AP8</f>
        <v>0</v>
      </c>
      <c r="AQ7" s="71">
        <f>'TCD TO série 1'!AQ8</f>
        <v>0</v>
      </c>
      <c r="AR7" s="71">
        <f>'TCD TO série 1'!AR8</f>
        <v>0</v>
      </c>
      <c r="AS7" s="71">
        <f>'TCD TO série 1'!AS8</f>
        <v>0</v>
      </c>
      <c r="AT7" s="71">
        <f>'TCD TO série 1'!AT8</f>
        <v>1.3513513513513523E-2</v>
      </c>
    </row>
    <row r="8" spans="1:46" x14ac:dyDescent="0.25">
      <c r="A8" s="82" t="s">
        <v>22</v>
      </c>
      <c r="B8" s="71">
        <f>'TCD TO série 1'!B9</f>
        <v>2.2767075306479864E-2</v>
      </c>
      <c r="C8" s="71">
        <f>'TCD TO série 1'!C9</f>
        <v>2.2767075306479864E-2</v>
      </c>
      <c r="D8" s="71">
        <f>'TCD TO série 1'!D9</f>
        <v>1.9531250000000004E-3</v>
      </c>
      <c r="E8" s="71">
        <f>'TCD TO série 1'!E9</f>
        <v>1.9531250000000004E-3</v>
      </c>
      <c r="F8" s="71">
        <f>'TCD TO série 1'!F9</f>
        <v>3.9682539682539646E-3</v>
      </c>
      <c r="G8" s="71">
        <f>'TCD TO série 1'!G9</f>
        <v>3.9682539682539646E-3</v>
      </c>
      <c r="H8" s="71">
        <f>'TCD TO série 1'!H9</f>
        <v>1.5337423312883414E-3</v>
      </c>
      <c r="I8" s="71">
        <f>'TCD TO série 1'!I9</f>
        <v>1.5337423312883414E-3</v>
      </c>
      <c r="J8" s="71">
        <f>'TCD TO série 1'!J9</f>
        <v>0</v>
      </c>
      <c r="K8" s="71">
        <f>'TCD TO série 1'!K9</f>
        <v>0</v>
      </c>
      <c r="L8" s="71">
        <f>'TCD TO série 1'!L9</f>
        <v>0</v>
      </c>
      <c r="M8" s="71">
        <f>'TCD TO série 1'!M9</f>
        <v>0</v>
      </c>
      <c r="N8" s="71">
        <f>'TCD TO série 1'!N9</f>
        <v>0</v>
      </c>
      <c r="O8" s="71">
        <f>'TCD TO série 1'!O9</f>
        <v>0</v>
      </c>
      <c r="P8" s="71">
        <f>'TCD TO série 1'!P9</f>
        <v>0</v>
      </c>
      <c r="Q8" s="71">
        <f>'TCD TO série 1'!Q9</f>
        <v>0</v>
      </c>
      <c r="R8" s="71">
        <f>'TCD TO série 1'!R9</f>
        <v>0</v>
      </c>
      <c r="S8" s="71">
        <f>'TCD TO série 1'!S9</f>
        <v>0</v>
      </c>
      <c r="T8" s="71">
        <f>'TCD TO série 1'!T9</f>
        <v>1.1254019292604505E-2</v>
      </c>
      <c r="U8" s="71">
        <f>'TCD TO série 1'!U9</f>
        <v>1.1254019292604505E-2</v>
      </c>
      <c r="V8" s="71">
        <f>'TCD TO série 1'!V9</f>
        <v>0.19262295081967207</v>
      </c>
      <c r="W8" s="71">
        <f>'TCD TO série 1'!W9</f>
        <v>0.19262295081967207</v>
      </c>
      <c r="X8" s="71">
        <f>'TCD TO série 1'!X9</f>
        <v>4.2553191489361701E-2</v>
      </c>
      <c r="Y8" s="71">
        <f>'TCD TO série 1'!Y9</f>
        <v>4.2553191489361701E-2</v>
      </c>
      <c r="Z8" s="71">
        <f>'TCD TO série 1'!Z9</f>
        <v>0</v>
      </c>
      <c r="AA8" s="71">
        <f>'TCD TO série 1'!AA9</f>
        <v>0</v>
      </c>
      <c r="AB8" s="71">
        <f>'TCD TO série 1'!AB9</f>
        <v>0</v>
      </c>
      <c r="AC8" s="71">
        <f>'TCD TO série 1'!AC9</f>
        <v>0</v>
      </c>
      <c r="AD8" s="71">
        <f>'TCD TO série 1'!AD9</f>
        <v>0</v>
      </c>
      <c r="AE8" s="71">
        <f>'TCD TO série 1'!AE9</f>
        <v>0</v>
      </c>
      <c r="AF8" s="71">
        <f>'TCD TO série 1'!AF9</f>
        <v>9.9009900990099011E-3</v>
      </c>
      <c r="AG8" s="71">
        <f>'TCD TO série 1'!AG9</f>
        <v>9.9009900990099011E-3</v>
      </c>
      <c r="AH8" s="71">
        <f>'TCD TO série 1'!AH9</f>
        <v>0.73529411764705899</v>
      </c>
      <c r="AI8" s="71">
        <f>'TCD TO série 1'!AI9</f>
        <v>0.73529411764705899</v>
      </c>
      <c r="AJ8" s="71">
        <f>'TCD TO série 1'!AJ9</f>
        <v>0</v>
      </c>
      <c r="AK8" s="71">
        <f>'TCD TO série 1'!AK9</f>
        <v>0</v>
      </c>
      <c r="AL8" s="71">
        <f>'TCD TO série 1'!AL9</f>
        <v>0</v>
      </c>
      <c r="AM8" s="71">
        <f>'TCD TO série 1'!AM9</f>
        <v>0</v>
      </c>
      <c r="AN8" s="71">
        <f>'TCD TO série 1'!AN9</f>
        <v>1.9512195121951219E-2</v>
      </c>
      <c r="AO8" s="71">
        <f>'TCD TO série 1'!AO9</f>
        <v>1.9512195121951219E-2</v>
      </c>
      <c r="AP8" s="71">
        <f>'TCD TO série 1'!AP9</f>
        <v>2.0491803278688508E-3</v>
      </c>
      <c r="AQ8" s="71">
        <f>'TCD TO série 1'!AQ9</f>
        <v>2.0491803278688508E-3</v>
      </c>
      <c r="AR8" s="71">
        <f>'TCD TO série 1'!AR9</f>
        <v>0</v>
      </c>
      <c r="AS8" s="71">
        <f>'TCD TO série 1'!AS9</f>
        <v>0</v>
      </c>
      <c r="AT8" s="71">
        <f>'TCD TO série 1'!AT9</f>
        <v>1.0434088414035494</v>
      </c>
    </row>
    <row r="9" spans="1:46" x14ac:dyDescent="0.25">
      <c r="A9" s="82" t="s">
        <v>23</v>
      </c>
      <c r="B9" s="71">
        <f>'TCD TO série 1'!B10</f>
        <v>0.1225919439579685</v>
      </c>
      <c r="C9" s="71">
        <f>'TCD TO série 1'!C10</f>
        <v>0.1225919439579685</v>
      </c>
      <c r="D9" s="71">
        <f>'TCD TO série 1'!D10</f>
        <v>0.28515624999999989</v>
      </c>
      <c r="E9" s="71">
        <f>'TCD TO série 1'!E10</f>
        <v>0.28515624999999989</v>
      </c>
      <c r="F9" s="71">
        <f>'TCD TO série 1'!F10</f>
        <v>0.7777777777777779</v>
      </c>
      <c r="G9" s="71">
        <f>'TCD TO série 1'!G10</f>
        <v>0.7777777777777779</v>
      </c>
      <c r="H9" s="71">
        <f>'TCD TO série 1'!H10</f>
        <v>0.19018404907975447</v>
      </c>
      <c r="I9" s="71">
        <f>'TCD TO série 1'!I10</f>
        <v>0.19018404907975447</v>
      </c>
      <c r="J9" s="71">
        <f>'TCD TO série 1'!J10</f>
        <v>0.15789473684210534</v>
      </c>
      <c r="K9" s="71">
        <f>'TCD TO série 1'!K10</f>
        <v>0.15789473684210534</v>
      </c>
      <c r="L9" s="71">
        <f>'TCD TO série 1'!L10</f>
        <v>0.83886255924170616</v>
      </c>
      <c r="M9" s="71">
        <f>'TCD TO série 1'!M10</f>
        <v>0.83886255924170616</v>
      </c>
      <c r="N9" s="71">
        <f>'TCD TO série 1'!N10</f>
        <v>0.10000000000000012</v>
      </c>
      <c r="O9" s="71">
        <f>'TCD TO série 1'!O10</f>
        <v>0.10000000000000012</v>
      </c>
      <c r="P9" s="71">
        <f>'TCD TO série 1'!P10</f>
        <v>0.25675675675675669</v>
      </c>
      <c r="Q9" s="71">
        <f>'TCD TO série 1'!Q10</f>
        <v>0.25675675675675669</v>
      </c>
      <c r="R9" s="71">
        <f>'TCD TO série 1'!R10</f>
        <v>1.3513513513513523E-2</v>
      </c>
      <c r="S9" s="71">
        <f>'TCD TO série 1'!S10</f>
        <v>1.3513513513513523E-2</v>
      </c>
      <c r="T9" s="71">
        <f>'TCD TO série 1'!T10</f>
        <v>0.26205787781350492</v>
      </c>
      <c r="U9" s="71">
        <f>'TCD TO série 1'!U10</f>
        <v>0.26205787781350492</v>
      </c>
      <c r="V9" s="71">
        <f>'TCD TO série 1'!V10</f>
        <v>6.5573770491803324E-2</v>
      </c>
      <c r="W9" s="71">
        <f>'TCD TO série 1'!W10</f>
        <v>6.5573770491803324E-2</v>
      </c>
      <c r="X9" s="71">
        <f>'TCD TO série 1'!X10</f>
        <v>0.19148936170212766</v>
      </c>
      <c r="Y9" s="71">
        <f>'TCD TO série 1'!Y10</f>
        <v>0.19148936170212766</v>
      </c>
      <c r="Z9" s="71">
        <f>'TCD TO série 1'!Z10</f>
        <v>0</v>
      </c>
      <c r="AA9" s="71">
        <f>'TCD TO série 1'!AA10</f>
        <v>0</v>
      </c>
      <c r="AB9" s="71">
        <f>'TCD TO série 1'!AB10</f>
        <v>0.4586894586894586</v>
      </c>
      <c r="AC9" s="71">
        <f>'TCD TO série 1'!AC10</f>
        <v>0.4586894586894586</v>
      </c>
      <c r="AD9" s="71">
        <f>'TCD TO série 1'!AD10</f>
        <v>0</v>
      </c>
      <c r="AE9" s="71">
        <f>'TCD TO série 1'!AE10</f>
        <v>0</v>
      </c>
      <c r="AF9" s="71">
        <f>'TCD TO série 1'!AF10</f>
        <v>3.9603960396039598E-2</v>
      </c>
      <c r="AG9" s="71">
        <f>'TCD TO série 1'!AG10</f>
        <v>3.9603960396039598E-2</v>
      </c>
      <c r="AH9" s="71">
        <f>'TCD TO série 1'!AH10</f>
        <v>0.11764705882352941</v>
      </c>
      <c r="AI9" s="71">
        <f>'TCD TO série 1'!AI10</f>
        <v>0.11764705882352941</v>
      </c>
      <c r="AJ9" s="71">
        <f>'TCD TO série 1'!AJ10</f>
        <v>0</v>
      </c>
      <c r="AK9" s="71">
        <f>'TCD TO série 1'!AK10</f>
        <v>0</v>
      </c>
      <c r="AL9" s="71">
        <f>'TCD TO série 1'!AL10</f>
        <v>0</v>
      </c>
      <c r="AM9" s="71">
        <f>'TCD TO série 1'!AM10</f>
        <v>0</v>
      </c>
      <c r="AN9" s="71">
        <f>'TCD TO série 1'!AN10</f>
        <v>3.9024390243902439E-2</v>
      </c>
      <c r="AO9" s="71">
        <f>'TCD TO série 1'!AO10</f>
        <v>3.9024390243902439E-2</v>
      </c>
      <c r="AP9" s="71">
        <f>'TCD TO série 1'!AP10</f>
        <v>0.33606557377049184</v>
      </c>
      <c r="AQ9" s="71">
        <f>'TCD TO série 1'!AQ10</f>
        <v>0.33606557377049184</v>
      </c>
      <c r="AR9" s="71">
        <f>'TCD TO série 1'!AR10</f>
        <v>0.5842105263157894</v>
      </c>
      <c r="AS9" s="71">
        <f>'TCD TO série 1'!AS10</f>
        <v>0.5842105263157894</v>
      </c>
      <c r="AT9" s="71">
        <f>'TCD TO série 1'!AT10</f>
        <v>4.8370995654162297</v>
      </c>
    </row>
    <row r="10" spans="1:46" x14ac:dyDescent="0.25">
      <c r="A10" s="82" t="s">
        <v>60</v>
      </c>
      <c r="B10" s="71">
        <f>'TCD TO série 1'!B11</f>
        <v>8.4063047285464071E-2</v>
      </c>
      <c r="C10" s="71">
        <f>'TCD TO série 1'!C11</f>
        <v>8.4063047285464071E-2</v>
      </c>
      <c r="D10" s="71">
        <f>'TCD TO série 1'!D11</f>
        <v>1.9531249999999976E-3</v>
      </c>
      <c r="E10" s="71">
        <f>'TCD TO série 1'!E11</f>
        <v>1.9531249999999976E-3</v>
      </c>
      <c r="F10" s="71">
        <f>'TCD TO série 1'!F11</f>
        <v>3.9682539682538856E-3</v>
      </c>
      <c r="G10" s="71">
        <f>'TCD TO série 1'!G11</f>
        <v>3.9682539682538856E-3</v>
      </c>
      <c r="H10" s="71">
        <f>'TCD TO série 1'!H11</f>
        <v>3.0674846625766863E-3</v>
      </c>
      <c r="I10" s="71">
        <f>'TCD TO série 1'!I11</f>
        <v>3.0674846625766863E-3</v>
      </c>
      <c r="J10" s="71">
        <f>'TCD TO série 1'!J11</f>
        <v>5.2631578947368363E-2</v>
      </c>
      <c r="K10" s="71">
        <f>'TCD TO série 1'!K11</f>
        <v>5.2631578947368363E-2</v>
      </c>
      <c r="L10" s="71">
        <f>'TCD TO série 1'!L11</f>
        <v>0</v>
      </c>
      <c r="M10" s="71">
        <f>'TCD TO série 1'!M11</f>
        <v>0</v>
      </c>
      <c r="N10" s="71">
        <f>'TCD TO série 1'!N11</f>
        <v>0</v>
      </c>
      <c r="O10" s="71">
        <f>'TCD TO série 1'!O11</f>
        <v>0</v>
      </c>
      <c r="P10" s="71">
        <f>'TCD TO série 1'!P11</f>
        <v>0</v>
      </c>
      <c r="Q10" s="71">
        <f>'TCD TO série 1'!Q11</f>
        <v>0</v>
      </c>
      <c r="R10" s="71">
        <f>'TCD TO série 1'!R11</f>
        <v>0</v>
      </c>
      <c r="S10" s="71">
        <f>'TCD TO série 1'!S11</f>
        <v>0</v>
      </c>
      <c r="T10" s="71">
        <f>'TCD TO série 1'!T11</f>
        <v>6.4308681672025731E-3</v>
      </c>
      <c r="U10" s="71">
        <f>'TCD TO série 1'!U11</f>
        <v>6.4308681672025731E-3</v>
      </c>
      <c r="V10" s="71">
        <f>'TCD TO série 1'!V11</f>
        <v>3.2786885245901544E-2</v>
      </c>
      <c r="W10" s="71">
        <f>'TCD TO série 1'!W11</f>
        <v>3.2786885245901544E-2</v>
      </c>
      <c r="X10" s="71">
        <f>'TCD TO série 1'!X11</f>
        <v>0</v>
      </c>
      <c r="Y10" s="71">
        <f>'TCD TO série 1'!Y11</f>
        <v>0</v>
      </c>
      <c r="Z10" s="71">
        <f>'TCD TO série 1'!Z11</f>
        <v>0</v>
      </c>
      <c r="AA10" s="71">
        <f>'TCD TO série 1'!AA11</f>
        <v>0</v>
      </c>
      <c r="AB10" s="71">
        <f>'TCD TO série 1'!AB11</f>
        <v>2.5641025641025605E-2</v>
      </c>
      <c r="AC10" s="71">
        <f>'TCD TO série 1'!AC11</f>
        <v>2.5641025641025605E-2</v>
      </c>
      <c r="AD10" s="71">
        <f>'TCD TO série 1'!AD11</f>
        <v>0</v>
      </c>
      <c r="AE10" s="71">
        <f>'TCD TO série 1'!AE11</f>
        <v>0</v>
      </c>
      <c r="AF10" s="71">
        <f>'TCD TO série 1'!AF11</f>
        <v>2.9702970297029688E-2</v>
      </c>
      <c r="AG10" s="71">
        <f>'TCD TO série 1'!AG11</f>
        <v>2.9702970297029688E-2</v>
      </c>
      <c r="AH10" s="71">
        <f>'TCD TO série 1'!AH11</f>
        <v>0</v>
      </c>
      <c r="AI10" s="71">
        <f>'TCD TO série 1'!AI11</f>
        <v>0</v>
      </c>
      <c r="AJ10" s="71">
        <f>'TCD TO série 1'!AJ11</f>
        <v>4.0540540540540619E-2</v>
      </c>
      <c r="AK10" s="71">
        <f>'TCD TO série 1'!AK11</f>
        <v>4.0540540540540619E-2</v>
      </c>
      <c r="AL10" s="71">
        <f>'TCD TO série 1'!AL11</f>
        <v>0.61290322580645185</v>
      </c>
      <c r="AM10" s="71">
        <f>'TCD TO série 1'!AM11</f>
        <v>0.61290322580645185</v>
      </c>
      <c r="AN10" s="71">
        <f>'TCD TO série 1'!AN11</f>
        <v>0.13658536585365841</v>
      </c>
      <c r="AO10" s="71">
        <f>'TCD TO série 1'!AO11</f>
        <v>0.13658536585365841</v>
      </c>
      <c r="AP10" s="71">
        <f>'TCD TO série 1'!AP11</f>
        <v>6.1475409836065573E-3</v>
      </c>
      <c r="AQ10" s="71">
        <f>'TCD TO série 1'!AQ11</f>
        <v>6.1475409836065573E-3</v>
      </c>
      <c r="AR10" s="71">
        <f>'TCD TO série 1'!AR11</f>
        <v>0</v>
      </c>
      <c r="AS10" s="71">
        <f>'TCD TO série 1'!AS11</f>
        <v>0</v>
      </c>
      <c r="AT10" s="71">
        <f>'TCD TO série 1'!AT11</f>
        <v>1.0364219123990797</v>
      </c>
    </row>
    <row r="11" spans="1:46" x14ac:dyDescent="0.25">
      <c r="A11" s="82" t="s">
        <v>57</v>
      </c>
      <c r="B11" s="71">
        <f>'TCD TO série 1'!B12</f>
        <v>0.24343257443082306</v>
      </c>
      <c r="C11" s="71">
        <f>'TCD TO série 1'!C12</f>
        <v>0.24343257443082306</v>
      </c>
      <c r="D11" s="71">
        <f>'TCD TO série 1'!D12</f>
        <v>1.9531249999999976E-3</v>
      </c>
      <c r="E11" s="71">
        <f>'TCD TO série 1'!E12</f>
        <v>1.9531249999999976E-3</v>
      </c>
      <c r="F11" s="71">
        <f>'TCD TO série 1'!F12</f>
        <v>1.9841269841269851E-2</v>
      </c>
      <c r="G11" s="71">
        <f>'TCD TO série 1'!G12</f>
        <v>1.9841269841269851E-2</v>
      </c>
      <c r="H11" s="71">
        <f>'TCD TO série 1'!H12</f>
        <v>4.6012269938650275E-3</v>
      </c>
      <c r="I11" s="71">
        <f>'TCD TO série 1'!I12</f>
        <v>4.6012269938650275E-3</v>
      </c>
      <c r="J11" s="71">
        <f>'TCD TO série 1'!J12</f>
        <v>5.2631578947368363E-2</v>
      </c>
      <c r="K11" s="71">
        <f>'TCD TO série 1'!K12</f>
        <v>5.2631578947368363E-2</v>
      </c>
      <c r="L11" s="71">
        <f>'TCD TO série 1'!L12</f>
        <v>0</v>
      </c>
      <c r="M11" s="71">
        <f>'TCD TO série 1'!M12</f>
        <v>0</v>
      </c>
      <c r="N11" s="71">
        <f>'TCD TO série 1'!N12</f>
        <v>0</v>
      </c>
      <c r="O11" s="71">
        <f>'TCD TO série 1'!O12</f>
        <v>0</v>
      </c>
      <c r="P11" s="71">
        <f>'TCD TO série 1'!P12</f>
        <v>1.3513513513513502E-2</v>
      </c>
      <c r="Q11" s="71">
        <f>'TCD TO série 1'!Q12</f>
        <v>1.3513513513513502E-2</v>
      </c>
      <c r="R11" s="71">
        <f>'TCD TO série 1'!R12</f>
        <v>9.4594594594594086E-2</v>
      </c>
      <c r="S11" s="71">
        <f>'TCD TO série 1'!S12</f>
        <v>9.4594594594594086E-2</v>
      </c>
      <c r="T11" s="71">
        <f>'TCD TO série 1'!T12</f>
        <v>0.15594855305466226</v>
      </c>
      <c r="U11" s="71">
        <f>'TCD TO série 1'!U12</f>
        <v>0.15594855305466226</v>
      </c>
      <c r="V11" s="71">
        <f>'TCD TO série 1'!V12</f>
        <v>0.1024590163934427</v>
      </c>
      <c r="W11" s="71">
        <f>'TCD TO série 1'!W12</f>
        <v>0.1024590163934427</v>
      </c>
      <c r="X11" s="71">
        <f>'TCD TO série 1'!X12</f>
        <v>0.10638297872340427</v>
      </c>
      <c r="Y11" s="71">
        <f>'TCD TO série 1'!Y12</f>
        <v>0.10638297872340427</v>
      </c>
      <c r="Z11" s="71">
        <f>'TCD TO série 1'!Z12</f>
        <v>5.4945054945054937E-2</v>
      </c>
      <c r="AA11" s="71">
        <f>'TCD TO série 1'!AA12</f>
        <v>5.4945054945054937E-2</v>
      </c>
      <c r="AB11" s="71">
        <f>'TCD TO série 1'!AB12</f>
        <v>2.2792022792022713E-2</v>
      </c>
      <c r="AC11" s="71">
        <f>'TCD TO série 1'!AC12</f>
        <v>2.2792022792022713E-2</v>
      </c>
      <c r="AD11" s="71">
        <f>'TCD TO série 1'!AD12</f>
        <v>0.52427184466019428</v>
      </c>
      <c r="AE11" s="71">
        <f>'TCD TO série 1'!AE12</f>
        <v>0.52427184466019428</v>
      </c>
      <c r="AF11" s="71">
        <f>'TCD TO série 1'!AF12</f>
        <v>8.9108910891089105E-2</v>
      </c>
      <c r="AG11" s="71">
        <f>'TCD TO série 1'!AG12</f>
        <v>8.9108910891089105E-2</v>
      </c>
      <c r="AH11" s="71">
        <f>'TCD TO série 1'!AH12</f>
        <v>2.9411764705882359E-2</v>
      </c>
      <c r="AI11" s="71">
        <f>'TCD TO série 1'!AI12</f>
        <v>2.9411764705882359E-2</v>
      </c>
      <c r="AJ11" s="71">
        <f>'TCD TO série 1'!AJ12</f>
        <v>0.2297297297297301</v>
      </c>
      <c r="AK11" s="71">
        <f>'TCD TO série 1'!AK12</f>
        <v>0.2297297297297301</v>
      </c>
      <c r="AL11" s="71">
        <f>'TCD TO série 1'!AL12</f>
        <v>0.12903225806451624</v>
      </c>
      <c r="AM11" s="71">
        <f>'TCD TO série 1'!AM12</f>
        <v>0.12903225806451624</v>
      </c>
      <c r="AN11" s="71">
        <f>'TCD TO série 1'!AN12</f>
        <v>0.17073170731707321</v>
      </c>
      <c r="AO11" s="71">
        <f>'TCD TO série 1'!AO12</f>
        <v>0.17073170731707321</v>
      </c>
      <c r="AP11" s="71">
        <f>'TCD TO série 1'!AP12</f>
        <v>4.9180327868852486E-2</v>
      </c>
      <c r="AQ11" s="71">
        <f>'TCD TO série 1'!AQ12</f>
        <v>4.9180327868852486E-2</v>
      </c>
      <c r="AR11" s="71">
        <f>'TCD TO série 1'!AR12</f>
        <v>1.0526315789473682E-2</v>
      </c>
      <c r="AS11" s="71">
        <f>'TCD TO série 1'!AS12</f>
        <v>1.0526315789473682E-2</v>
      </c>
      <c r="AT11" s="71">
        <f>'TCD TO série 1'!AT12</f>
        <v>2.105088368256832</v>
      </c>
    </row>
    <row r="12" spans="1:46" x14ac:dyDescent="0.25">
      <c r="A12" s="82" t="s">
        <v>59</v>
      </c>
      <c r="B12" s="71">
        <f>'TCD TO série 1'!B13</f>
        <v>6.6549912434325773E-2</v>
      </c>
      <c r="C12" s="71">
        <f>'TCD TO série 1'!C13</f>
        <v>6.6549912434325773E-2</v>
      </c>
      <c r="D12" s="71">
        <f>'TCD TO série 1'!D13</f>
        <v>0.513671875</v>
      </c>
      <c r="E12" s="71">
        <f>'TCD TO série 1'!E13</f>
        <v>0.513671875</v>
      </c>
      <c r="F12" s="71">
        <f>'TCD TO série 1'!F13</f>
        <v>9.1269841269841195E-2</v>
      </c>
      <c r="G12" s="71">
        <f>'TCD TO série 1'!G13</f>
        <v>9.1269841269841195E-2</v>
      </c>
      <c r="H12" s="71">
        <f>'TCD TO série 1'!H13</f>
        <v>0.68251533742331305</v>
      </c>
      <c r="I12" s="71">
        <f>'TCD TO série 1'!I13</f>
        <v>0.68251533742331305</v>
      </c>
      <c r="J12" s="71">
        <f>'TCD TO série 1'!J13</f>
        <v>0</v>
      </c>
      <c r="K12" s="71">
        <f>'TCD TO série 1'!K13</f>
        <v>0</v>
      </c>
      <c r="L12" s="71">
        <f>'TCD TO série 1'!L13</f>
        <v>6.6350710900473883E-2</v>
      </c>
      <c r="M12" s="71">
        <f>'TCD TO série 1'!M13</f>
        <v>6.6350710900473883E-2</v>
      </c>
      <c r="N12" s="71">
        <f>'TCD TO série 1'!N13</f>
        <v>0.70000000000000007</v>
      </c>
      <c r="O12" s="71">
        <f>'TCD TO série 1'!O13</f>
        <v>0.70000000000000007</v>
      </c>
      <c r="P12" s="71">
        <f>'TCD TO série 1'!P13</f>
        <v>0.14864864864864871</v>
      </c>
      <c r="Q12" s="71">
        <f>'TCD TO série 1'!Q13</f>
        <v>0.14864864864864871</v>
      </c>
      <c r="R12" s="71">
        <f>'TCD TO série 1'!R13</f>
        <v>0</v>
      </c>
      <c r="S12" s="71">
        <f>'TCD TO série 1'!S13</f>
        <v>0</v>
      </c>
      <c r="T12" s="71">
        <f>'TCD TO série 1'!T13</f>
        <v>0.12700964630225084</v>
      </c>
      <c r="U12" s="71">
        <f>'TCD TO série 1'!U13</f>
        <v>0.12700964630225084</v>
      </c>
      <c r="V12" s="71">
        <f>'TCD TO série 1'!V13</f>
        <v>0.13934426229508207</v>
      </c>
      <c r="W12" s="71">
        <f>'TCD TO série 1'!W13</f>
        <v>0.13934426229508207</v>
      </c>
      <c r="X12" s="71">
        <f>'TCD TO série 1'!X13</f>
        <v>0.29787234042553196</v>
      </c>
      <c r="Y12" s="71">
        <f>'TCD TO série 1'!Y13</f>
        <v>0.29787234042553196</v>
      </c>
      <c r="Z12" s="71">
        <f>'TCD TO série 1'!Z13</f>
        <v>0</v>
      </c>
      <c r="AA12" s="71">
        <f>'TCD TO série 1'!AA13</f>
        <v>0</v>
      </c>
      <c r="AB12" s="71">
        <f>'TCD TO série 1'!AB13</f>
        <v>0.21367521367521372</v>
      </c>
      <c r="AC12" s="71">
        <f>'TCD TO série 1'!AC13</f>
        <v>0.21367521367521372</v>
      </c>
      <c r="AD12" s="71">
        <f>'TCD TO série 1'!AD13</f>
        <v>9.7087378640776743E-3</v>
      </c>
      <c r="AE12" s="71">
        <f>'TCD TO série 1'!AE13</f>
        <v>9.7087378640776743E-3</v>
      </c>
      <c r="AF12" s="71">
        <f>'TCD TO série 1'!AF13</f>
        <v>0</v>
      </c>
      <c r="AG12" s="71">
        <f>'TCD TO série 1'!AG13</f>
        <v>0</v>
      </c>
      <c r="AH12" s="71">
        <f>'TCD TO série 1'!AH13</f>
        <v>2.9411764705882318E-2</v>
      </c>
      <c r="AI12" s="71">
        <f>'TCD TO série 1'!AI13</f>
        <v>2.9411764705882318E-2</v>
      </c>
      <c r="AJ12" s="71">
        <f>'TCD TO série 1'!AJ13</f>
        <v>0.13513513513513492</v>
      </c>
      <c r="AK12" s="71">
        <f>'TCD TO série 1'!AK13</f>
        <v>0.13513513513513492</v>
      </c>
      <c r="AL12" s="71">
        <f>'TCD TO série 1'!AL13</f>
        <v>3.2258064516129094E-2</v>
      </c>
      <c r="AM12" s="71">
        <f>'TCD TO série 1'!AM13</f>
        <v>3.2258064516129094E-2</v>
      </c>
      <c r="AN12" s="71">
        <f>'TCD TO série 1'!AN13</f>
        <v>2.9268292682926828E-2</v>
      </c>
      <c r="AO12" s="71">
        <f>'TCD TO série 1'!AO13</f>
        <v>2.9268292682926828E-2</v>
      </c>
      <c r="AP12" s="71">
        <f>'TCD TO série 1'!AP13</f>
        <v>0.10040983606557384</v>
      </c>
      <c r="AQ12" s="71">
        <f>'TCD TO série 1'!AQ13</f>
        <v>0.10040983606557384</v>
      </c>
      <c r="AR12" s="71">
        <f>'TCD TO série 1'!AR13</f>
        <v>0.25789473684210512</v>
      </c>
      <c r="AS12" s="71">
        <f>'TCD TO série 1'!AS13</f>
        <v>0.25789473684210512</v>
      </c>
      <c r="AT12" s="71">
        <f>'TCD TO série 1'!AT13</f>
        <v>3.640994356186511</v>
      </c>
    </row>
    <row r="13" spans="1:46" x14ac:dyDescent="0.25">
      <c r="A13" s="82" t="s">
        <v>200</v>
      </c>
      <c r="B13" s="71">
        <f>'TCD TO série 1'!B14</f>
        <v>7.0052539404553502E-3</v>
      </c>
      <c r="C13" s="71">
        <f>'TCD TO série 1'!C14</f>
        <v>7.0052539404553502E-3</v>
      </c>
      <c r="D13" s="71">
        <f>'TCD TO série 1'!D14</f>
        <v>6.4453125000000014E-2</v>
      </c>
      <c r="E13" s="71">
        <f>'TCD TO série 1'!E14</f>
        <v>6.4453125000000014E-2</v>
      </c>
      <c r="F13" s="71">
        <f>'TCD TO série 1'!F14</f>
        <v>0</v>
      </c>
      <c r="G13" s="71">
        <f>'TCD TO série 1'!G14</f>
        <v>0</v>
      </c>
      <c r="H13" s="71">
        <f>'TCD TO série 1'!H14</f>
        <v>2.3006134969325152E-2</v>
      </c>
      <c r="I13" s="71">
        <f>'TCD TO série 1'!I14</f>
        <v>2.3006134969325152E-2</v>
      </c>
      <c r="J13" s="71">
        <f>'TCD TO série 1'!J14</f>
        <v>0</v>
      </c>
      <c r="K13" s="71">
        <f>'TCD TO série 1'!K14</f>
        <v>0</v>
      </c>
      <c r="L13" s="71">
        <f>'TCD TO série 1'!L14</f>
        <v>0</v>
      </c>
      <c r="M13" s="71">
        <f>'TCD TO série 1'!M14</f>
        <v>0</v>
      </c>
      <c r="N13" s="71">
        <f>'TCD TO série 1'!N14</f>
        <v>9.9999999999999895E-2</v>
      </c>
      <c r="O13" s="71">
        <f>'TCD TO série 1'!O14</f>
        <v>9.9999999999999895E-2</v>
      </c>
      <c r="P13" s="71">
        <f>'TCD TO série 1'!P14</f>
        <v>0.35135135135135148</v>
      </c>
      <c r="Q13" s="71">
        <f>'TCD TO série 1'!Q14</f>
        <v>0.35135135135135148</v>
      </c>
      <c r="R13" s="71">
        <f>'TCD TO série 1'!R14</f>
        <v>0</v>
      </c>
      <c r="S13" s="71">
        <f>'TCD TO série 1'!S14</f>
        <v>0</v>
      </c>
      <c r="T13" s="71">
        <f>'TCD TO série 1'!T14</f>
        <v>1.6077170418006437E-2</v>
      </c>
      <c r="U13" s="71">
        <f>'TCD TO série 1'!U14</f>
        <v>1.6077170418006437E-2</v>
      </c>
      <c r="V13" s="71">
        <f>'TCD TO série 1'!V14</f>
        <v>0</v>
      </c>
      <c r="W13" s="71">
        <f>'TCD TO série 1'!W14</f>
        <v>0</v>
      </c>
      <c r="X13" s="71">
        <f>'TCD TO série 1'!X14</f>
        <v>0</v>
      </c>
      <c r="Y13" s="71">
        <f>'TCD TO série 1'!Y14</f>
        <v>0</v>
      </c>
      <c r="Z13" s="71">
        <f>'TCD TO série 1'!Z14</f>
        <v>0</v>
      </c>
      <c r="AA13" s="71">
        <f>'TCD TO série 1'!AA14</f>
        <v>0</v>
      </c>
      <c r="AB13" s="71">
        <f>'TCD TO série 1'!AB14</f>
        <v>0</v>
      </c>
      <c r="AC13" s="71">
        <f>'TCD TO série 1'!AC14</f>
        <v>0</v>
      </c>
      <c r="AD13" s="71">
        <f>'TCD TO série 1'!AD14</f>
        <v>0</v>
      </c>
      <c r="AE13" s="71">
        <f>'TCD TO série 1'!AE14</f>
        <v>0</v>
      </c>
      <c r="AF13" s="71">
        <f>'TCD TO série 1'!AF14</f>
        <v>0</v>
      </c>
      <c r="AG13" s="71">
        <f>'TCD TO série 1'!AG14</f>
        <v>0</v>
      </c>
      <c r="AH13" s="71">
        <f>'TCD TO série 1'!AH14</f>
        <v>0</v>
      </c>
      <c r="AI13" s="71">
        <f>'TCD TO série 1'!AI14</f>
        <v>0</v>
      </c>
      <c r="AJ13" s="71">
        <f>'TCD TO série 1'!AJ14</f>
        <v>8.1081081081080961E-2</v>
      </c>
      <c r="AK13" s="71">
        <f>'TCD TO série 1'!AK14</f>
        <v>8.1081081081080961E-2</v>
      </c>
      <c r="AL13" s="71">
        <f>'TCD TO série 1'!AL14</f>
        <v>0</v>
      </c>
      <c r="AM13" s="71">
        <f>'TCD TO série 1'!AM14</f>
        <v>0</v>
      </c>
      <c r="AN13" s="71">
        <f>'TCD TO série 1'!AN14</f>
        <v>0</v>
      </c>
      <c r="AO13" s="71">
        <f>'TCD TO série 1'!AO14</f>
        <v>0</v>
      </c>
      <c r="AP13" s="71">
        <f>'TCD TO série 1'!AP14</f>
        <v>0</v>
      </c>
      <c r="AQ13" s="71">
        <f>'TCD TO série 1'!AQ14</f>
        <v>0</v>
      </c>
      <c r="AR13" s="71">
        <f>'TCD TO série 1'!AR14</f>
        <v>0</v>
      </c>
      <c r="AS13" s="71">
        <f>'TCD TO série 1'!AS14</f>
        <v>0</v>
      </c>
      <c r="AT13" s="71">
        <f>'TCD TO série 1'!AT14</f>
        <v>0.64297411676021921</v>
      </c>
    </row>
    <row r="14" spans="1:46" x14ac:dyDescent="0.25">
      <c r="A14" s="82" t="s">
        <v>58</v>
      </c>
      <c r="B14" s="71">
        <f>'TCD TO série 1'!B15</f>
        <v>0.10858143607705788</v>
      </c>
      <c r="C14" s="71">
        <f>'TCD TO série 1'!C15</f>
        <v>0.10858143607705788</v>
      </c>
      <c r="D14" s="71">
        <f>'TCD TO série 1'!D15</f>
        <v>1.9531250000000004E-3</v>
      </c>
      <c r="E14" s="71">
        <f>'TCD TO série 1'!E15</f>
        <v>1.9531250000000004E-3</v>
      </c>
      <c r="F14" s="71">
        <f>'TCD TO série 1'!F15</f>
        <v>3.9682539682539706E-3</v>
      </c>
      <c r="G14" s="71">
        <f>'TCD TO série 1'!G15</f>
        <v>3.9682539682539706E-3</v>
      </c>
      <c r="H14" s="71">
        <f>'TCD TO série 1'!H15</f>
        <v>0</v>
      </c>
      <c r="I14" s="71">
        <f>'TCD TO série 1'!I15</f>
        <v>0</v>
      </c>
      <c r="J14" s="71">
        <f>'TCD TO série 1'!J15</f>
        <v>0.10526315789473685</v>
      </c>
      <c r="K14" s="71">
        <f>'TCD TO série 1'!K15</f>
        <v>0.10526315789473685</v>
      </c>
      <c r="L14" s="71">
        <f>'TCD TO série 1'!L15</f>
        <v>0</v>
      </c>
      <c r="M14" s="71">
        <f>'TCD TO série 1'!M15</f>
        <v>0</v>
      </c>
      <c r="N14" s="71">
        <f>'TCD TO série 1'!N15</f>
        <v>0</v>
      </c>
      <c r="O14" s="71">
        <f>'TCD TO série 1'!O15</f>
        <v>0</v>
      </c>
      <c r="P14" s="71">
        <f>'TCD TO série 1'!P15</f>
        <v>0</v>
      </c>
      <c r="Q14" s="71">
        <f>'TCD TO série 1'!Q15</f>
        <v>0</v>
      </c>
      <c r="R14" s="71">
        <f>'TCD TO série 1'!R15</f>
        <v>0</v>
      </c>
      <c r="S14" s="71">
        <f>'TCD TO série 1'!S15</f>
        <v>0</v>
      </c>
      <c r="T14" s="71">
        <f>'TCD TO série 1'!T15</f>
        <v>0.10610932475884251</v>
      </c>
      <c r="U14" s="71">
        <f>'TCD TO série 1'!U15</f>
        <v>0.10610932475884251</v>
      </c>
      <c r="V14" s="71">
        <f>'TCD TO série 1'!V15</f>
        <v>0.24180327868852469</v>
      </c>
      <c r="W14" s="71">
        <f>'TCD TO série 1'!W15</f>
        <v>0.24180327868852469</v>
      </c>
      <c r="X14" s="71">
        <f>'TCD TO série 1'!X15</f>
        <v>0.21276595744680854</v>
      </c>
      <c r="Y14" s="71">
        <f>'TCD TO série 1'!Y15</f>
        <v>0.21276595744680854</v>
      </c>
      <c r="Z14" s="71">
        <f>'TCD TO série 1'!Z15</f>
        <v>0</v>
      </c>
      <c r="AA14" s="71">
        <f>'TCD TO série 1'!AA15</f>
        <v>0</v>
      </c>
      <c r="AB14" s="71">
        <f>'TCD TO série 1'!AB15</f>
        <v>7.9772079772079701E-2</v>
      </c>
      <c r="AC14" s="71">
        <f>'TCD TO série 1'!AC15</f>
        <v>7.9772079772079701E-2</v>
      </c>
      <c r="AD14" s="71">
        <f>'TCD TO série 1'!AD15</f>
        <v>5.8252427184466035E-2</v>
      </c>
      <c r="AE14" s="71">
        <f>'TCD TO série 1'!AE15</f>
        <v>5.8252427184466035E-2</v>
      </c>
      <c r="AF14" s="71">
        <f>'TCD TO série 1'!AF15</f>
        <v>0.77227722772277241</v>
      </c>
      <c r="AG14" s="71">
        <f>'TCD TO série 1'!AG15</f>
        <v>0.77227722772277241</v>
      </c>
      <c r="AH14" s="71">
        <f>'TCD TO série 1'!AH15</f>
        <v>2.9411764705882318E-2</v>
      </c>
      <c r="AI14" s="71">
        <f>'TCD TO série 1'!AI15</f>
        <v>2.9411764705882318E-2</v>
      </c>
      <c r="AJ14" s="71">
        <f>'TCD TO série 1'!AJ15</f>
        <v>1.3513513513513552E-2</v>
      </c>
      <c r="AK14" s="71">
        <f>'TCD TO série 1'!AK15</f>
        <v>1.3513513513513552E-2</v>
      </c>
      <c r="AL14" s="71">
        <f>'TCD TO série 1'!AL15</f>
        <v>0</v>
      </c>
      <c r="AM14" s="71">
        <f>'TCD TO série 1'!AM15</f>
        <v>0</v>
      </c>
      <c r="AN14" s="71">
        <f>'TCD TO série 1'!AN15</f>
        <v>0.14634146341463417</v>
      </c>
      <c r="AO14" s="71">
        <f>'TCD TO série 1'!AO15</f>
        <v>0.14634146341463417</v>
      </c>
      <c r="AP14" s="71">
        <f>'TCD TO série 1'!AP15</f>
        <v>0.18237704918032796</v>
      </c>
      <c r="AQ14" s="71">
        <f>'TCD TO série 1'!AQ15</f>
        <v>0.18237704918032796</v>
      </c>
      <c r="AR14" s="71">
        <f>'TCD TO série 1'!AR15</f>
        <v>4.7368421052631567E-2</v>
      </c>
      <c r="AS14" s="71">
        <f>'TCD TO série 1'!AS15</f>
        <v>4.7368421052631567E-2</v>
      </c>
      <c r="AT14" s="71">
        <f>'TCD TO série 1'!AT15</f>
        <v>2.109758480380532</v>
      </c>
    </row>
    <row r="15" spans="1:46" x14ac:dyDescent="0.25">
      <c r="A15" s="82" t="s">
        <v>56</v>
      </c>
      <c r="B15" s="71">
        <f>'TCD TO série 1'!B16</f>
        <v>8.5814360770577816E-2</v>
      </c>
      <c r="C15" s="71">
        <f>'TCD TO série 1'!C16</f>
        <v>8.5814360770577816E-2</v>
      </c>
      <c r="D15" s="71">
        <f>'TCD TO série 1'!D16</f>
        <v>0</v>
      </c>
      <c r="E15" s="71">
        <f>'TCD TO série 1'!E16</f>
        <v>0</v>
      </c>
      <c r="F15" s="71">
        <f>'TCD TO série 1'!F16</f>
        <v>1.1904761904761911E-2</v>
      </c>
      <c r="G15" s="71">
        <f>'TCD TO série 1'!G16</f>
        <v>1.1904761904761911E-2</v>
      </c>
      <c r="H15" s="71">
        <f>'TCD TO série 1'!H16</f>
        <v>0</v>
      </c>
      <c r="I15" s="71">
        <f>'TCD TO série 1'!I16</f>
        <v>0</v>
      </c>
      <c r="J15" s="71">
        <f>'TCD TO série 1'!J16</f>
        <v>5.2631578947368439E-2</v>
      </c>
      <c r="K15" s="71">
        <f>'TCD TO série 1'!K16</f>
        <v>5.2631578947368439E-2</v>
      </c>
      <c r="L15" s="71">
        <f>'TCD TO série 1'!L16</f>
        <v>0</v>
      </c>
      <c r="M15" s="71">
        <f>'TCD TO série 1'!M16</f>
        <v>0</v>
      </c>
      <c r="N15" s="71">
        <f>'TCD TO série 1'!N16</f>
        <v>0</v>
      </c>
      <c r="O15" s="71">
        <f>'TCD TO série 1'!O16</f>
        <v>0</v>
      </c>
      <c r="P15" s="71">
        <f>'TCD TO série 1'!P16</f>
        <v>0</v>
      </c>
      <c r="Q15" s="71">
        <f>'TCD TO série 1'!Q16</f>
        <v>0</v>
      </c>
      <c r="R15" s="71">
        <f>'TCD TO série 1'!R16</f>
        <v>0.81081081081081141</v>
      </c>
      <c r="S15" s="71">
        <f>'TCD TO série 1'!S16</f>
        <v>0.81081081081081141</v>
      </c>
      <c r="T15" s="71">
        <f>'TCD TO série 1'!T16</f>
        <v>8.0385852090032128E-2</v>
      </c>
      <c r="U15" s="71">
        <f>'TCD TO série 1'!U16</f>
        <v>8.0385852090032128E-2</v>
      </c>
      <c r="V15" s="71">
        <f>'TCD TO série 1'!V16</f>
        <v>2.8688524590163952E-2</v>
      </c>
      <c r="W15" s="71">
        <f>'TCD TO série 1'!W16</f>
        <v>2.8688524590163952E-2</v>
      </c>
      <c r="X15" s="71">
        <f>'TCD TO série 1'!X16</f>
        <v>8.5106382978723402E-2</v>
      </c>
      <c r="Y15" s="71">
        <f>'TCD TO série 1'!Y16</f>
        <v>8.5106382978723402E-2</v>
      </c>
      <c r="Z15" s="71">
        <f>'TCD TO série 1'!Z16</f>
        <v>0.94505494505494503</v>
      </c>
      <c r="AA15" s="71">
        <f>'TCD TO série 1'!AA16</f>
        <v>0.94505494505494503</v>
      </c>
      <c r="AB15" s="71">
        <f>'TCD TO série 1'!AB16</f>
        <v>1.1396011396011395E-2</v>
      </c>
      <c r="AC15" s="71">
        <f>'TCD TO série 1'!AC16</f>
        <v>1.1396011396011395E-2</v>
      </c>
      <c r="AD15" s="71">
        <f>'TCD TO série 1'!AD16</f>
        <v>0.33009708737864085</v>
      </c>
      <c r="AE15" s="71">
        <f>'TCD TO série 1'!AE16</f>
        <v>0.33009708737864085</v>
      </c>
      <c r="AF15" s="71">
        <f>'TCD TO série 1'!AF16</f>
        <v>0</v>
      </c>
      <c r="AG15" s="71">
        <f>'TCD TO série 1'!AG16</f>
        <v>0</v>
      </c>
      <c r="AH15" s="71">
        <f>'TCD TO série 1'!AH16</f>
        <v>0</v>
      </c>
      <c r="AI15" s="71">
        <f>'TCD TO série 1'!AI16</f>
        <v>0</v>
      </c>
      <c r="AJ15" s="71">
        <f>'TCD TO série 1'!AJ16</f>
        <v>9.459459459459478E-2</v>
      </c>
      <c r="AK15" s="71">
        <f>'TCD TO série 1'!AK16</f>
        <v>9.459459459459478E-2</v>
      </c>
      <c r="AL15" s="71">
        <f>'TCD TO série 1'!AL16</f>
        <v>0</v>
      </c>
      <c r="AM15" s="71">
        <f>'TCD TO série 1'!AM16</f>
        <v>0</v>
      </c>
      <c r="AN15" s="71">
        <f>'TCD TO série 1'!AN16</f>
        <v>3.9024390243902439E-2</v>
      </c>
      <c r="AO15" s="71">
        <f>'TCD TO série 1'!AO16</f>
        <v>3.9024390243902439E-2</v>
      </c>
      <c r="AP15" s="71">
        <f>'TCD TO série 1'!AP16</f>
        <v>8.8114754098360712E-2</v>
      </c>
      <c r="AQ15" s="71">
        <f>'TCD TO série 1'!AQ16</f>
        <v>8.8114754098360712E-2</v>
      </c>
      <c r="AR15" s="71">
        <f>'TCD TO série 1'!AR16</f>
        <v>1.0526315789473681E-2</v>
      </c>
      <c r="AS15" s="71">
        <f>'TCD TO série 1'!AS16</f>
        <v>1.0526315789473681E-2</v>
      </c>
      <c r="AT15" s="71">
        <f>'TCD TO série 1'!AT16</f>
        <v>2.6741503706483676</v>
      </c>
    </row>
    <row r="16" spans="1:46" x14ac:dyDescent="0.25">
      <c r="A16" s="82" t="s">
        <v>10</v>
      </c>
      <c r="B16" s="71">
        <f>'TCD TO série 1'!B17</f>
        <v>0.23292469352014014</v>
      </c>
      <c r="C16" s="71">
        <f>'TCD TO série 1'!C17</f>
        <v>0.23292469352014014</v>
      </c>
      <c r="D16" s="71">
        <f>'TCD TO série 1'!D17</f>
        <v>0.126953125</v>
      </c>
      <c r="E16" s="71">
        <f>'TCD TO série 1'!E17</f>
        <v>0.126953125</v>
      </c>
      <c r="F16" s="71">
        <f>'TCD TO série 1'!F17</f>
        <v>8.3333333333333287E-2</v>
      </c>
      <c r="G16" s="71">
        <f>'TCD TO série 1'!G17</f>
        <v>8.3333333333333287E-2</v>
      </c>
      <c r="H16" s="71">
        <f>'TCD TO série 1'!H17</f>
        <v>8.2822085889570421E-2</v>
      </c>
      <c r="I16" s="71">
        <f>'TCD TO série 1'!I17</f>
        <v>8.2822085889570421E-2</v>
      </c>
      <c r="J16" s="71">
        <f>'TCD TO série 1'!J17</f>
        <v>0.57894736842105265</v>
      </c>
      <c r="K16" s="71">
        <f>'TCD TO série 1'!K17</f>
        <v>0.57894736842105265</v>
      </c>
      <c r="L16" s="71">
        <f>'TCD TO série 1'!L17</f>
        <v>9.4786729857819926E-2</v>
      </c>
      <c r="M16" s="71">
        <f>'TCD TO série 1'!M17</f>
        <v>9.4786729857819926E-2</v>
      </c>
      <c r="N16" s="71">
        <f>'TCD TO série 1'!N17</f>
        <v>9.9999999999999895E-2</v>
      </c>
      <c r="O16" s="71">
        <f>'TCD TO série 1'!O17</f>
        <v>9.9999999999999895E-2</v>
      </c>
      <c r="P16" s="71">
        <f>'TCD TO série 1'!P17</f>
        <v>0.22972972972972974</v>
      </c>
      <c r="Q16" s="71">
        <f>'TCD TO série 1'!Q17</f>
        <v>0.22972972972972974</v>
      </c>
      <c r="R16" s="71">
        <f>'TCD TO série 1'!R17</f>
        <v>6.7567567567567613E-2</v>
      </c>
      <c r="S16" s="71">
        <f>'TCD TO série 1'!S17</f>
        <v>6.7567567567567613E-2</v>
      </c>
      <c r="T16" s="71">
        <f>'TCD TO série 1'!T17</f>
        <v>0.21704180064308679</v>
      </c>
      <c r="U16" s="71">
        <f>'TCD TO série 1'!U17</f>
        <v>0.21704180064308679</v>
      </c>
      <c r="V16" s="71">
        <f>'TCD TO série 1'!V17</f>
        <v>0.1885245901639343</v>
      </c>
      <c r="W16" s="71">
        <f>'TCD TO série 1'!W17</f>
        <v>0.1885245901639343</v>
      </c>
      <c r="X16" s="71">
        <f>'TCD TO série 1'!X17</f>
        <v>6.382978723404252E-2</v>
      </c>
      <c r="Y16" s="71">
        <f>'TCD TO série 1'!Y17</f>
        <v>6.382978723404252E-2</v>
      </c>
      <c r="Z16" s="71">
        <f>'TCD TO série 1'!Z17</f>
        <v>0</v>
      </c>
      <c r="AA16" s="71">
        <f>'TCD TO série 1'!AA17</f>
        <v>0</v>
      </c>
      <c r="AB16" s="71">
        <f>'TCD TO série 1'!AB17</f>
        <v>0.16809116809116828</v>
      </c>
      <c r="AC16" s="71">
        <f>'TCD TO série 1'!AC17</f>
        <v>0.16809116809116828</v>
      </c>
      <c r="AD16" s="71">
        <f>'TCD TO série 1'!AD17</f>
        <v>6.7961165048543715E-2</v>
      </c>
      <c r="AE16" s="71">
        <f>'TCD TO série 1'!AE17</f>
        <v>6.7961165048543715E-2</v>
      </c>
      <c r="AF16" s="71">
        <f>'TCD TO série 1'!AF17</f>
        <v>5.9405940594059396E-2</v>
      </c>
      <c r="AG16" s="71">
        <f>'TCD TO série 1'!AG17</f>
        <v>5.9405940594059396E-2</v>
      </c>
      <c r="AH16" s="71">
        <f>'TCD TO série 1'!AH17</f>
        <v>5.8823529411764705E-2</v>
      </c>
      <c r="AI16" s="71">
        <f>'TCD TO série 1'!AI17</f>
        <v>5.8823529411764705E-2</v>
      </c>
      <c r="AJ16" s="71">
        <f>'TCD TO série 1'!AJ17</f>
        <v>0.3918918918918915</v>
      </c>
      <c r="AK16" s="71">
        <f>'TCD TO série 1'!AK17</f>
        <v>0.3918918918918915</v>
      </c>
      <c r="AL16" s="71">
        <f>'TCD TO série 1'!AL17</f>
        <v>0.19354838709677372</v>
      </c>
      <c r="AM16" s="71">
        <f>'TCD TO série 1'!AM17</f>
        <v>0.19354838709677372</v>
      </c>
      <c r="AN16" s="71">
        <f>'TCD TO série 1'!AN17</f>
        <v>0.41463414634146351</v>
      </c>
      <c r="AO16" s="71">
        <f>'TCD TO série 1'!AO17</f>
        <v>0.41463414634146351</v>
      </c>
      <c r="AP16" s="71">
        <f>'TCD TO série 1'!AP17</f>
        <v>0.22540983606557363</v>
      </c>
      <c r="AQ16" s="71">
        <f>'TCD TO série 1'!AQ17</f>
        <v>0.22540983606557363</v>
      </c>
      <c r="AR16" s="71">
        <f>'TCD TO série 1'!AR17</f>
        <v>8.9473684210526455E-2</v>
      </c>
      <c r="AS16" s="71">
        <f>'TCD TO série 1'!AS17</f>
        <v>8.9473684210526455E-2</v>
      </c>
      <c r="AT16" s="71">
        <f>'TCD TO série 1'!AT17</f>
        <v>3.7357005601120417</v>
      </c>
    </row>
    <row r="17" spans="1:46" x14ac:dyDescent="0.25">
      <c r="A17" s="83" t="s">
        <v>31</v>
      </c>
      <c r="B17" s="77">
        <f>SUM(B5:B16)</f>
        <v>0.99999999999999989</v>
      </c>
      <c r="C17" s="78">
        <f t="shared" ref="C17:E17" si="0">SUM(C5:C16)</f>
        <v>0.99999999999999989</v>
      </c>
      <c r="D17" s="78">
        <f>SUM(D5:D16)</f>
        <v>0.99999999999999989</v>
      </c>
      <c r="E17" s="79">
        <f t="shared" si="0"/>
        <v>0.99999999999999989</v>
      </c>
      <c r="F17" s="77">
        <f>SUM(F5:F16)</f>
        <v>0.99999999999999978</v>
      </c>
      <c r="G17" s="78">
        <f t="shared" ref="G17:I17" si="1">SUM(G5:G16)</f>
        <v>0.99999999999999978</v>
      </c>
      <c r="H17" s="78">
        <f t="shared" si="1"/>
        <v>0.99999999999999989</v>
      </c>
      <c r="I17" s="79">
        <f t="shared" si="1"/>
        <v>0.99999999999999989</v>
      </c>
      <c r="J17" s="77">
        <f>SUM(J5:J16)</f>
        <v>1</v>
      </c>
      <c r="K17" s="78">
        <f t="shared" ref="K17:L17" si="2">SUM(K5:K16)</f>
        <v>1</v>
      </c>
      <c r="L17" s="78">
        <f t="shared" si="2"/>
        <v>0.99999999999999989</v>
      </c>
      <c r="M17" s="78">
        <f t="shared" ref="M17:AT17" si="3">SUM(M5:M16)</f>
        <v>0.99999999999999989</v>
      </c>
      <c r="N17" s="78">
        <f t="shared" si="3"/>
        <v>0.99999999999999989</v>
      </c>
      <c r="O17" s="78">
        <f t="shared" si="3"/>
        <v>0.99999999999999989</v>
      </c>
      <c r="P17" s="78">
        <f t="shared" si="3"/>
        <v>1.0000000000000002</v>
      </c>
      <c r="Q17" s="78">
        <f t="shared" si="3"/>
        <v>1.0000000000000002</v>
      </c>
      <c r="R17" s="78">
        <f t="shared" si="3"/>
        <v>1.0000000000000002</v>
      </c>
      <c r="S17" s="78">
        <f t="shared" si="3"/>
        <v>1.0000000000000002</v>
      </c>
      <c r="T17" s="78">
        <f t="shared" si="3"/>
        <v>0.99999999999999989</v>
      </c>
      <c r="U17" s="78">
        <f t="shared" si="3"/>
        <v>0.99999999999999989</v>
      </c>
      <c r="V17" s="78">
        <f t="shared" si="3"/>
        <v>1</v>
      </c>
      <c r="W17" s="78">
        <f t="shared" si="3"/>
        <v>1</v>
      </c>
      <c r="X17" s="78">
        <f t="shared" si="3"/>
        <v>1</v>
      </c>
      <c r="Y17" s="78">
        <f t="shared" si="3"/>
        <v>1</v>
      </c>
      <c r="Z17" s="78">
        <f t="shared" si="3"/>
        <v>1</v>
      </c>
      <c r="AA17" s="78">
        <f t="shared" si="3"/>
        <v>1</v>
      </c>
      <c r="AB17" s="78">
        <f t="shared" si="3"/>
        <v>1</v>
      </c>
      <c r="AC17" s="78">
        <f t="shared" si="3"/>
        <v>1</v>
      </c>
      <c r="AD17" s="78">
        <f t="shared" si="3"/>
        <v>1.0000000000000002</v>
      </c>
      <c r="AE17" s="78">
        <f t="shared" si="3"/>
        <v>1.0000000000000002</v>
      </c>
      <c r="AF17" s="78">
        <f t="shared" si="3"/>
        <v>1.0000000000000002</v>
      </c>
      <c r="AG17" s="78">
        <f t="shared" si="3"/>
        <v>1.0000000000000002</v>
      </c>
      <c r="AH17" s="78">
        <f t="shared" si="3"/>
        <v>1.0000000000000002</v>
      </c>
      <c r="AI17" s="78">
        <f t="shared" si="3"/>
        <v>1.0000000000000002</v>
      </c>
      <c r="AJ17" s="78">
        <f t="shared" si="3"/>
        <v>1</v>
      </c>
      <c r="AK17" s="78">
        <f t="shared" si="3"/>
        <v>1</v>
      </c>
      <c r="AL17" s="78">
        <f t="shared" si="3"/>
        <v>1</v>
      </c>
      <c r="AM17" s="78">
        <f t="shared" si="3"/>
        <v>1</v>
      </c>
      <c r="AN17" s="78">
        <f t="shared" si="3"/>
        <v>1</v>
      </c>
      <c r="AO17" s="78">
        <f t="shared" si="3"/>
        <v>1</v>
      </c>
      <c r="AP17" s="78">
        <f t="shared" si="3"/>
        <v>1</v>
      </c>
      <c r="AQ17" s="78">
        <f t="shared" si="3"/>
        <v>1</v>
      </c>
      <c r="AR17" s="78">
        <f t="shared" si="3"/>
        <v>1</v>
      </c>
      <c r="AS17" s="78">
        <f t="shared" si="3"/>
        <v>1</v>
      </c>
      <c r="AT17" s="78">
        <f t="shared" si="3"/>
        <v>22</v>
      </c>
    </row>
    <row r="18" spans="1:46" s="93" customFormat="1" ht="162" customHeight="1" x14ac:dyDescent="0.25">
      <c r="A18" s="96" t="s">
        <v>64</v>
      </c>
      <c r="B18" s="81" t="s">
        <v>329</v>
      </c>
      <c r="C18" s="80"/>
      <c r="D18" s="81" t="s">
        <v>257</v>
      </c>
      <c r="E18" s="80"/>
      <c r="F18" s="81"/>
      <c r="G18" s="80"/>
      <c r="H18" s="81" t="s">
        <v>326</v>
      </c>
      <c r="I18" s="80"/>
      <c r="J18" s="97" t="s">
        <v>339</v>
      </c>
      <c r="K18" s="80"/>
      <c r="L18" s="81"/>
      <c r="M18" s="81"/>
      <c r="N18" s="97" t="s">
        <v>339</v>
      </c>
      <c r="O18" s="81"/>
      <c r="P18" s="97" t="s">
        <v>339</v>
      </c>
      <c r="Q18" s="81"/>
      <c r="R18" s="81" t="s">
        <v>340</v>
      </c>
      <c r="S18" s="81"/>
      <c r="T18" s="81" t="s">
        <v>330</v>
      </c>
      <c r="U18" s="81"/>
      <c r="V18" s="81" t="s">
        <v>327</v>
      </c>
      <c r="W18" s="81"/>
      <c r="X18" s="97" t="s">
        <v>339</v>
      </c>
      <c r="Y18" s="81"/>
      <c r="Z18" s="97" t="s">
        <v>339</v>
      </c>
      <c r="AA18" s="81"/>
      <c r="AB18" s="81"/>
      <c r="AC18" s="81"/>
      <c r="AD18" s="97" t="s">
        <v>339</v>
      </c>
      <c r="AE18" s="81"/>
      <c r="AF18" s="97" t="s">
        <v>339</v>
      </c>
      <c r="AG18" s="81"/>
      <c r="AH18" s="97" t="s">
        <v>339</v>
      </c>
      <c r="AI18" s="81"/>
      <c r="AJ18" s="97" t="s">
        <v>339</v>
      </c>
      <c r="AK18" s="81"/>
      <c r="AL18" s="97" t="s">
        <v>339</v>
      </c>
      <c r="AM18" s="81"/>
      <c r="AN18" s="81" t="s">
        <v>331</v>
      </c>
      <c r="AO18" s="81"/>
      <c r="AP18" s="81" t="s">
        <v>328</v>
      </c>
      <c r="AQ18" s="81"/>
      <c r="AR18" s="81"/>
      <c r="AS18" s="81"/>
      <c r="AT18" s="81"/>
    </row>
    <row r="21" spans="1:46" ht="21" x14ac:dyDescent="0.35">
      <c r="A21" s="105" t="s">
        <v>541</v>
      </c>
      <c r="B21" s="105"/>
      <c r="C21" s="105"/>
      <c r="D21" s="105"/>
      <c r="E21" s="105"/>
      <c r="F21" s="105"/>
      <c r="G21" s="105"/>
      <c r="H21" s="105"/>
    </row>
    <row r="22" spans="1:46" ht="15.75" thickBot="1" x14ac:dyDescent="0.3"/>
    <row r="23" spans="1:46" ht="31.5" customHeight="1" thickBot="1" x14ac:dyDescent="0.3">
      <c r="B23" s="107" t="s">
        <v>332</v>
      </c>
      <c r="C23" s="108"/>
      <c r="D23" s="109"/>
      <c r="F23" s="107" t="s">
        <v>333</v>
      </c>
      <c r="G23" s="108"/>
      <c r="H23" s="109"/>
      <c r="J23" s="107" t="s">
        <v>334</v>
      </c>
      <c r="K23" s="108"/>
      <c r="L23" s="108"/>
      <c r="M23" s="108"/>
      <c r="N23" s="108"/>
      <c r="O23" s="108"/>
      <c r="P23" s="109"/>
      <c r="R23" s="107" t="s">
        <v>335</v>
      </c>
      <c r="S23" s="108"/>
      <c r="T23" s="108"/>
      <c r="U23" s="108"/>
      <c r="V23" s="109"/>
      <c r="X23" s="107" t="s">
        <v>336</v>
      </c>
      <c r="Y23" s="108"/>
      <c r="Z23" s="108"/>
      <c r="AA23" s="108"/>
      <c r="AB23" s="108"/>
      <c r="AC23" s="108"/>
      <c r="AD23" s="108"/>
      <c r="AE23" s="108"/>
      <c r="AF23" s="108"/>
      <c r="AG23" s="108"/>
      <c r="AH23" s="109"/>
      <c r="AJ23" s="107" t="s">
        <v>337</v>
      </c>
      <c r="AK23" s="108"/>
      <c r="AL23" s="109"/>
      <c r="AN23" s="107" t="s">
        <v>338</v>
      </c>
      <c r="AO23" s="108"/>
      <c r="AP23" s="108"/>
      <c r="AQ23" s="108"/>
      <c r="AR23" s="109"/>
    </row>
    <row r="24" spans="1:46" s="94" customFormat="1" ht="30" x14ac:dyDescent="0.25">
      <c r="B24" s="95" t="str">
        <f>'TCD TO série 3'!B5</f>
        <v>Prélèvement 10 + 12 _2</v>
      </c>
      <c r="C24" s="95">
        <f>'TCD TO série 3'!C5</f>
        <v>0</v>
      </c>
      <c r="D24" s="95" t="str">
        <f>'TCD TO série 3'!D5</f>
        <v>Prélèvement 11 + 13 _2</v>
      </c>
      <c r="E24" s="95">
        <f>'TCD TO série 3'!E5</f>
        <v>0</v>
      </c>
      <c r="F24" s="95" t="str">
        <f>'TCD TO série 3'!F5</f>
        <v>Prélèvement 14 _2</v>
      </c>
      <c r="G24" s="95">
        <f>'TCD TO série 3'!G5</f>
        <v>0</v>
      </c>
      <c r="H24" s="95" t="str">
        <f>'TCD TO série 3'!H5</f>
        <v>Prélèvement 15 _2</v>
      </c>
      <c r="I24" s="95">
        <f>'TCD TO série 3'!I5</f>
        <v>0</v>
      </c>
      <c r="J24" s="95" t="str">
        <f>'TCD TO série 3'!J5</f>
        <v>Prélèvement 16+19_2</v>
      </c>
      <c r="K24" s="95">
        <f>'TCD TO série 3'!K5</f>
        <v>0</v>
      </c>
      <c r="L24" s="95" t="str">
        <f>'TCD TO série 3'!L5</f>
        <v>Prélèvement 17_2</v>
      </c>
      <c r="M24" s="95">
        <f>'TCD TO série 3'!M5</f>
        <v>0</v>
      </c>
      <c r="N24" s="95" t="str">
        <f>'TCD TO série 3'!N5</f>
        <v>Prélèvement 18+21_2</v>
      </c>
      <c r="O24" s="95">
        <f>'TCD TO série 3'!O5</f>
        <v>0</v>
      </c>
      <c r="P24" s="95" t="str">
        <f>'TCD TO série 3'!P5</f>
        <v>Prélèvement 20_2</v>
      </c>
      <c r="Q24" s="95">
        <f>'TCD TO série 3'!Q5</f>
        <v>0</v>
      </c>
      <c r="R24" s="95" t="str">
        <f>'TCD TO série 3'!R5</f>
        <v>Prélèvement 22 _2</v>
      </c>
      <c r="S24" s="95">
        <f>'TCD TO série 3'!S5</f>
        <v>0</v>
      </c>
      <c r="T24" s="95" t="str">
        <f>'TCD TO série 3'!T5</f>
        <v>Prélèvement 23 _2</v>
      </c>
      <c r="U24" s="95">
        <f>'TCD TO série 3'!U5</f>
        <v>0</v>
      </c>
      <c r="V24" s="95" t="str">
        <f>'TCD TO série 3'!V5</f>
        <v>Prélèvement 24 _2</v>
      </c>
      <c r="W24" s="95">
        <f>'TCD TO série 3'!W5</f>
        <v>0</v>
      </c>
      <c r="X24" s="95" t="str">
        <f>'TCD TO série 3'!X5</f>
        <v>Prélèvement 25+27+30_2</v>
      </c>
      <c r="Y24" s="95">
        <f>'TCD TO série 3'!Y5</f>
        <v>0</v>
      </c>
      <c r="Z24" s="95" t="str">
        <f>'TCD TO série 3'!Z5</f>
        <v>Prélèvement 26_2</v>
      </c>
      <c r="AA24" s="95">
        <f>'TCD TO série 3'!AA5</f>
        <v>0</v>
      </c>
      <c r="AB24" s="95" t="str">
        <f>'TCD TO série 3'!AB5</f>
        <v>Prélèvement 28_2</v>
      </c>
      <c r="AC24" s="95">
        <f>'TCD TO série 3'!AC5</f>
        <v>0</v>
      </c>
      <c r="AD24" s="95" t="str">
        <f>'TCD TO série 3'!AD5</f>
        <v>Prélèvement 29_2</v>
      </c>
      <c r="AE24" s="95">
        <f>'TCD TO série 3'!AE5</f>
        <v>0</v>
      </c>
      <c r="AF24" s="95" t="str">
        <f>'TCD TO série 3'!AF5</f>
        <v>Prélèvement 31_2</v>
      </c>
      <c r="AG24" s="95">
        <f>'TCD TO série 3'!AG5</f>
        <v>0</v>
      </c>
      <c r="AH24" s="95" t="str">
        <f>'TCD TO série 3'!AH5</f>
        <v>Prélèvement 32_2</v>
      </c>
      <c r="AI24" s="95">
        <f>'TCD TO série 3'!AI5</f>
        <v>0</v>
      </c>
      <c r="AJ24" s="95" t="str">
        <f>'TCD TO série 3'!AJ5</f>
        <v>Prélèvement 33 _2</v>
      </c>
      <c r="AK24" s="95">
        <f>'TCD TO série 3'!AK5</f>
        <v>0</v>
      </c>
      <c r="AL24" s="95" t="str">
        <f>'TCD TO série 3'!AL5</f>
        <v>Prélèvement 34 _2</v>
      </c>
      <c r="AM24" s="95">
        <f>'TCD TO série 3'!AM5</f>
        <v>0</v>
      </c>
      <c r="AN24" s="95" t="str">
        <f>'TCD TO série 3'!AN5</f>
        <v>Prélèvement 35+38_2</v>
      </c>
      <c r="AO24" s="95">
        <f>'TCD TO série 3'!AO5</f>
        <v>0</v>
      </c>
      <c r="AP24" s="95" t="str">
        <f>'TCD TO série 3'!AP5</f>
        <v>Prélèvement 36+39_2</v>
      </c>
      <c r="AQ24" s="95">
        <f>'TCD TO série 3'!AQ5</f>
        <v>0</v>
      </c>
      <c r="AR24" s="95" t="str">
        <f>'TCD TO série 3'!AR5</f>
        <v>Prélèvement 37+40_2</v>
      </c>
      <c r="AS24" s="95">
        <f>'TCD TO série 1'!AS24</f>
        <v>0</v>
      </c>
      <c r="AT24" s="95">
        <f>'TCD TO série 1'!AT24</f>
        <v>0</v>
      </c>
    </row>
    <row r="25" spans="1:46" x14ac:dyDescent="0.25">
      <c r="A25" s="82" t="s">
        <v>38</v>
      </c>
      <c r="B25" s="71">
        <f>'TCD TO série 3'!B6</f>
        <v>4.6296296296296308E-2</v>
      </c>
      <c r="C25" s="71">
        <f>'TCD TO série 3'!C6</f>
        <v>4.6296296296296308E-2</v>
      </c>
      <c r="D25" s="71">
        <f>'TCD TO série 3'!D6</f>
        <v>0</v>
      </c>
      <c r="E25" s="71">
        <f>'TCD TO série 3'!E6</f>
        <v>0</v>
      </c>
      <c r="F25" s="71">
        <f>'TCD TO série 3'!F6</f>
        <v>0</v>
      </c>
      <c r="G25" s="71">
        <f>'TCD TO série 3'!G6</f>
        <v>0</v>
      </c>
      <c r="H25" s="71">
        <f>'TCD TO série 3'!H6</f>
        <v>0</v>
      </c>
      <c r="I25" s="71">
        <f>'TCD TO série 3'!I6</f>
        <v>0</v>
      </c>
      <c r="J25" s="71">
        <f>'TCD TO série 3'!J6</f>
        <v>0</v>
      </c>
      <c r="K25" s="71">
        <f>'TCD TO série 3'!K6</f>
        <v>0</v>
      </c>
      <c r="L25" s="71">
        <f>'TCD TO série 3'!L6</f>
        <v>0</v>
      </c>
      <c r="M25" s="71">
        <f>'TCD TO série 3'!M6</f>
        <v>0</v>
      </c>
      <c r="N25" s="71">
        <f>'TCD TO série 3'!N6</f>
        <v>0</v>
      </c>
      <c r="O25" s="71">
        <f>'TCD TO série 3'!O6</f>
        <v>0</v>
      </c>
      <c r="P25" s="71">
        <f>'TCD TO série 3'!P6</f>
        <v>0</v>
      </c>
      <c r="Q25" s="71">
        <f>'TCD TO série 3'!Q6</f>
        <v>0</v>
      </c>
      <c r="R25" s="71">
        <f>'TCD TO série 3'!R6</f>
        <v>0</v>
      </c>
      <c r="S25" s="71">
        <f>'TCD TO série 3'!S6</f>
        <v>0</v>
      </c>
      <c r="T25" s="71">
        <f>'TCD TO série 3'!T6</f>
        <v>0</v>
      </c>
      <c r="U25" s="71">
        <f>'TCD TO série 3'!U6</f>
        <v>0</v>
      </c>
      <c r="V25" s="71">
        <f>'TCD TO série 3'!V6</f>
        <v>0</v>
      </c>
      <c r="W25" s="71">
        <f>'TCD TO série 3'!W6</f>
        <v>0</v>
      </c>
      <c r="X25" s="71">
        <f>'TCD TO série 3'!X6</f>
        <v>0</v>
      </c>
      <c r="Y25" s="71">
        <f>'TCD TO série 3'!Y6</f>
        <v>0</v>
      </c>
      <c r="Z25" s="71">
        <f>'TCD TO série 3'!Z6</f>
        <v>0</v>
      </c>
      <c r="AA25" s="71">
        <f>'TCD TO série 3'!AA6</f>
        <v>0</v>
      </c>
      <c r="AB25" s="71">
        <f>'TCD TO série 3'!AB6</f>
        <v>0</v>
      </c>
      <c r="AC25" s="71">
        <f>'TCD TO série 3'!AC6</f>
        <v>0</v>
      </c>
      <c r="AD25" s="71">
        <f>'TCD TO série 3'!AD6</f>
        <v>0</v>
      </c>
      <c r="AE25" s="71">
        <f>'TCD TO série 3'!AE6</f>
        <v>0</v>
      </c>
      <c r="AF25" s="71">
        <f>'TCD TO série 3'!AF6</f>
        <v>0</v>
      </c>
      <c r="AG25" s="71">
        <f>'TCD TO série 3'!AG6</f>
        <v>0</v>
      </c>
      <c r="AH25" s="71">
        <f>'TCD TO série 3'!AH6</f>
        <v>0</v>
      </c>
      <c r="AI25" s="71">
        <f>'TCD TO série 3'!AI6</f>
        <v>0</v>
      </c>
      <c r="AJ25" s="71">
        <f>'TCD TO série 3'!AJ6</f>
        <v>0</v>
      </c>
      <c r="AK25" s="71">
        <f>'TCD TO série 3'!AK6</f>
        <v>0</v>
      </c>
      <c r="AL25" s="71">
        <f>'TCD TO série 3'!AL6</f>
        <v>0</v>
      </c>
      <c r="AM25" s="71">
        <f>'TCD TO série 3'!AM6</f>
        <v>0</v>
      </c>
      <c r="AN25" s="71">
        <f>'TCD TO série 3'!AN6</f>
        <v>0</v>
      </c>
      <c r="AO25" s="71">
        <f>'TCD TO série 3'!AO6</f>
        <v>0</v>
      </c>
      <c r="AP25" s="71">
        <f>'TCD TO série 3'!AP6</f>
        <v>0</v>
      </c>
      <c r="AQ25" s="71">
        <f>'TCD TO série 3'!AQ6</f>
        <v>0</v>
      </c>
      <c r="AR25" s="71">
        <f>'TCD TO série 3'!AR6</f>
        <v>0</v>
      </c>
      <c r="AS25" s="71">
        <f>'TCD TO série 1'!AS26</f>
        <v>0</v>
      </c>
      <c r="AT25" s="71">
        <f>'TCD TO série 1'!AT26</f>
        <v>0</v>
      </c>
    </row>
    <row r="26" spans="1:46" x14ac:dyDescent="0.25">
      <c r="A26" s="82" t="s">
        <v>34</v>
      </c>
      <c r="B26" s="71">
        <f>'TCD TO série 3'!B7</f>
        <v>2.7777777777777769E-2</v>
      </c>
      <c r="C26" s="71">
        <f>'TCD TO série 3'!C7</f>
        <v>2.7777777777777769E-2</v>
      </c>
      <c r="D26" s="71">
        <f>'TCD TO série 3'!D7</f>
        <v>1.5267175572519064E-3</v>
      </c>
      <c r="E26" s="71">
        <f>'TCD TO série 3'!E7</f>
        <v>1.5267175572519064E-3</v>
      </c>
      <c r="F26" s="71">
        <f>'TCD TO série 3'!F7</f>
        <v>0</v>
      </c>
      <c r="G26" s="71">
        <f>'TCD TO série 3'!G7</f>
        <v>0</v>
      </c>
      <c r="H26" s="71">
        <f>'TCD TO série 3'!H7</f>
        <v>0</v>
      </c>
      <c r="I26" s="71">
        <f>'TCD TO série 3'!I7</f>
        <v>0</v>
      </c>
      <c r="J26" s="71">
        <f>'TCD TO série 3'!J7</f>
        <v>0</v>
      </c>
      <c r="K26" s="71">
        <f>'TCD TO série 3'!K7</f>
        <v>0</v>
      </c>
      <c r="L26" s="71">
        <f>'TCD TO série 3'!L7</f>
        <v>0</v>
      </c>
      <c r="M26" s="71">
        <f>'TCD TO série 3'!M7</f>
        <v>0</v>
      </c>
      <c r="N26" s="71">
        <f>'TCD TO série 3'!N7</f>
        <v>0</v>
      </c>
      <c r="O26" s="71">
        <f>'TCD TO série 3'!O7</f>
        <v>0</v>
      </c>
      <c r="P26" s="71">
        <f>'TCD TO série 3'!P7</f>
        <v>2.772277227722772E-2</v>
      </c>
      <c r="Q26" s="71">
        <f>'TCD TO série 3'!Q7</f>
        <v>2.772277227722772E-2</v>
      </c>
      <c r="R26" s="71">
        <f>'TCD TO série 3'!R7</f>
        <v>2.7397260273972601E-2</v>
      </c>
      <c r="S26" s="71">
        <f>'TCD TO série 3'!S7</f>
        <v>2.7397260273972601E-2</v>
      </c>
      <c r="T26" s="71">
        <f>'TCD TO série 3'!T7</f>
        <v>0.13141426783479349</v>
      </c>
      <c r="U26" s="71">
        <f>'TCD TO série 3'!U7</f>
        <v>0.13141426783479349</v>
      </c>
      <c r="V26" s="71">
        <f>'TCD TO série 3'!V7</f>
        <v>1.5706806282722509E-2</v>
      </c>
      <c r="W26" s="71">
        <f>'TCD TO série 3'!W7</f>
        <v>1.5706806282722509E-2</v>
      </c>
      <c r="X26" s="71">
        <f>'TCD TO série 3'!X7</f>
        <v>9.5693779904306147E-3</v>
      </c>
      <c r="Y26" s="71">
        <f>'TCD TO série 3'!Y7</f>
        <v>9.5693779904306147E-3</v>
      </c>
      <c r="Z26" s="71">
        <f>'TCD TO série 3'!Z7</f>
        <v>6.711409395973162E-3</v>
      </c>
      <c r="AA26" s="71">
        <f>'TCD TO série 3'!AA7</f>
        <v>6.711409395973162E-3</v>
      </c>
      <c r="AB26" s="71">
        <f>'TCD TO série 3'!AB7</f>
        <v>4.0849673202614394E-2</v>
      </c>
      <c r="AC26" s="71">
        <f>'TCD TO série 3'!AC7</f>
        <v>4.0849673202614394E-2</v>
      </c>
      <c r="AD26" s="71">
        <f>'TCD TO série 3'!AD7</f>
        <v>2.0648967551622426E-2</v>
      </c>
      <c r="AE26" s="71">
        <f>'TCD TO série 3'!AE7</f>
        <v>2.0648967551622426E-2</v>
      </c>
      <c r="AF26" s="71">
        <f>'TCD TO série 3'!AF7</f>
        <v>8.9686098654708554E-3</v>
      </c>
      <c r="AG26" s="71">
        <f>'TCD TO série 3'!AG7</f>
        <v>8.9686098654708554E-3</v>
      </c>
      <c r="AH26" s="71">
        <f>'TCD TO série 3'!AH7</f>
        <v>0</v>
      </c>
      <c r="AI26" s="71">
        <f>'TCD TO série 3'!AI7</f>
        <v>0</v>
      </c>
      <c r="AJ26" s="71">
        <f>'TCD TO série 3'!AJ7</f>
        <v>0</v>
      </c>
      <c r="AK26" s="71">
        <f>'TCD TO série 3'!AK7</f>
        <v>0</v>
      </c>
      <c r="AL26" s="71">
        <f>'TCD TO série 3'!AL7</f>
        <v>3.7453183520599208E-3</v>
      </c>
      <c r="AM26" s="71">
        <f>'TCD TO série 3'!AM7</f>
        <v>3.7453183520599208E-3</v>
      </c>
      <c r="AN26" s="71">
        <f>'TCD TO série 3'!AN7</f>
        <v>6.0240963855421777E-3</v>
      </c>
      <c r="AO26" s="71">
        <f>'TCD TO série 3'!AO7</f>
        <v>6.0240963855421777E-3</v>
      </c>
      <c r="AP26" s="71">
        <f>'TCD TO série 3'!AP7</f>
        <v>2.6578073089700997E-2</v>
      </c>
      <c r="AQ26" s="71">
        <f>'TCD TO série 3'!AQ7</f>
        <v>2.6578073089700997E-2</v>
      </c>
      <c r="AR26" s="71">
        <f>'TCD TO série 3'!AR7</f>
        <v>7.8431372549019641E-3</v>
      </c>
      <c r="AS26" s="71">
        <f>'TCD TO série 1'!AS27</f>
        <v>0</v>
      </c>
      <c r="AT26" s="71">
        <f>'TCD TO série 1'!AT27</f>
        <v>0</v>
      </c>
    </row>
    <row r="27" spans="1:46" x14ac:dyDescent="0.25">
      <c r="A27" s="82" t="s">
        <v>35</v>
      </c>
      <c r="B27" s="71">
        <f>'TCD TO série 3'!B8</f>
        <v>0</v>
      </c>
      <c r="C27" s="71">
        <f>'TCD TO série 3'!C8</f>
        <v>0</v>
      </c>
      <c r="D27" s="71">
        <f>'TCD TO série 3'!D8</f>
        <v>0</v>
      </c>
      <c r="E27" s="71">
        <f>'TCD TO série 3'!E8</f>
        <v>0</v>
      </c>
      <c r="F27" s="71">
        <f>'TCD TO série 3'!F8</f>
        <v>0</v>
      </c>
      <c r="G27" s="71">
        <f>'TCD TO série 3'!G8</f>
        <v>0</v>
      </c>
      <c r="H27" s="71">
        <f>'TCD TO série 3'!H8</f>
        <v>0</v>
      </c>
      <c r="I27" s="71">
        <f>'TCD TO série 3'!I8</f>
        <v>0</v>
      </c>
      <c r="J27" s="71">
        <f>'TCD TO série 3'!J8</f>
        <v>0</v>
      </c>
      <c r="K27" s="71">
        <f>'TCD TO série 3'!K8</f>
        <v>0</v>
      </c>
      <c r="L27" s="71">
        <f>'TCD TO série 3'!L8</f>
        <v>0</v>
      </c>
      <c r="M27" s="71">
        <f>'TCD TO série 3'!M8</f>
        <v>0</v>
      </c>
      <c r="N27" s="71">
        <f>'TCD TO série 3'!N8</f>
        <v>0</v>
      </c>
      <c r="O27" s="71">
        <f>'TCD TO série 3'!O8</f>
        <v>0</v>
      </c>
      <c r="P27" s="71">
        <f>'TCD TO série 3'!P8</f>
        <v>0</v>
      </c>
      <c r="Q27" s="71">
        <f>'TCD TO série 3'!Q8</f>
        <v>0</v>
      </c>
      <c r="R27" s="71">
        <f>'TCD TO série 3'!R8</f>
        <v>0</v>
      </c>
      <c r="S27" s="71">
        <f>'TCD TO série 3'!S8</f>
        <v>0</v>
      </c>
      <c r="T27" s="71">
        <f>'TCD TO série 3'!T8</f>
        <v>0</v>
      </c>
      <c r="U27" s="71">
        <f>'TCD TO série 3'!U8</f>
        <v>0</v>
      </c>
      <c r="V27" s="71">
        <f>'TCD TO série 3'!V8</f>
        <v>0</v>
      </c>
      <c r="W27" s="71">
        <f>'TCD TO série 3'!W8</f>
        <v>0</v>
      </c>
      <c r="X27" s="71">
        <f>'TCD TO série 3'!X8</f>
        <v>0</v>
      </c>
      <c r="Y27" s="71">
        <f>'TCD TO série 3'!Y8</f>
        <v>0</v>
      </c>
      <c r="Z27" s="71">
        <f>'TCD TO série 3'!Z8</f>
        <v>0</v>
      </c>
      <c r="AA27" s="71">
        <f>'TCD TO série 3'!AA8</f>
        <v>0</v>
      </c>
      <c r="AB27" s="71">
        <f>'TCD TO série 3'!AB8</f>
        <v>0</v>
      </c>
      <c r="AC27" s="71">
        <f>'TCD TO série 3'!AC8</f>
        <v>0</v>
      </c>
      <c r="AD27" s="71">
        <f>'TCD TO série 3'!AD8</f>
        <v>0</v>
      </c>
      <c r="AE27" s="71">
        <f>'TCD TO série 3'!AE8</f>
        <v>0</v>
      </c>
      <c r="AF27" s="71">
        <f>'TCD TO série 3'!AF8</f>
        <v>0</v>
      </c>
      <c r="AG27" s="71">
        <f>'TCD TO série 3'!AG8</f>
        <v>0</v>
      </c>
      <c r="AH27" s="71">
        <f>'TCD TO série 3'!AH8</f>
        <v>0</v>
      </c>
      <c r="AI27" s="71">
        <f>'TCD TO série 3'!AI8</f>
        <v>0</v>
      </c>
      <c r="AJ27" s="71">
        <f>'TCD TO série 3'!AJ8</f>
        <v>0</v>
      </c>
      <c r="AK27" s="71">
        <f>'TCD TO série 3'!AK8</f>
        <v>0</v>
      </c>
      <c r="AL27" s="71">
        <f>'TCD TO série 3'!AL8</f>
        <v>0</v>
      </c>
      <c r="AM27" s="71">
        <f>'TCD TO série 3'!AM8</f>
        <v>0</v>
      </c>
      <c r="AN27" s="71">
        <f>'TCD TO série 3'!AN8</f>
        <v>0</v>
      </c>
      <c r="AO27" s="71">
        <f>'TCD TO série 3'!AO8</f>
        <v>0</v>
      </c>
      <c r="AP27" s="71">
        <f>'TCD TO série 3'!AP8</f>
        <v>0</v>
      </c>
      <c r="AQ27" s="71">
        <f>'TCD TO série 3'!AQ8</f>
        <v>0</v>
      </c>
      <c r="AR27" s="71">
        <f>'TCD TO série 3'!AR8</f>
        <v>0</v>
      </c>
      <c r="AS27" s="71">
        <f>'TCD TO série 1'!AS28</f>
        <v>0</v>
      </c>
      <c r="AT27" s="71">
        <f>'TCD TO série 1'!AT28</f>
        <v>0</v>
      </c>
    </row>
    <row r="28" spans="1:46" x14ac:dyDescent="0.25">
      <c r="A28" s="82" t="s">
        <v>22</v>
      </c>
      <c r="B28" s="71">
        <f>'TCD TO série 3'!B9</f>
        <v>4.6296296296296308E-2</v>
      </c>
      <c r="C28" s="71">
        <f>'TCD TO série 3'!C9</f>
        <v>4.6296296296296308E-2</v>
      </c>
      <c r="D28" s="71">
        <f>'TCD TO série 3'!D9</f>
        <v>1.5267175572519064E-3</v>
      </c>
      <c r="E28" s="71">
        <f>'TCD TO série 3'!E9</f>
        <v>1.5267175572519064E-3</v>
      </c>
      <c r="F28" s="71">
        <f>'TCD TO série 3'!F9</f>
        <v>2.8985507246376799E-3</v>
      </c>
      <c r="G28" s="71">
        <f>'TCD TO série 3'!G9</f>
        <v>2.8985507246376799E-3</v>
      </c>
      <c r="H28" s="71">
        <f>'TCD TO série 3'!H9</f>
        <v>0</v>
      </c>
      <c r="I28" s="71">
        <f>'TCD TO série 3'!I9</f>
        <v>0</v>
      </c>
      <c r="J28" s="71">
        <f>'TCD TO série 3'!J9</f>
        <v>4.5454545454545421E-2</v>
      </c>
      <c r="K28" s="71">
        <f>'TCD TO série 3'!K9</f>
        <v>4.5454545454545421E-2</v>
      </c>
      <c r="L28" s="71">
        <f>'TCD TO série 3'!L9</f>
        <v>3.5398230088495575E-3</v>
      </c>
      <c r="M28" s="71">
        <f>'TCD TO série 3'!M9</f>
        <v>3.5398230088495575E-3</v>
      </c>
      <c r="N28" s="71">
        <f>'TCD TO série 3'!N9</f>
        <v>0</v>
      </c>
      <c r="O28" s="71">
        <f>'TCD TO série 3'!O9</f>
        <v>0</v>
      </c>
      <c r="P28" s="71">
        <f>'TCD TO série 3'!P9</f>
        <v>7.9207920792079192E-3</v>
      </c>
      <c r="Q28" s="71">
        <f>'TCD TO série 3'!Q9</f>
        <v>7.9207920792079192E-3</v>
      </c>
      <c r="R28" s="71">
        <f>'TCD TO série 3'!R9</f>
        <v>0</v>
      </c>
      <c r="S28" s="71">
        <f>'TCD TO série 3'!S9</f>
        <v>0</v>
      </c>
      <c r="T28" s="71">
        <f>'TCD TO série 3'!T9</f>
        <v>1.5018773466833538E-2</v>
      </c>
      <c r="U28" s="71">
        <f>'TCD TO série 3'!U9</f>
        <v>1.5018773466833538E-2</v>
      </c>
      <c r="V28" s="71">
        <f>'TCD TO série 3'!V9</f>
        <v>0.1204188481675392</v>
      </c>
      <c r="W28" s="71">
        <f>'TCD TO série 3'!W9</f>
        <v>0.1204188481675392</v>
      </c>
      <c r="X28" s="71">
        <f>'TCD TO série 3'!X9</f>
        <v>8.3732057416267935E-2</v>
      </c>
      <c r="Y28" s="71">
        <f>'TCD TO série 3'!Y9</f>
        <v>8.3732057416267935E-2</v>
      </c>
      <c r="Z28" s="71">
        <f>'TCD TO série 3'!Z9</f>
        <v>0</v>
      </c>
      <c r="AA28" s="71">
        <f>'TCD TO série 3'!AA9</f>
        <v>0</v>
      </c>
      <c r="AB28" s="71">
        <f>'TCD TO série 3'!AB9</f>
        <v>1.9607843137254905E-2</v>
      </c>
      <c r="AC28" s="71">
        <f>'TCD TO série 3'!AC9</f>
        <v>1.9607843137254905E-2</v>
      </c>
      <c r="AD28" s="71">
        <f>'TCD TO série 3'!AD9</f>
        <v>0</v>
      </c>
      <c r="AE28" s="71">
        <f>'TCD TO série 3'!AE9</f>
        <v>0</v>
      </c>
      <c r="AF28" s="71">
        <f>'TCD TO série 3'!AF9</f>
        <v>4.7085201793722005E-2</v>
      </c>
      <c r="AG28" s="71">
        <f>'TCD TO série 3'!AG9</f>
        <v>4.7085201793722005E-2</v>
      </c>
      <c r="AH28" s="71">
        <f>'TCD TO série 3'!AH9</f>
        <v>0.6732673267326732</v>
      </c>
      <c r="AI28" s="71">
        <f>'TCD TO série 3'!AI9</f>
        <v>0.6732673267326732</v>
      </c>
      <c r="AJ28" s="71">
        <f>'TCD TO série 3'!AJ9</f>
        <v>3.2000000000000015E-2</v>
      </c>
      <c r="AK28" s="71">
        <f>'TCD TO série 3'!AK9</f>
        <v>3.2000000000000015E-2</v>
      </c>
      <c r="AL28" s="71">
        <f>'TCD TO série 3'!AL9</f>
        <v>3.7453183520599208E-3</v>
      </c>
      <c r="AM28" s="71">
        <f>'TCD TO série 3'!AM9</f>
        <v>3.7453183520599208E-3</v>
      </c>
      <c r="AN28" s="71">
        <f>'TCD TO série 3'!AN9</f>
        <v>4.2168674698795199E-2</v>
      </c>
      <c r="AO28" s="71">
        <f>'TCD TO série 3'!AO9</f>
        <v>4.2168674698795199E-2</v>
      </c>
      <c r="AP28" s="71">
        <f>'TCD TO série 3'!AP9</f>
        <v>6.6445182724252493E-3</v>
      </c>
      <c r="AQ28" s="71">
        <f>'TCD TO série 3'!AQ9</f>
        <v>6.6445182724252493E-3</v>
      </c>
      <c r="AR28" s="71">
        <f>'TCD TO série 3'!AR9</f>
        <v>0</v>
      </c>
      <c r="AS28" s="71">
        <f>'TCD TO série 1'!AS29</f>
        <v>0</v>
      </c>
      <c r="AT28" s="71">
        <f>'TCD TO série 1'!AT29</f>
        <v>0</v>
      </c>
    </row>
    <row r="29" spans="1:46" x14ac:dyDescent="0.25">
      <c r="A29" s="82" t="s">
        <v>23</v>
      </c>
      <c r="B29" s="71">
        <f>'TCD TO série 3'!B10</f>
        <v>0.13888888888888892</v>
      </c>
      <c r="C29" s="71">
        <f>'TCD TO série 3'!C10</f>
        <v>0.13888888888888892</v>
      </c>
      <c r="D29" s="71">
        <f>'TCD TO série 3'!D10</f>
        <v>0.4580152671755725</v>
      </c>
      <c r="E29" s="71">
        <f>'TCD TO série 3'!E10</f>
        <v>0.4580152671755725</v>
      </c>
      <c r="F29" s="71">
        <f>'TCD TO série 3'!F10</f>
        <v>0.73623188405797091</v>
      </c>
      <c r="G29" s="71">
        <f>'TCD TO série 3'!G10</f>
        <v>0.73623188405797091</v>
      </c>
      <c r="H29" s="71">
        <f>'TCD TO série 3'!H10</f>
        <v>0.23529411764705885</v>
      </c>
      <c r="I29" s="71">
        <f>'TCD TO série 3'!I10</f>
        <v>0.23529411764705885</v>
      </c>
      <c r="J29" s="71">
        <f>'TCD TO série 3'!J10</f>
        <v>4.5454545454545518E-2</v>
      </c>
      <c r="K29" s="71">
        <f>'TCD TO série 3'!K10</f>
        <v>4.5454545454545518E-2</v>
      </c>
      <c r="L29" s="71">
        <f>'TCD TO série 3'!L10</f>
        <v>0.85663716814159296</v>
      </c>
      <c r="M29" s="71">
        <f>'TCD TO série 3'!M10</f>
        <v>0.85663716814159296</v>
      </c>
      <c r="N29" s="71">
        <f>'TCD TO série 3'!N10</f>
        <v>0.43877551020408168</v>
      </c>
      <c r="O29" s="71">
        <f>'TCD TO série 3'!O10</f>
        <v>0.43877551020408168</v>
      </c>
      <c r="P29" s="71">
        <f>'TCD TO série 3'!P10</f>
        <v>0.17821782178217821</v>
      </c>
      <c r="Q29" s="71">
        <f>'TCD TO série 3'!Q10</f>
        <v>0.17821782178217821</v>
      </c>
      <c r="R29" s="71">
        <f>'TCD TO série 3'!R10</f>
        <v>6.8493150684931517E-2</v>
      </c>
      <c r="S29" s="71">
        <f>'TCD TO série 3'!S10</f>
        <v>6.8493150684931517E-2</v>
      </c>
      <c r="T29" s="71">
        <f>'TCD TO série 3'!T10</f>
        <v>0.19649561952440553</v>
      </c>
      <c r="U29" s="71">
        <f>'TCD TO série 3'!U10</f>
        <v>0.19649561952440553</v>
      </c>
      <c r="V29" s="71">
        <f>'TCD TO série 3'!V10</f>
        <v>7.3298429319371736E-2</v>
      </c>
      <c r="W29" s="71">
        <f>'TCD TO série 3'!W10</f>
        <v>7.3298429319371736E-2</v>
      </c>
      <c r="X29" s="71">
        <f>'TCD TO série 3'!X10</f>
        <v>0.14114832535885169</v>
      </c>
      <c r="Y29" s="71">
        <f>'TCD TO série 3'!Y10</f>
        <v>0.14114832535885169</v>
      </c>
      <c r="Z29" s="71">
        <f>'TCD TO série 3'!Z10</f>
        <v>6.7114093959731473E-3</v>
      </c>
      <c r="AA29" s="71">
        <f>'TCD TO série 3'!AA10</f>
        <v>6.7114093959731473E-3</v>
      </c>
      <c r="AB29" s="71">
        <f>'TCD TO série 3'!AB10</f>
        <v>0.30718954248366009</v>
      </c>
      <c r="AC29" s="71">
        <f>'TCD TO série 3'!AC10</f>
        <v>0.30718954248366009</v>
      </c>
      <c r="AD29" s="71">
        <f>'TCD TO série 3'!AD10</f>
        <v>6.4896755162241929E-2</v>
      </c>
      <c r="AE29" s="71">
        <f>'TCD TO série 3'!AE10</f>
        <v>6.4896755162241929E-2</v>
      </c>
      <c r="AF29" s="71">
        <f>'TCD TO série 3'!AF10</f>
        <v>4.4843049327354209E-2</v>
      </c>
      <c r="AG29" s="71">
        <f>'TCD TO série 3'!AG10</f>
        <v>4.4843049327354209E-2</v>
      </c>
      <c r="AH29" s="71">
        <f>'TCD TO série 3'!AH10</f>
        <v>6.9306930693069327E-2</v>
      </c>
      <c r="AI29" s="71">
        <f>'TCD TO série 3'!AI10</f>
        <v>6.9306930693069327E-2</v>
      </c>
      <c r="AJ29" s="71">
        <f>'TCD TO série 3'!AJ10</f>
        <v>7.1999999999999925E-2</v>
      </c>
      <c r="AK29" s="71">
        <f>'TCD TO série 3'!AK10</f>
        <v>7.1999999999999925E-2</v>
      </c>
      <c r="AL29" s="71">
        <f>'TCD TO série 3'!AL10</f>
        <v>1.872659176029963E-2</v>
      </c>
      <c r="AM29" s="71">
        <f>'TCD TO série 3'!AM10</f>
        <v>1.872659176029963E-2</v>
      </c>
      <c r="AN29" s="71">
        <f>'TCD TO série 3'!AN10</f>
        <v>5.421686746987954E-2</v>
      </c>
      <c r="AO29" s="71">
        <f>'TCD TO série 3'!AO10</f>
        <v>5.421686746987954E-2</v>
      </c>
      <c r="AP29" s="71">
        <f>'TCD TO série 3'!AP10</f>
        <v>0.11960132890365444</v>
      </c>
      <c r="AQ29" s="71">
        <f>'TCD TO série 3'!AQ10</f>
        <v>0.11960132890365444</v>
      </c>
      <c r="AR29" s="71">
        <f>'TCD TO série 3'!AR10</f>
        <v>0.52549019607843128</v>
      </c>
      <c r="AS29" s="71">
        <f>'TCD TO série 1'!AS30</f>
        <v>0</v>
      </c>
      <c r="AT29" s="71">
        <f>'TCD TO série 1'!AT30</f>
        <v>0</v>
      </c>
    </row>
    <row r="30" spans="1:46" x14ac:dyDescent="0.25">
      <c r="A30" s="82" t="s">
        <v>60</v>
      </c>
      <c r="B30" s="71">
        <f>'TCD TO série 3'!B11</f>
        <v>0.15740740740740738</v>
      </c>
      <c r="C30" s="71">
        <f>'TCD TO série 3'!C11</f>
        <v>0.15740740740740738</v>
      </c>
      <c r="D30" s="71">
        <f>'TCD TO série 3'!D11</f>
        <v>6.1068702290076327E-3</v>
      </c>
      <c r="E30" s="71">
        <f>'TCD TO série 3'!E11</f>
        <v>6.1068702290076327E-3</v>
      </c>
      <c r="F30" s="71">
        <f>'TCD TO série 3'!F11</f>
        <v>8.6956521739130453E-3</v>
      </c>
      <c r="G30" s="71">
        <f>'TCD TO série 3'!G11</f>
        <v>8.6956521739130453E-3</v>
      </c>
      <c r="H30" s="71">
        <f>'TCD TO série 3'!H11</f>
        <v>1.5686274509803921E-2</v>
      </c>
      <c r="I30" s="71">
        <f>'TCD TO série 3'!I11</f>
        <v>1.5686274509803921E-2</v>
      </c>
      <c r="J30" s="71">
        <f>'TCD TO série 3'!J11</f>
        <v>4.5454545454545421E-2</v>
      </c>
      <c r="K30" s="71">
        <f>'TCD TO série 3'!K11</f>
        <v>4.5454545454545421E-2</v>
      </c>
      <c r="L30" s="71">
        <f>'TCD TO série 3'!L11</f>
        <v>1.7699115044247768E-3</v>
      </c>
      <c r="M30" s="71">
        <f>'TCD TO série 3'!M11</f>
        <v>1.7699115044247768E-3</v>
      </c>
      <c r="N30" s="71">
        <f>'TCD TO série 3'!N11</f>
        <v>0</v>
      </c>
      <c r="O30" s="71">
        <f>'TCD TO série 3'!O11</f>
        <v>0</v>
      </c>
      <c r="P30" s="71">
        <f>'TCD TO série 3'!P11</f>
        <v>1.9801980198019776E-3</v>
      </c>
      <c r="Q30" s="71">
        <f>'TCD TO série 3'!Q11</f>
        <v>1.9801980198019776E-3</v>
      </c>
      <c r="R30" s="71">
        <f>'TCD TO série 3'!R11</f>
        <v>0</v>
      </c>
      <c r="S30" s="71">
        <f>'TCD TO série 3'!S11</f>
        <v>0</v>
      </c>
      <c r="T30" s="71">
        <f>'TCD TO série 3'!T11</f>
        <v>3.7546933667083832E-3</v>
      </c>
      <c r="U30" s="71">
        <f>'TCD TO série 3'!U11</f>
        <v>3.7546933667083832E-3</v>
      </c>
      <c r="V30" s="71">
        <f>'TCD TO série 3'!V11</f>
        <v>2.6178010471204185E-2</v>
      </c>
      <c r="W30" s="71">
        <f>'TCD TO série 3'!W11</f>
        <v>2.6178010471204185E-2</v>
      </c>
      <c r="X30" s="71">
        <f>'TCD TO série 3'!X11</f>
        <v>6.6985645933014287E-2</v>
      </c>
      <c r="Y30" s="71">
        <f>'TCD TO série 3'!Y11</f>
        <v>6.6985645933014287E-2</v>
      </c>
      <c r="Z30" s="71">
        <f>'TCD TO série 3'!Z11</f>
        <v>0</v>
      </c>
      <c r="AA30" s="71">
        <f>'TCD TO série 3'!AA11</f>
        <v>0</v>
      </c>
      <c r="AB30" s="71">
        <f>'TCD TO série 3'!AB11</f>
        <v>8.1699346405228798E-3</v>
      </c>
      <c r="AC30" s="71">
        <f>'TCD TO série 3'!AC11</f>
        <v>8.1699346405228798E-3</v>
      </c>
      <c r="AD30" s="71">
        <f>'TCD TO série 3'!AD11</f>
        <v>5.8997050147492642E-3</v>
      </c>
      <c r="AE30" s="71">
        <f>'TCD TO série 3'!AE11</f>
        <v>5.8997050147492642E-3</v>
      </c>
      <c r="AF30" s="71">
        <f>'TCD TO série 3'!AF11</f>
        <v>2.0179372197309427E-2</v>
      </c>
      <c r="AG30" s="71">
        <f>'TCD TO série 3'!AG11</f>
        <v>2.0179372197309427E-2</v>
      </c>
      <c r="AH30" s="71">
        <f>'TCD TO série 3'!AH11</f>
        <v>2.4752475247524761E-2</v>
      </c>
      <c r="AI30" s="71">
        <f>'TCD TO série 3'!AI11</f>
        <v>2.4752475247524761E-2</v>
      </c>
      <c r="AJ30" s="71">
        <f>'TCD TO série 3'!AJ11</f>
        <v>7.9999999999999766E-2</v>
      </c>
      <c r="AK30" s="71">
        <f>'TCD TO série 3'!AK11</f>
        <v>7.9999999999999766E-2</v>
      </c>
      <c r="AL30" s="71">
        <f>'TCD TO série 3'!AL11</f>
        <v>0.48689138576779034</v>
      </c>
      <c r="AM30" s="71">
        <f>'TCD TO série 3'!AM11</f>
        <v>0.48689138576779034</v>
      </c>
      <c r="AN30" s="71">
        <f>'TCD TO série 3'!AN11</f>
        <v>6.6265060240963763E-2</v>
      </c>
      <c r="AO30" s="71">
        <f>'TCD TO série 3'!AO11</f>
        <v>6.6265060240963763E-2</v>
      </c>
      <c r="AP30" s="71">
        <f>'TCD TO série 3'!AP11</f>
        <v>4.9833887043189376E-2</v>
      </c>
      <c r="AQ30" s="71">
        <f>'TCD TO série 3'!AQ11</f>
        <v>4.9833887043189376E-2</v>
      </c>
      <c r="AR30" s="71">
        <f>'TCD TO série 3'!AR11</f>
        <v>7.8431372549019641E-3</v>
      </c>
      <c r="AS30" s="71">
        <f>'TCD TO série 1'!AS31</f>
        <v>0</v>
      </c>
      <c r="AT30" s="71">
        <f>'TCD TO série 1'!AT31</f>
        <v>0</v>
      </c>
    </row>
    <row r="31" spans="1:46" x14ac:dyDescent="0.25">
      <c r="A31" s="82" t="s">
        <v>57</v>
      </c>
      <c r="B31" s="71">
        <f>'TCD TO série 3'!B12</f>
        <v>0.17592592592592593</v>
      </c>
      <c r="C31" s="71">
        <f>'TCD TO série 3'!C12</f>
        <v>0.17592592592592593</v>
      </c>
      <c r="D31" s="71">
        <f>'TCD TO série 3'!D12</f>
        <v>4.5801526717557228E-3</v>
      </c>
      <c r="E31" s="71">
        <f>'TCD TO série 3'!E12</f>
        <v>4.5801526717557228E-3</v>
      </c>
      <c r="F31" s="71">
        <f>'TCD TO série 3'!F12</f>
        <v>5.7971014492753659E-3</v>
      </c>
      <c r="G31" s="71">
        <f>'TCD TO série 3'!G12</f>
        <v>5.7971014492753659E-3</v>
      </c>
      <c r="H31" s="71">
        <f>'TCD TO série 3'!H12</f>
        <v>3.921568627450976E-3</v>
      </c>
      <c r="I31" s="71">
        <f>'TCD TO série 3'!I12</f>
        <v>3.921568627450976E-3</v>
      </c>
      <c r="J31" s="71">
        <f>'TCD TO série 3'!J12</f>
        <v>0.13636363636363635</v>
      </c>
      <c r="K31" s="71">
        <f>'TCD TO série 3'!K12</f>
        <v>0.13636363636363635</v>
      </c>
      <c r="L31" s="71">
        <f>'TCD TO série 3'!L12</f>
        <v>1.7699115044247768E-3</v>
      </c>
      <c r="M31" s="71">
        <f>'TCD TO série 3'!M12</f>
        <v>1.7699115044247768E-3</v>
      </c>
      <c r="N31" s="71">
        <f>'TCD TO série 3'!N12</f>
        <v>0</v>
      </c>
      <c r="O31" s="71">
        <f>'TCD TO série 3'!O12</f>
        <v>0</v>
      </c>
      <c r="P31" s="71">
        <f>'TCD TO série 3'!P12</f>
        <v>1.1881188118811878E-2</v>
      </c>
      <c r="Q31" s="71">
        <f>'TCD TO série 3'!Q12</f>
        <v>1.1881188118811878E-2</v>
      </c>
      <c r="R31" s="71">
        <f>'TCD TO série 3'!R12</f>
        <v>0.16438356164383555</v>
      </c>
      <c r="S31" s="71">
        <f>'TCD TO série 3'!S12</f>
        <v>0.16438356164383555</v>
      </c>
      <c r="T31" s="71">
        <f>'TCD TO série 3'!T12</f>
        <v>0.28035043804755944</v>
      </c>
      <c r="U31" s="71">
        <f>'TCD TO série 3'!U12</f>
        <v>0.28035043804755944</v>
      </c>
      <c r="V31" s="71">
        <f>'TCD TO série 3'!V12</f>
        <v>6.5445026178010471E-2</v>
      </c>
      <c r="W31" s="71">
        <f>'TCD TO série 3'!W12</f>
        <v>6.5445026178010471E-2</v>
      </c>
      <c r="X31" s="71">
        <f>'TCD TO série 3'!X12</f>
        <v>5.2631578947368432E-2</v>
      </c>
      <c r="Y31" s="71">
        <f>'TCD TO série 3'!Y12</f>
        <v>5.2631578947368432E-2</v>
      </c>
      <c r="Z31" s="71">
        <f>'TCD TO série 3'!Z12</f>
        <v>0.15436241610738238</v>
      </c>
      <c r="AA31" s="71">
        <f>'TCD TO série 3'!AA12</f>
        <v>0.15436241610738238</v>
      </c>
      <c r="AB31" s="71">
        <f>'TCD TO série 3'!AB12</f>
        <v>1.633986928104576E-2</v>
      </c>
      <c r="AC31" s="71">
        <f>'TCD TO série 3'!AC12</f>
        <v>1.633986928104576E-2</v>
      </c>
      <c r="AD31" s="71">
        <f>'TCD TO série 3'!AD12</f>
        <v>0.42772861356932151</v>
      </c>
      <c r="AE31" s="71">
        <f>'TCD TO série 3'!AE12</f>
        <v>0.42772861356932151</v>
      </c>
      <c r="AF31" s="71">
        <f>'TCD TO série 3'!AF12</f>
        <v>0.11210762331838572</v>
      </c>
      <c r="AG31" s="71">
        <f>'TCD TO série 3'!AG12</f>
        <v>0.11210762331838572</v>
      </c>
      <c r="AH31" s="71">
        <f>'TCD TO série 3'!AH12</f>
        <v>3.9603960396039611E-2</v>
      </c>
      <c r="AI31" s="71">
        <f>'TCD TO série 3'!AI12</f>
        <v>3.9603960396039611E-2</v>
      </c>
      <c r="AJ31" s="71">
        <f>'TCD TO série 3'!AJ12</f>
        <v>0.18399999999999989</v>
      </c>
      <c r="AK31" s="71">
        <f>'TCD TO série 3'!AK12</f>
        <v>0.18399999999999989</v>
      </c>
      <c r="AL31" s="71">
        <f>'TCD TO série 3'!AL12</f>
        <v>0.12734082397003743</v>
      </c>
      <c r="AM31" s="71">
        <f>'TCD TO série 3'!AM12</f>
        <v>0.12734082397003743</v>
      </c>
      <c r="AN31" s="71">
        <f>'TCD TO série 3'!AN12</f>
        <v>0.18072289156626517</v>
      </c>
      <c r="AO31" s="71">
        <f>'TCD TO série 3'!AO12</f>
        <v>0.18072289156626517</v>
      </c>
      <c r="AP31" s="71">
        <f>'TCD TO série 3'!AP12</f>
        <v>8.3056478405315631E-2</v>
      </c>
      <c r="AQ31" s="71">
        <f>'TCD TO série 3'!AQ12</f>
        <v>8.3056478405315631E-2</v>
      </c>
      <c r="AR31" s="71">
        <f>'TCD TO série 3'!AR12</f>
        <v>7.8431372549019641E-3</v>
      </c>
      <c r="AS31" s="71">
        <f>'TCD TO série 1'!AS32</f>
        <v>0</v>
      </c>
      <c r="AT31" s="71">
        <f>'TCD TO série 1'!AT32</f>
        <v>0</v>
      </c>
    </row>
    <row r="32" spans="1:46" x14ac:dyDescent="0.25">
      <c r="A32" s="82" t="s">
        <v>59</v>
      </c>
      <c r="B32" s="71">
        <f>'TCD TO série 3'!B13</f>
        <v>4.6296296296296308E-2</v>
      </c>
      <c r="C32" s="71">
        <f>'TCD TO série 3'!C13</f>
        <v>4.6296296296296308E-2</v>
      </c>
      <c r="D32" s="71">
        <f>'TCD TO série 3'!D13</f>
        <v>0.38015267175572515</v>
      </c>
      <c r="E32" s="71">
        <f>'TCD TO série 3'!E13</f>
        <v>0.38015267175572515</v>
      </c>
      <c r="F32" s="71">
        <f>'TCD TO série 3'!F13</f>
        <v>0.15652173913043491</v>
      </c>
      <c r="G32" s="71">
        <f>'TCD TO série 3'!G13</f>
        <v>0.15652173913043491</v>
      </c>
      <c r="H32" s="71">
        <f>'TCD TO série 3'!H13</f>
        <v>0.67450980392156867</v>
      </c>
      <c r="I32" s="71">
        <f>'TCD TO série 3'!I13</f>
        <v>0.67450980392156867</v>
      </c>
      <c r="J32" s="71">
        <f>'TCD TO série 3'!J13</f>
        <v>9.0909090909090939E-2</v>
      </c>
      <c r="K32" s="71">
        <f>'TCD TO série 3'!K13</f>
        <v>9.0909090909090939E-2</v>
      </c>
      <c r="L32" s="71">
        <f>'TCD TO série 3'!L13</f>
        <v>8.6725663716814158E-2</v>
      </c>
      <c r="M32" s="71">
        <f>'TCD TO série 3'!M13</f>
        <v>8.6725663716814158E-2</v>
      </c>
      <c r="N32" s="71">
        <f>'TCD TO série 3'!N13</f>
        <v>0.51020408163265307</v>
      </c>
      <c r="O32" s="71">
        <f>'TCD TO série 3'!O13</f>
        <v>0.51020408163265307</v>
      </c>
      <c r="P32" s="71">
        <f>'TCD TO série 3'!P13</f>
        <v>3.3663366336633659E-2</v>
      </c>
      <c r="Q32" s="71">
        <f>'TCD TO série 3'!Q13</f>
        <v>3.3663366336633659E-2</v>
      </c>
      <c r="R32" s="71">
        <f>'TCD TO série 3'!R13</f>
        <v>0</v>
      </c>
      <c r="S32" s="71">
        <f>'TCD TO série 3'!S13</f>
        <v>0</v>
      </c>
      <c r="T32" s="71">
        <f>'TCD TO série 3'!T13</f>
        <v>4.8811013767209005E-2</v>
      </c>
      <c r="U32" s="71">
        <f>'TCD TO série 3'!U13</f>
        <v>4.8811013767209005E-2</v>
      </c>
      <c r="V32" s="71">
        <f>'TCD TO série 3'!V13</f>
        <v>5.2356020942408363E-3</v>
      </c>
      <c r="W32" s="71">
        <f>'TCD TO série 3'!W13</f>
        <v>5.2356020942408363E-3</v>
      </c>
      <c r="X32" s="71">
        <f>'TCD TO série 3'!X13</f>
        <v>5.5023923444976072E-2</v>
      </c>
      <c r="Y32" s="71">
        <f>'TCD TO série 3'!Y13</f>
        <v>5.5023923444976072E-2</v>
      </c>
      <c r="Z32" s="71">
        <f>'TCD TO série 3'!Z13</f>
        <v>1.3422818791946308E-2</v>
      </c>
      <c r="AA32" s="71">
        <f>'TCD TO série 3'!AA13</f>
        <v>1.3422818791946308E-2</v>
      </c>
      <c r="AB32" s="71">
        <f>'TCD TO série 3'!AB13</f>
        <v>8.8235294117647106E-2</v>
      </c>
      <c r="AC32" s="71">
        <f>'TCD TO série 3'!AC13</f>
        <v>8.8235294117647106E-2</v>
      </c>
      <c r="AD32" s="71">
        <f>'TCD TO série 3'!AD13</f>
        <v>2.3598820058997057E-2</v>
      </c>
      <c r="AE32" s="71">
        <f>'TCD TO série 3'!AE13</f>
        <v>2.3598820058997057E-2</v>
      </c>
      <c r="AF32" s="71">
        <f>'TCD TO série 3'!AF13</f>
        <v>2.4663677130044859E-2</v>
      </c>
      <c r="AG32" s="71">
        <f>'TCD TO série 3'!AG13</f>
        <v>2.4663677130044859E-2</v>
      </c>
      <c r="AH32" s="71">
        <f>'TCD TO série 3'!AH13</f>
        <v>2.4752475247524761E-2</v>
      </c>
      <c r="AI32" s="71">
        <f>'TCD TO série 3'!AI13</f>
        <v>2.4752475247524761E-2</v>
      </c>
      <c r="AJ32" s="71">
        <f>'TCD TO série 3'!AJ13</f>
        <v>9.6000000000000071E-2</v>
      </c>
      <c r="AK32" s="71">
        <f>'TCD TO série 3'!AK13</f>
        <v>9.6000000000000071E-2</v>
      </c>
      <c r="AL32" s="71">
        <f>'TCD TO série 3'!AL13</f>
        <v>1.123595505617977E-2</v>
      </c>
      <c r="AM32" s="71">
        <f>'TCD TO série 3'!AM13</f>
        <v>1.123595505617977E-2</v>
      </c>
      <c r="AN32" s="71">
        <f>'TCD TO série 3'!AN13</f>
        <v>0</v>
      </c>
      <c r="AO32" s="71">
        <f>'TCD TO série 3'!AO13</f>
        <v>0</v>
      </c>
      <c r="AP32" s="71">
        <f>'TCD TO série 3'!AP13</f>
        <v>7.9734219269102999E-2</v>
      </c>
      <c r="AQ32" s="71">
        <f>'TCD TO série 3'!AQ13</f>
        <v>7.9734219269102999E-2</v>
      </c>
      <c r="AR32" s="71">
        <f>'TCD TO série 3'!AR13</f>
        <v>0.3176470588235295</v>
      </c>
      <c r="AS32" s="71">
        <f>'TCD TO série 1'!AS33</f>
        <v>0</v>
      </c>
      <c r="AT32" s="71">
        <f>'TCD TO série 1'!AT33</f>
        <v>0</v>
      </c>
    </row>
    <row r="33" spans="1:58" x14ac:dyDescent="0.25">
      <c r="A33" s="82" t="s">
        <v>200</v>
      </c>
      <c r="B33" s="71">
        <f>'TCD TO série 3'!B14</f>
        <v>0</v>
      </c>
      <c r="C33" s="71">
        <f>'TCD TO série 3'!C14</f>
        <v>0</v>
      </c>
      <c r="D33" s="71">
        <f>'TCD TO série 3'!D14</f>
        <v>5.9541984732824425E-2</v>
      </c>
      <c r="E33" s="71">
        <f>'TCD TO série 3'!E14</f>
        <v>5.9541984732824425E-2</v>
      </c>
      <c r="F33" s="71">
        <f>'TCD TO série 3'!F14</f>
        <v>0</v>
      </c>
      <c r="G33" s="71">
        <f>'TCD TO série 3'!G14</f>
        <v>0</v>
      </c>
      <c r="H33" s="71">
        <f>'TCD TO série 3'!H14</f>
        <v>0</v>
      </c>
      <c r="I33" s="71">
        <f>'TCD TO série 3'!I14</f>
        <v>0</v>
      </c>
      <c r="J33" s="71">
        <f>'TCD TO série 3'!J14</f>
        <v>0</v>
      </c>
      <c r="K33" s="71">
        <f>'TCD TO série 3'!K14</f>
        <v>0</v>
      </c>
      <c r="L33" s="71">
        <f>'TCD TO série 3'!L14</f>
        <v>0</v>
      </c>
      <c r="M33" s="71">
        <f>'TCD TO série 3'!M14</f>
        <v>0</v>
      </c>
      <c r="N33" s="71">
        <f>'TCD TO série 3'!N14</f>
        <v>0</v>
      </c>
      <c r="O33" s="71">
        <f>'TCD TO série 3'!O14</f>
        <v>0</v>
      </c>
      <c r="P33" s="71">
        <f>'TCD TO série 3'!P14</f>
        <v>0.59405940594059403</v>
      </c>
      <c r="Q33" s="71">
        <f>'TCD TO série 3'!Q14</f>
        <v>0.59405940594059403</v>
      </c>
      <c r="R33" s="71">
        <f>'TCD TO série 3'!R14</f>
        <v>0</v>
      </c>
      <c r="S33" s="71">
        <f>'TCD TO série 3'!S14</f>
        <v>0</v>
      </c>
      <c r="T33" s="71">
        <f>'TCD TO série 3'!T14</f>
        <v>0</v>
      </c>
      <c r="U33" s="71">
        <f>'TCD TO série 3'!U14</f>
        <v>0</v>
      </c>
      <c r="V33" s="71">
        <f>'TCD TO série 3'!V14</f>
        <v>0</v>
      </c>
      <c r="W33" s="71">
        <f>'TCD TO série 3'!W14</f>
        <v>0</v>
      </c>
      <c r="X33" s="71">
        <f>'TCD TO série 3'!X14</f>
        <v>0</v>
      </c>
      <c r="Y33" s="71">
        <f>'TCD TO série 3'!Y14</f>
        <v>0</v>
      </c>
      <c r="Z33" s="71">
        <f>'TCD TO série 3'!Z14</f>
        <v>0</v>
      </c>
      <c r="AA33" s="71">
        <f>'TCD TO série 3'!AA14</f>
        <v>0</v>
      </c>
      <c r="AB33" s="71">
        <f>'TCD TO série 3'!AB14</f>
        <v>0</v>
      </c>
      <c r="AC33" s="71">
        <f>'TCD TO série 3'!AC14</f>
        <v>0</v>
      </c>
      <c r="AD33" s="71">
        <f>'TCD TO série 3'!AD14</f>
        <v>0</v>
      </c>
      <c r="AE33" s="71">
        <f>'TCD TO série 3'!AE14</f>
        <v>0</v>
      </c>
      <c r="AF33" s="71">
        <f>'TCD TO série 3'!AF14</f>
        <v>0</v>
      </c>
      <c r="AG33" s="71">
        <f>'TCD TO série 3'!AG14</f>
        <v>0</v>
      </c>
      <c r="AH33" s="71">
        <f>'TCD TO série 3'!AH14</f>
        <v>0</v>
      </c>
      <c r="AI33" s="71">
        <f>'TCD TO série 3'!AI14</f>
        <v>0</v>
      </c>
      <c r="AJ33" s="71">
        <f>'TCD TO série 3'!AJ14</f>
        <v>0</v>
      </c>
      <c r="AK33" s="71">
        <f>'TCD TO série 3'!AK14</f>
        <v>0</v>
      </c>
      <c r="AL33" s="71">
        <f>'TCD TO série 3'!AL14</f>
        <v>0</v>
      </c>
      <c r="AM33" s="71">
        <f>'TCD TO série 3'!AM14</f>
        <v>0</v>
      </c>
      <c r="AN33" s="71">
        <f>'TCD TO série 3'!AN14</f>
        <v>0</v>
      </c>
      <c r="AO33" s="71">
        <f>'TCD TO série 3'!AO14</f>
        <v>0</v>
      </c>
      <c r="AP33" s="71">
        <f>'TCD TO série 3'!AP14</f>
        <v>0</v>
      </c>
      <c r="AQ33" s="71">
        <f>'TCD TO série 3'!AQ14</f>
        <v>0</v>
      </c>
      <c r="AR33" s="71">
        <f>'TCD TO série 3'!AR14</f>
        <v>0</v>
      </c>
      <c r="AS33" s="71">
        <f>'TCD TO série 1'!AS34</f>
        <v>0</v>
      </c>
      <c r="AT33" s="71">
        <f>'TCD TO série 1'!AT34</f>
        <v>0</v>
      </c>
    </row>
    <row r="34" spans="1:58" x14ac:dyDescent="0.25">
      <c r="A34" s="82" t="s">
        <v>58</v>
      </c>
      <c r="B34" s="71">
        <f>'TCD TO série 3'!B15</f>
        <v>4.6296296296296308E-2</v>
      </c>
      <c r="C34" s="71">
        <f>'TCD TO série 3'!C15</f>
        <v>4.6296296296296308E-2</v>
      </c>
      <c r="D34" s="71">
        <f>'TCD TO série 3'!D15</f>
        <v>6.1068702290076327E-3</v>
      </c>
      <c r="E34" s="71">
        <f>'TCD TO série 3'!E15</f>
        <v>6.1068702290076327E-3</v>
      </c>
      <c r="F34" s="71">
        <f>'TCD TO série 3'!F15</f>
        <v>0</v>
      </c>
      <c r="G34" s="71">
        <f>'TCD TO série 3'!G15</f>
        <v>0</v>
      </c>
      <c r="H34" s="71">
        <f>'TCD TO série 3'!H15</f>
        <v>0</v>
      </c>
      <c r="I34" s="71">
        <f>'TCD TO série 3'!I15</f>
        <v>0</v>
      </c>
      <c r="J34" s="71">
        <f>'TCD TO série 3'!J15</f>
        <v>0.31818181818181834</v>
      </c>
      <c r="K34" s="71">
        <f>'TCD TO série 3'!K15</f>
        <v>0.31818181818181834</v>
      </c>
      <c r="L34" s="71">
        <f>'TCD TO série 3'!L15</f>
        <v>0</v>
      </c>
      <c r="M34" s="71">
        <f>'TCD TO série 3'!M15</f>
        <v>0</v>
      </c>
      <c r="N34" s="71">
        <f>'TCD TO série 3'!N15</f>
        <v>0</v>
      </c>
      <c r="O34" s="71">
        <f>'TCD TO série 3'!O15</f>
        <v>0</v>
      </c>
      <c r="P34" s="71">
        <f>'TCD TO série 3'!P15</f>
        <v>1.9801980198019776E-3</v>
      </c>
      <c r="Q34" s="71">
        <f>'TCD TO série 3'!Q15</f>
        <v>1.9801980198019776E-3</v>
      </c>
      <c r="R34" s="71">
        <f>'TCD TO série 3'!R15</f>
        <v>6.8493150684931425E-3</v>
      </c>
      <c r="S34" s="71">
        <f>'TCD TO série 3'!S15</f>
        <v>6.8493150684931425E-3</v>
      </c>
      <c r="T34" s="71">
        <f>'TCD TO série 3'!T15</f>
        <v>9.5118898623279061E-2</v>
      </c>
      <c r="U34" s="71">
        <f>'TCD TO série 3'!U15</f>
        <v>9.5118898623279061E-2</v>
      </c>
      <c r="V34" s="71">
        <f>'TCD TO série 3'!V15</f>
        <v>0.20942408376963348</v>
      </c>
      <c r="W34" s="71">
        <f>'TCD TO série 3'!W15</f>
        <v>0.20942408376963348</v>
      </c>
      <c r="X34" s="71">
        <f>'TCD TO série 3'!X15</f>
        <v>0.19138755980861244</v>
      </c>
      <c r="Y34" s="71">
        <f>'TCD TO série 3'!Y15</f>
        <v>0.19138755980861244</v>
      </c>
      <c r="Z34" s="71">
        <f>'TCD TO série 3'!Z15</f>
        <v>0</v>
      </c>
      <c r="AA34" s="71">
        <f>'TCD TO série 3'!AA15</f>
        <v>0</v>
      </c>
      <c r="AB34" s="71">
        <f>'TCD TO série 3'!AB15</f>
        <v>0.13071895424836602</v>
      </c>
      <c r="AC34" s="71">
        <f>'TCD TO série 3'!AC15</f>
        <v>0.13071895424836602</v>
      </c>
      <c r="AD34" s="71">
        <f>'TCD TO série 3'!AD15</f>
        <v>0.10914454277286138</v>
      </c>
      <c r="AE34" s="71">
        <f>'TCD TO série 3'!AE15</f>
        <v>0.10914454277286138</v>
      </c>
      <c r="AF34" s="71">
        <f>'TCD TO série 3'!AF15</f>
        <v>0.60986547085201803</v>
      </c>
      <c r="AG34" s="71">
        <f>'TCD TO série 3'!AG15</f>
        <v>0.60986547085201803</v>
      </c>
      <c r="AH34" s="71">
        <f>'TCD TO série 3'!AH15</f>
        <v>5.9405940594059417E-2</v>
      </c>
      <c r="AI34" s="71">
        <f>'TCD TO série 3'!AI15</f>
        <v>5.9405940594059417E-2</v>
      </c>
      <c r="AJ34" s="71">
        <f>'TCD TO série 3'!AJ15</f>
        <v>7.2000000000000036E-2</v>
      </c>
      <c r="AK34" s="71">
        <f>'TCD TO série 3'!AK15</f>
        <v>7.2000000000000036E-2</v>
      </c>
      <c r="AL34" s="71">
        <f>'TCD TO série 3'!AL15</f>
        <v>0.12359550561797754</v>
      </c>
      <c r="AM34" s="71">
        <f>'TCD TO série 3'!AM15</f>
        <v>0.12359550561797754</v>
      </c>
      <c r="AN34" s="71">
        <f>'TCD TO série 3'!AN15</f>
        <v>0.31927710843373497</v>
      </c>
      <c r="AO34" s="71">
        <f>'TCD TO série 3'!AO15</f>
        <v>0.31927710843373497</v>
      </c>
      <c r="AP34" s="71">
        <f>'TCD TO série 3'!AP15</f>
        <v>0.10963455149501654</v>
      </c>
      <c r="AQ34" s="71">
        <f>'TCD TO série 3'!AQ15</f>
        <v>0.10963455149501654</v>
      </c>
      <c r="AR34" s="71">
        <f>'TCD TO série 3'!AR15</f>
        <v>2.3529411764705889E-2</v>
      </c>
      <c r="AS34" s="71">
        <f>'TCD TO série 1'!AS35</f>
        <v>0</v>
      </c>
      <c r="AT34" s="71">
        <f>'TCD TO série 1'!AT35</f>
        <v>0</v>
      </c>
    </row>
    <row r="35" spans="1:58" x14ac:dyDescent="0.25">
      <c r="A35" s="82" t="s">
        <v>56</v>
      </c>
      <c r="B35" s="71">
        <f>'TCD TO série 3'!B16</f>
        <v>9.2592592592592615E-2</v>
      </c>
      <c r="C35" s="71">
        <f>'TCD TO série 3'!C16</f>
        <v>9.2592592592592615E-2</v>
      </c>
      <c r="D35" s="71">
        <f>'TCD TO série 3'!D16</f>
        <v>0</v>
      </c>
      <c r="E35" s="71">
        <f>'TCD TO série 3'!E16</f>
        <v>0</v>
      </c>
      <c r="F35" s="71">
        <f>'TCD TO série 3'!F16</f>
        <v>0</v>
      </c>
      <c r="G35" s="71">
        <f>'TCD TO série 3'!G16</f>
        <v>0</v>
      </c>
      <c r="H35" s="71">
        <f>'TCD TO série 3'!H16</f>
        <v>0</v>
      </c>
      <c r="I35" s="71">
        <f>'TCD TO série 3'!I16</f>
        <v>0</v>
      </c>
      <c r="J35" s="71">
        <f>'TCD TO série 3'!J16</f>
        <v>0</v>
      </c>
      <c r="K35" s="71">
        <f>'TCD TO série 3'!K16</f>
        <v>0</v>
      </c>
      <c r="L35" s="71">
        <f>'TCD TO série 3'!L16</f>
        <v>0</v>
      </c>
      <c r="M35" s="71">
        <f>'TCD TO série 3'!M16</f>
        <v>0</v>
      </c>
      <c r="N35" s="71">
        <f>'TCD TO série 3'!N16</f>
        <v>0</v>
      </c>
      <c r="O35" s="71">
        <f>'TCD TO série 3'!O16</f>
        <v>0</v>
      </c>
      <c r="P35" s="71">
        <f>'TCD TO série 3'!P16</f>
        <v>0</v>
      </c>
      <c r="Q35" s="71">
        <f>'TCD TO série 3'!Q16</f>
        <v>0</v>
      </c>
      <c r="R35" s="71">
        <f>'TCD TO série 3'!R16</f>
        <v>0.68493150684931514</v>
      </c>
      <c r="S35" s="71">
        <f>'TCD TO série 3'!S16</f>
        <v>0.68493150684931514</v>
      </c>
      <c r="T35" s="71">
        <f>'TCD TO série 3'!T16</f>
        <v>8.1351689612015013E-2</v>
      </c>
      <c r="U35" s="71">
        <f>'TCD TO série 3'!U16</f>
        <v>8.1351689612015013E-2</v>
      </c>
      <c r="V35" s="71">
        <f>'TCD TO série 3'!V16</f>
        <v>1.3089005235602092E-2</v>
      </c>
      <c r="W35" s="71">
        <f>'TCD TO série 3'!W16</f>
        <v>1.3089005235602092E-2</v>
      </c>
      <c r="X35" s="71">
        <f>'TCD TO série 3'!X16</f>
        <v>3.3492822966507178E-2</v>
      </c>
      <c r="Y35" s="71">
        <f>'TCD TO série 3'!Y16</f>
        <v>3.3492822966507178E-2</v>
      </c>
      <c r="Z35" s="71">
        <f>'TCD TO série 3'!Z16</f>
        <v>0.81208053691275195</v>
      </c>
      <c r="AA35" s="71">
        <f>'TCD TO série 3'!AA16</f>
        <v>0.81208053691275195</v>
      </c>
      <c r="AB35" s="71">
        <f>'TCD TO série 3'!AB16</f>
        <v>1.9607843137254905E-2</v>
      </c>
      <c r="AC35" s="71">
        <f>'TCD TO série 3'!AC16</f>
        <v>1.9607843137254905E-2</v>
      </c>
      <c r="AD35" s="71">
        <f>'TCD TO série 3'!AD16</f>
        <v>0.10914454277286138</v>
      </c>
      <c r="AE35" s="71">
        <f>'TCD TO série 3'!AE16</f>
        <v>0.10914454277286138</v>
      </c>
      <c r="AF35" s="71">
        <f>'TCD TO série 3'!AF16</f>
        <v>6.7264573991031393E-3</v>
      </c>
      <c r="AG35" s="71">
        <f>'TCD TO série 3'!AG16</f>
        <v>6.7264573991031393E-3</v>
      </c>
      <c r="AH35" s="71">
        <f>'TCD TO série 3'!AH16</f>
        <v>0</v>
      </c>
      <c r="AI35" s="71">
        <f>'TCD TO série 3'!AI16</f>
        <v>0</v>
      </c>
      <c r="AJ35" s="71">
        <f>'TCD TO série 3'!AJ16</f>
        <v>0.10400000000000005</v>
      </c>
      <c r="AK35" s="71">
        <f>'TCD TO série 3'!AK16</f>
        <v>0.10400000000000005</v>
      </c>
      <c r="AL35" s="71">
        <f>'TCD TO série 3'!AL16</f>
        <v>1.872659176029963E-2</v>
      </c>
      <c r="AM35" s="71">
        <f>'TCD TO série 3'!AM16</f>
        <v>1.872659176029963E-2</v>
      </c>
      <c r="AN35" s="71">
        <f>'TCD TO série 3'!AN16</f>
        <v>7.8313253012048223E-2</v>
      </c>
      <c r="AO35" s="71">
        <f>'TCD TO série 3'!AO16</f>
        <v>7.8313253012048223E-2</v>
      </c>
      <c r="AP35" s="71">
        <f>'TCD TO série 3'!AP16</f>
        <v>4.3189368770764125E-2</v>
      </c>
      <c r="AQ35" s="71">
        <f>'TCD TO série 3'!AQ16</f>
        <v>4.3189368770764125E-2</v>
      </c>
      <c r="AR35" s="71">
        <f>'TCD TO série 3'!AR16</f>
        <v>0</v>
      </c>
      <c r="AS35" s="71">
        <f>'TCD TO série 1'!AS36</f>
        <v>0</v>
      </c>
      <c r="AT35" s="71">
        <f>'TCD TO série 1'!AT36</f>
        <v>0</v>
      </c>
    </row>
    <row r="36" spans="1:58" x14ac:dyDescent="0.25">
      <c r="A36" s="82" t="s">
        <v>10</v>
      </c>
      <c r="B36" s="71">
        <f>'TCD TO série 3'!B17</f>
        <v>0.22222222222222215</v>
      </c>
      <c r="C36" s="71">
        <f>'TCD TO série 3'!C17</f>
        <v>0.22222222222222215</v>
      </c>
      <c r="D36" s="71">
        <f>'TCD TO série 3'!D17</f>
        <v>8.2442748091603027E-2</v>
      </c>
      <c r="E36" s="71">
        <f>'TCD TO série 3'!E17</f>
        <v>8.2442748091603027E-2</v>
      </c>
      <c r="F36" s="71">
        <f>'TCD TO série 3'!F17</f>
        <v>8.9855072463768129E-2</v>
      </c>
      <c r="G36" s="71">
        <f>'TCD TO série 3'!G17</f>
        <v>8.9855072463768129E-2</v>
      </c>
      <c r="H36" s="71">
        <f>'TCD TO série 3'!H17</f>
        <v>7.0588235294117549E-2</v>
      </c>
      <c r="I36" s="71">
        <f>'TCD TO série 3'!I17</f>
        <v>7.0588235294117549E-2</v>
      </c>
      <c r="J36" s="71">
        <f>'TCD TO série 3'!J17</f>
        <v>0.31818181818181801</v>
      </c>
      <c r="K36" s="71">
        <f>'TCD TO série 3'!K17</f>
        <v>0.31818181818181801</v>
      </c>
      <c r="L36" s="71">
        <f>'TCD TO série 3'!L17</f>
        <v>4.955752212389377E-2</v>
      </c>
      <c r="M36" s="71">
        <f>'TCD TO série 3'!M17</f>
        <v>4.955752212389377E-2</v>
      </c>
      <c r="N36" s="71">
        <f>'TCD TO série 3'!N17</f>
        <v>5.10204081632653E-2</v>
      </c>
      <c r="O36" s="71">
        <f>'TCD TO série 3'!O17</f>
        <v>5.10204081632653E-2</v>
      </c>
      <c r="P36" s="71">
        <f>'TCD TO série 3'!P17</f>
        <v>0.14257425742574256</v>
      </c>
      <c r="Q36" s="71">
        <f>'TCD TO série 3'!Q17</f>
        <v>0.14257425742574256</v>
      </c>
      <c r="R36" s="71">
        <f>'TCD TO série 3'!R17</f>
        <v>4.7945205479452059E-2</v>
      </c>
      <c r="S36" s="71">
        <f>'TCD TO série 3'!S17</f>
        <v>4.7945205479452059E-2</v>
      </c>
      <c r="T36" s="71">
        <f>'TCD TO série 3'!T17</f>
        <v>0.14768460575719644</v>
      </c>
      <c r="U36" s="71">
        <f>'TCD TO série 3'!U17</f>
        <v>0.14768460575719644</v>
      </c>
      <c r="V36" s="71">
        <f>'TCD TO série 3'!V17</f>
        <v>0.47120418848167533</v>
      </c>
      <c r="W36" s="71">
        <f>'TCD TO série 3'!W17</f>
        <v>0.47120418848167533</v>
      </c>
      <c r="X36" s="71">
        <f>'TCD TO série 3'!X17</f>
        <v>0.36602870813397126</v>
      </c>
      <c r="Y36" s="71">
        <f>'TCD TO série 3'!Y17</f>
        <v>0.36602870813397126</v>
      </c>
      <c r="Z36" s="71">
        <f>'TCD TO série 3'!Z17</f>
        <v>6.7114093959731473E-3</v>
      </c>
      <c r="AA36" s="71">
        <f>'TCD TO série 3'!AA17</f>
        <v>6.7114093959731473E-3</v>
      </c>
      <c r="AB36" s="71">
        <f>'TCD TO série 3'!AB17</f>
        <v>0.36928104575163395</v>
      </c>
      <c r="AC36" s="71">
        <f>'TCD TO série 3'!AC17</f>
        <v>0.36928104575163395</v>
      </c>
      <c r="AD36" s="71">
        <f>'TCD TO série 3'!AD17</f>
        <v>0.23893805309734509</v>
      </c>
      <c r="AE36" s="71">
        <f>'TCD TO série 3'!AE17</f>
        <v>0.23893805309734509</v>
      </c>
      <c r="AF36" s="71">
        <f>'TCD TO série 3'!AF17</f>
        <v>0.12556053811659187</v>
      </c>
      <c r="AG36" s="71">
        <f>'TCD TO série 3'!AG17</f>
        <v>0.12556053811659187</v>
      </c>
      <c r="AH36" s="71">
        <f>'TCD TO série 3'!AH17</f>
        <v>0.10891089108910892</v>
      </c>
      <c r="AI36" s="71">
        <f>'TCD TO série 3'!AI17</f>
        <v>0.10891089108910892</v>
      </c>
      <c r="AJ36" s="71">
        <f>'TCD TO série 3'!AJ17</f>
        <v>0.36000000000000021</v>
      </c>
      <c r="AK36" s="71">
        <f>'TCD TO série 3'!AK17</f>
        <v>0.36000000000000021</v>
      </c>
      <c r="AL36" s="71">
        <f>'TCD TO série 3'!AL17</f>
        <v>0.20599250936329591</v>
      </c>
      <c r="AM36" s="71">
        <f>'TCD TO série 3'!AM17</f>
        <v>0.20599250936329591</v>
      </c>
      <c r="AN36" s="71">
        <f>'TCD TO série 3'!AN17</f>
        <v>0.25301204819277096</v>
      </c>
      <c r="AO36" s="71">
        <f>'TCD TO série 3'!AO17</f>
        <v>0.25301204819277096</v>
      </c>
      <c r="AP36" s="71">
        <f>'TCD TO série 3'!AP17</f>
        <v>0.48172757475083067</v>
      </c>
      <c r="AQ36" s="71">
        <f>'TCD TO série 3'!AQ17</f>
        <v>0.48172757475083067</v>
      </c>
      <c r="AR36" s="71">
        <f>'TCD TO série 3'!AR17</f>
        <v>0.10980392156862739</v>
      </c>
      <c r="AS36" s="71">
        <f>'TCD TO série 1'!AS37</f>
        <v>0</v>
      </c>
      <c r="AT36" s="71">
        <f>'TCD TO série 1'!AT37</f>
        <v>0</v>
      </c>
    </row>
    <row r="37" spans="1:58" x14ac:dyDescent="0.25">
      <c r="A37" s="83" t="s">
        <v>31</v>
      </c>
      <c r="B37" s="77">
        <f>SUM(B25:B36)</f>
        <v>0.99999999999999978</v>
      </c>
      <c r="C37" s="78">
        <f t="shared" ref="C37" si="4">SUM(C25:C36)</f>
        <v>0.99999999999999978</v>
      </c>
      <c r="D37" s="78">
        <f>SUM(D25:D36)</f>
        <v>1</v>
      </c>
      <c r="E37" s="79">
        <f t="shared" ref="E37" si="5">SUM(E25:E36)</f>
        <v>1</v>
      </c>
      <c r="F37" s="77">
        <f>SUM(F25:F36)</f>
        <v>0.99999999999999989</v>
      </c>
      <c r="G37" s="78">
        <f t="shared" ref="G37:I37" si="6">SUM(G25:G36)</f>
        <v>0.99999999999999989</v>
      </c>
      <c r="H37" s="78">
        <f t="shared" si="6"/>
        <v>0.99999999999999989</v>
      </c>
      <c r="I37" s="79">
        <f t="shared" si="6"/>
        <v>0.99999999999999989</v>
      </c>
      <c r="J37" s="77">
        <f>SUM(J25:J36)</f>
        <v>1</v>
      </c>
      <c r="K37" s="78">
        <f t="shared" ref="K37:AT37" si="7">SUM(K25:K36)</f>
        <v>1</v>
      </c>
      <c r="L37" s="78">
        <f t="shared" si="7"/>
        <v>0.99999999999999989</v>
      </c>
      <c r="M37" s="78">
        <f t="shared" si="7"/>
        <v>0.99999999999999989</v>
      </c>
      <c r="N37" s="78">
        <f t="shared" si="7"/>
        <v>1</v>
      </c>
      <c r="O37" s="78">
        <f t="shared" si="7"/>
        <v>1</v>
      </c>
      <c r="P37" s="78">
        <f t="shared" si="7"/>
        <v>0.99999999999999989</v>
      </c>
      <c r="Q37" s="78">
        <f t="shared" si="7"/>
        <v>0.99999999999999989</v>
      </c>
      <c r="R37" s="78">
        <f t="shared" si="7"/>
        <v>1</v>
      </c>
      <c r="S37" s="78">
        <f t="shared" si="7"/>
        <v>1</v>
      </c>
      <c r="T37" s="78">
        <f t="shared" si="7"/>
        <v>0.99999999999999989</v>
      </c>
      <c r="U37" s="78">
        <f t="shared" si="7"/>
        <v>0.99999999999999989</v>
      </c>
      <c r="V37" s="78">
        <f t="shared" si="7"/>
        <v>0.99999999999999989</v>
      </c>
      <c r="W37" s="78">
        <f t="shared" si="7"/>
        <v>0.99999999999999989</v>
      </c>
      <c r="X37" s="78">
        <f t="shared" si="7"/>
        <v>0.99999999999999989</v>
      </c>
      <c r="Y37" s="78">
        <f t="shared" si="7"/>
        <v>0.99999999999999989</v>
      </c>
      <c r="Z37" s="78">
        <f t="shared" si="7"/>
        <v>1.0000000000000002</v>
      </c>
      <c r="AA37" s="78">
        <f t="shared" si="7"/>
        <v>1.0000000000000002</v>
      </c>
      <c r="AB37" s="78">
        <f t="shared" si="7"/>
        <v>1</v>
      </c>
      <c r="AC37" s="78">
        <f t="shared" si="7"/>
        <v>1</v>
      </c>
      <c r="AD37" s="78">
        <f t="shared" si="7"/>
        <v>0.99999999999999989</v>
      </c>
      <c r="AE37" s="78">
        <f t="shared" si="7"/>
        <v>0.99999999999999989</v>
      </c>
      <c r="AF37" s="78">
        <f t="shared" si="7"/>
        <v>1.0000000000000002</v>
      </c>
      <c r="AG37" s="78">
        <f t="shared" si="7"/>
        <v>1.0000000000000002</v>
      </c>
      <c r="AH37" s="78">
        <f t="shared" si="7"/>
        <v>1.0000000000000002</v>
      </c>
      <c r="AI37" s="78">
        <f t="shared" si="7"/>
        <v>1.0000000000000002</v>
      </c>
      <c r="AJ37" s="78">
        <f t="shared" si="7"/>
        <v>1</v>
      </c>
      <c r="AK37" s="78">
        <f t="shared" si="7"/>
        <v>1</v>
      </c>
      <c r="AL37" s="78">
        <f t="shared" si="7"/>
        <v>1</v>
      </c>
      <c r="AM37" s="78">
        <f t="shared" si="7"/>
        <v>1</v>
      </c>
      <c r="AN37" s="78">
        <f t="shared" si="7"/>
        <v>1</v>
      </c>
      <c r="AO37" s="78">
        <f t="shared" si="7"/>
        <v>1</v>
      </c>
      <c r="AP37" s="78">
        <f t="shared" si="7"/>
        <v>1</v>
      </c>
      <c r="AQ37" s="78">
        <f t="shared" si="7"/>
        <v>1</v>
      </c>
      <c r="AR37" s="78">
        <f t="shared" si="7"/>
        <v>0.99999999999999989</v>
      </c>
      <c r="AS37" s="78">
        <f t="shared" si="7"/>
        <v>0</v>
      </c>
      <c r="AT37" s="78">
        <f t="shared" si="7"/>
        <v>0</v>
      </c>
    </row>
    <row r="38" spans="1:58" s="93" customFormat="1" ht="79.150000000000006" customHeight="1" x14ac:dyDescent="0.25">
      <c r="A38" s="96" t="s">
        <v>64</v>
      </c>
      <c r="B38" s="97" t="s">
        <v>339</v>
      </c>
      <c r="C38" s="80"/>
      <c r="D38" s="81"/>
      <c r="E38" s="80"/>
      <c r="F38" s="81"/>
      <c r="G38" s="80"/>
      <c r="H38" s="97" t="s">
        <v>339</v>
      </c>
      <c r="I38" s="80"/>
      <c r="J38" s="97" t="s">
        <v>339</v>
      </c>
      <c r="K38" s="80"/>
      <c r="L38" s="81"/>
      <c r="M38" s="81"/>
      <c r="N38" s="97" t="s">
        <v>339</v>
      </c>
      <c r="O38" s="81"/>
      <c r="P38" s="97"/>
      <c r="Q38" s="81"/>
      <c r="R38" s="97" t="s">
        <v>339</v>
      </c>
      <c r="S38" s="81"/>
      <c r="T38" s="81"/>
      <c r="U38" s="81"/>
      <c r="V38" s="81"/>
      <c r="W38" s="81"/>
      <c r="X38" s="97" t="s">
        <v>339</v>
      </c>
      <c r="Y38" s="81"/>
      <c r="Z38" s="97" t="s">
        <v>339</v>
      </c>
      <c r="AA38" s="81"/>
      <c r="AB38" s="81"/>
      <c r="AC38" s="81"/>
      <c r="AD38" s="97"/>
      <c r="AE38" s="81"/>
      <c r="AF38" s="97"/>
      <c r="AG38" s="81"/>
      <c r="AH38" s="97" t="s">
        <v>339</v>
      </c>
      <c r="AI38" s="81"/>
      <c r="AJ38" s="97" t="s">
        <v>339</v>
      </c>
      <c r="AK38" s="81"/>
      <c r="AL38" s="97" t="s">
        <v>339</v>
      </c>
      <c r="AM38" s="81"/>
      <c r="AN38" s="97" t="s">
        <v>339</v>
      </c>
      <c r="AO38" s="81"/>
      <c r="AP38" s="81"/>
      <c r="AQ38" s="81"/>
      <c r="AR38" s="97" t="s">
        <v>339</v>
      </c>
      <c r="AS38" s="81"/>
      <c r="AT38" s="81"/>
    </row>
    <row r="41" spans="1:58" ht="21" x14ac:dyDescent="0.35">
      <c r="A41" s="105" t="s">
        <v>542</v>
      </c>
      <c r="B41" s="105"/>
      <c r="C41" s="105"/>
      <c r="D41" s="105"/>
      <c r="E41" s="105"/>
      <c r="F41" s="105"/>
      <c r="G41" s="105"/>
      <c r="H41" s="105"/>
    </row>
    <row r="42" spans="1:58" ht="15.75" thickBot="1" x14ac:dyDescent="0.3"/>
    <row r="43" spans="1:58" ht="31.5" customHeight="1" thickBot="1" x14ac:dyDescent="0.3">
      <c r="B43" s="107" t="s">
        <v>332</v>
      </c>
      <c r="C43" s="108"/>
      <c r="D43" s="109"/>
      <c r="F43" s="107" t="s">
        <v>333</v>
      </c>
      <c r="G43" s="108"/>
      <c r="H43" s="109"/>
      <c r="J43" s="107" t="s">
        <v>334</v>
      </c>
      <c r="K43" s="108"/>
      <c r="L43" s="108"/>
      <c r="M43" s="108"/>
      <c r="N43" s="108"/>
      <c r="O43" s="108"/>
      <c r="P43" s="109"/>
      <c r="R43" s="107" t="s">
        <v>335</v>
      </c>
      <c r="S43" s="108"/>
      <c r="T43" s="108"/>
      <c r="U43" s="108"/>
      <c r="V43" s="109"/>
      <c r="X43" s="107" t="s">
        <v>336</v>
      </c>
      <c r="Y43" s="108"/>
      <c r="Z43" s="108"/>
      <c r="AA43" s="108"/>
      <c r="AB43" s="108"/>
      <c r="AC43" s="108"/>
      <c r="AD43" s="108"/>
      <c r="AE43" s="108"/>
      <c r="AF43" s="108"/>
      <c r="AG43" s="108"/>
      <c r="AH43" s="109"/>
      <c r="AJ43" s="107" t="s">
        <v>337</v>
      </c>
      <c r="AK43" s="108"/>
      <c r="AL43" s="109"/>
      <c r="AN43" s="107" t="s">
        <v>338</v>
      </c>
      <c r="AO43" s="108"/>
      <c r="AP43" s="108"/>
      <c r="AQ43" s="108"/>
      <c r="AR43" s="109"/>
    </row>
    <row r="44" spans="1:58" s="94" customFormat="1" ht="30" x14ac:dyDescent="0.25">
      <c r="B44" s="110" t="s">
        <v>543</v>
      </c>
      <c r="C44" s="110"/>
      <c r="D44" s="110"/>
      <c r="F44" s="95" t="str">
        <f>'TCD TO série 4'!B5</f>
        <v>Prélèvement 14 _3</v>
      </c>
      <c r="G44" s="95">
        <f>'TCD TO série 4'!C5</f>
        <v>0</v>
      </c>
      <c r="H44" s="95" t="str">
        <f>'TCD TO série 4'!D5</f>
        <v>Prélèvement 15 _3</v>
      </c>
      <c r="I44" s="95">
        <f>'TCD TO série 4'!E5</f>
        <v>0</v>
      </c>
      <c r="J44" s="110" t="s">
        <v>543</v>
      </c>
      <c r="K44" s="110"/>
      <c r="L44" s="110"/>
      <c r="M44" s="110"/>
      <c r="N44" s="110"/>
      <c r="O44" s="110"/>
      <c r="P44" s="110"/>
      <c r="Q44" s="95"/>
      <c r="R44" s="95" t="str">
        <f>'TCD TO série 4'!F5</f>
        <v>Prélèvement 22 _3</v>
      </c>
      <c r="S44" s="95">
        <f>'TCD TO série 4'!G5</f>
        <v>0</v>
      </c>
      <c r="T44" s="95" t="str">
        <f>'TCD TO série 4'!H5</f>
        <v>Prélèvement 23 _3</v>
      </c>
      <c r="U44" s="95">
        <f>'TCD TO série 4'!I5</f>
        <v>0</v>
      </c>
      <c r="V44" s="95" t="str">
        <f>'TCD TO série 4'!J5</f>
        <v>Prélèvement 24 _3</v>
      </c>
      <c r="W44" s="95">
        <f>'TCD TO série 4'!K5</f>
        <v>0</v>
      </c>
      <c r="X44" s="95" t="str">
        <f>'TCD TO série 4'!L5</f>
        <v>Prélèvement 25+27+30_3</v>
      </c>
      <c r="Y44" s="95">
        <f>'TCD TO série 4'!M5</f>
        <v>0</v>
      </c>
      <c r="Z44" s="95" t="str">
        <f>'TCD TO série 4'!N5</f>
        <v>Prélèvement 26_3</v>
      </c>
      <c r="AA44" s="95">
        <f>'TCD TO série 4'!O5</f>
        <v>0</v>
      </c>
      <c r="AB44" s="95" t="str">
        <f>'TCD TO série 4'!P5</f>
        <v>Prélèvement 28_3</v>
      </c>
      <c r="AC44" s="95">
        <f>'TCD TO série 4'!Q5</f>
        <v>0</v>
      </c>
      <c r="AD44" s="95" t="str">
        <f>'TCD TO série 4'!R5</f>
        <v>Prélèvement 29_3</v>
      </c>
      <c r="AE44" s="95">
        <f>'TCD TO série 4'!S5</f>
        <v>0</v>
      </c>
      <c r="AF44" s="95" t="str">
        <f>'TCD TO série 4'!T5</f>
        <v>Prélèvement 31_3</v>
      </c>
      <c r="AG44" s="95">
        <f>'TCD TO série 4'!U5</f>
        <v>0</v>
      </c>
      <c r="AH44" s="95" t="str">
        <f>'TCD TO série 4'!V5</f>
        <v>Prélèvement 32_3</v>
      </c>
      <c r="AI44" s="95">
        <f>'TCD TO série 4'!W5</f>
        <v>0</v>
      </c>
      <c r="AJ44" s="95" t="str">
        <f>'TCD TO série 4'!X5</f>
        <v>Prélèvement 33 _3</v>
      </c>
      <c r="AK44" s="95">
        <f>'TCD TO série 4'!Y5</f>
        <v>0</v>
      </c>
      <c r="AL44" s="95" t="str">
        <f>'TCD TO série 4'!Z5</f>
        <v>Prélèvement 34 _3</v>
      </c>
      <c r="AM44" s="95">
        <f>'TCD TO série 4'!AA5</f>
        <v>0</v>
      </c>
      <c r="AN44" s="95" t="str">
        <f>'TCD TO série 4'!AB5</f>
        <v>Prélèvement 35+38_3</v>
      </c>
      <c r="AO44" s="95">
        <f>'TCD TO série 4'!AC5</f>
        <v>0</v>
      </c>
      <c r="AP44" s="95" t="str">
        <f>'TCD TO série 4'!AD5</f>
        <v>Prélèvement 36+39_3</v>
      </c>
      <c r="AQ44" s="95">
        <f>'TCD TO série 4'!AE5</f>
        <v>0</v>
      </c>
      <c r="AR44" s="95" t="str">
        <f>'TCD TO série 4'!AF5</f>
        <v>Prélèvement 37+40_3</v>
      </c>
      <c r="AS44" s="95">
        <f>'TCD TO série 4'!AG5</f>
        <v>0</v>
      </c>
      <c r="AT44" s="95">
        <f>'TCD TO série 4'!AH5</f>
        <v>0</v>
      </c>
      <c r="AU44"/>
      <c r="AV44"/>
      <c r="AW44"/>
      <c r="AX44"/>
      <c r="AY44"/>
      <c r="AZ44"/>
      <c r="BA44"/>
      <c r="BB44"/>
      <c r="BC44"/>
      <c r="BD44"/>
      <c r="BE44"/>
      <c r="BF44"/>
    </row>
    <row r="45" spans="1:58" x14ac:dyDescent="0.25">
      <c r="A45" s="82" t="s">
        <v>38</v>
      </c>
      <c r="B45" s="111"/>
      <c r="C45" s="111"/>
      <c r="D45" s="111"/>
      <c r="E45" s="102"/>
      <c r="F45" s="71">
        <f>'TCD TO série 4'!B6</f>
        <v>0</v>
      </c>
      <c r="G45" s="71">
        <f>'TCD TO série 4'!C6</f>
        <v>0</v>
      </c>
      <c r="H45" s="71">
        <f>'TCD TO série 4'!D6</f>
        <v>0</v>
      </c>
      <c r="I45" s="71">
        <f>'TCD TO série 4'!E6</f>
        <v>0</v>
      </c>
      <c r="J45" s="111"/>
      <c r="K45" s="111"/>
      <c r="L45" s="111"/>
      <c r="M45" s="111"/>
      <c r="N45" s="111"/>
      <c r="O45" s="111"/>
      <c r="P45" s="111"/>
      <c r="Q45" s="71"/>
      <c r="R45" s="71">
        <f>'TCD TO série 4'!F6</f>
        <v>0</v>
      </c>
      <c r="S45" s="71">
        <f>'TCD TO série 4'!G6</f>
        <v>0</v>
      </c>
      <c r="T45" s="71">
        <f>'TCD TO série 4'!H6</f>
        <v>0</v>
      </c>
      <c r="U45" s="71">
        <f>'TCD TO série 4'!I6</f>
        <v>0</v>
      </c>
      <c r="V45" s="71">
        <f>'TCD TO série 4'!J6</f>
        <v>0</v>
      </c>
      <c r="W45" s="71">
        <f>'TCD TO série 4'!K6</f>
        <v>0</v>
      </c>
      <c r="X45" s="71">
        <f>'TCD TO série 4'!L6</f>
        <v>0</v>
      </c>
      <c r="Y45" s="71">
        <f>'TCD TO série 4'!M6</f>
        <v>0</v>
      </c>
      <c r="Z45" s="71">
        <f>'TCD TO série 4'!N6</f>
        <v>0</v>
      </c>
      <c r="AA45" s="71">
        <f>'TCD TO série 4'!O6</f>
        <v>0</v>
      </c>
      <c r="AB45" s="71">
        <f>'TCD TO série 4'!P6</f>
        <v>0</v>
      </c>
      <c r="AC45" s="71">
        <f>'TCD TO série 4'!Q6</f>
        <v>0</v>
      </c>
      <c r="AD45" s="71">
        <f>'TCD TO série 4'!R6</f>
        <v>0</v>
      </c>
      <c r="AE45" s="71">
        <f>'TCD TO série 4'!S6</f>
        <v>0</v>
      </c>
      <c r="AF45" s="71">
        <f>'TCD TO série 4'!T6</f>
        <v>0</v>
      </c>
      <c r="AG45" s="71">
        <f>'TCD TO série 4'!U6</f>
        <v>0</v>
      </c>
      <c r="AH45" s="71">
        <f>'TCD TO série 4'!V6</f>
        <v>0</v>
      </c>
      <c r="AI45" s="71">
        <f>'TCD TO série 4'!W6</f>
        <v>0</v>
      </c>
      <c r="AJ45" s="71">
        <f>'TCD TO série 4'!X6</f>
        <v>0</v>
      </c>
      <c r="AK45" s="71">
        <f>'TCD TO série 4'!Y6</f>
        <v>0</v>
      </c>
      <c r="AL45" s="71">
        <f>'TCD TO série 4'!Z6</f>
        <v>0</v>
      </c>
      <c r="AM45" s="71">
        <f>'TCD TO série 4'!AA6</f>
        <v>0</v>
      </c>
      <c r="AN45" s="71">
        <f>'TCD TO série 4'!AB6</f>
        <v>0</v>
      </c>
      <c r="AO45" s="71">
        <f>'TCD TO série 4'!AC6</f>
        <v>0</v>
      </c>
      <c r="AP45" s="71">
        <f>'TCD TO série 4'!AD6</f>
        <v>0</v>
      </c>
      <c r="AQ45" s="71">
        <f>'TCD TO série 4'!AE6</f>
        <v>0</v>
      </c>
      <c r="AR45" s="71">
        <f>'TCD TO série 4'!AF6</f>
        <v>0</v>
      </c>
      <c r="AS45" s="71">
        <f>'TCD TO série 4'!AG6</f>
        <v>0</v>
      </c>
      <c r="AT45" s="71">
        <f>'TCD TO série 4'!AH6</f>
        <v>0</v>
      </c>
    </row>
    <row r="46" spans="1:58" x14ac:dyDescent="0.25">
      <c r="A46" s="82" t="s">
        <v>34</v>
      </c>
      <c r="B46" s="111"/>
      <c r="C46" s="111"/>
      <c r="D46" s="111"/>
      <c r="E46" s="102"/>
      <c r="F46" s="71">
        <f>'TCD TO série 4'!B7</f>
        <v>1.1273957158962795E-3</v>
      </c>
      <c r="G46" s="71">
        <f>'TCD TO série 4'!C7</f>
        <v>1.1273957158962795E-3</v>
      </c>
      <c r="H46" s="71">
        <f>'TCD TO série 4'!D7</f>
        <v>2.5947067981318111E-3</v>
      </c>
      <c r="I46" s="71">
        <f>'TCD TO série 4'!E7</f>
        <v>2.5947067981318111E-3</v>
      </c>
      <c r="J46" s="111"/>
      <c r="K46" s="111"/>
      <c r="L46" s="111"/>
      <c r="M46" s="111"/>
      <c r="N46" s="111"/>
      <c r="O46" s="111"/>
      <c r="P46" s="111"/>
      <c r="Q46" s="71"/>
      <c r="R46" s="71">
        <f>'TCD TO série 4'!F7</f>
        <v>1.0787486515641805E-3</v>
      </c>
      <c r="S46" s="71">
        <f>'TCD TO série 4'!G7</f>
        <v>1.0787486515641805E-3</v>
      </c>
      <c r="T46" s="71">
        <f>'TCD TO série 4'!H7</f>
        <v>2.1138211382113817E-2</v>
      </c>
      <c r="U46" s="71">
        <f>'TCD TO série 4'!I7</f>
        <v>2.1138211382113817E-2</v>
      </c>
      <c r="V46" s="71">
        <f>'TCD TO série 4'!J7</f>
        <v>7.1258907363420396E-3</v>
      </c>
      <c r="W46" s="71">
        <f>'TCD TO série 4'!K7</f>
        <v>7.1258907363420396E-3</v>
      </c>
      <c r="X46" s="71">
        <f>'TCD TO série 4'!L7</f>
        <v>0</v>
      </c>
      <c r="Y46" s="71">
        <f>'TCD TO série 4'!M7</f>
        <v>0</v>
      </c>
      <c r="Z46" s="71">
        <f>'TCD TO série 4'!N7</f>
        <v>0</v>
      </c>
      <c r="AA46" s="71">
        <f>'TCD TO série 4'!O7</f>
        <v>0</v>
      </c>
      <c r="AB46" s="71">
        <f>'TCD TO série 4'!P7</f>
        <v>5.1219512195121955E-2</v>
      </c>
      <c r="AC46" s="71">
        <f>'TCD TO série 4'!Q7</f>
        <v>5.1219512195121955E-2</v>
      </c>
      <c r="AD46" s="71">
        <f>'TCD TO série 4'!R7</f>
        <v>5.1282051282051282E-3</v>
      </c>
      <c r="AE46" s="71">
        <f>'TCD TO série 4'!S7</f>
        <v>5.1282051282051282E-3</v>
      </c>
      <c r="AF46" s="71">
        <f>'TCD TO série 4'!T7</f>
        <v>4.0540540540540517E-3</v>
      </c>
      <c r="AG46" s="71">
        <f>'TCD TO série 4'!U7</f>
        <v>4.0540540540540517E-3</v>
      </c>
      <c r="AH46" s="71">
        <f>'TCD TO série 4'!V7</f>
        <v>3.0627871362940277E-3</v>
      </c>
      <c r="AI46" s="71">
        <f>'TCD TO série 4'!W7</f>
        <v>3.0627871362940277E-3</v>
      </c>
      <c r="AJ46" s="71">
        <f>'TCD TO série 4'!X7</f>
        <v>9.0702947845804991E-3</v>
      </c>
      <c r="AK46" s="71">
        <f>'TCD TO série 4'!Y7</f>
        <v>9.0702947845804991E-3</v>
      </c>
      <c r="AL46" s="71">
        <f>'TCD TO série 4'!Z7</f>
        <v>2.21238938053097E-3</v>
      </c>
      <c r="AM46" s="71">
        <f>'TCD TO série 4'!AA7</f>
        <v>2.21238938053097E-3</v>
      </c>
      <c r="AN46" s="71">
        <f>'TCD TO série 4'!AB7</f>
        <v>6.3291139240506337E-3</v>
      </c>
      <c r="AO46" s="71">
        <f>'TCD TO série 4'!AC7</f>
        <v>6.3291139240506337E-3</v>
      </c>
      <c r="AP46" s="71">
        <f>'TCD TO série 4'!AD7</f>
        <v>2.1390374331550801E-2</v>
      </c>
      <c r="AQ46" s="71">
        <f>'TCD TO série 4'!AE7</f>
        <v>2.1390374331550801E-2</v>
      </c>
      <c r="AR46" s="71">
        <f>'TCD TO série 4'!AF7</f>
        <v>1.0542168674698796E-2</v>
      </c>
      <c r="AS46" s="71">
        <f>'TCD TO série 4'!AG7</f>
        <v>1.0542168674698796E-2</v>
      </c>
      <c r="AT46" s="71">
        <f>'TCD TO série 4'!AH7</f>
        <v>0.14607385289313499</v>
      </c>
    </row>
    <row r="47" spans="1:58" x14ac:dyDescent="0.25">
      <c r="A47" s="82" t="s">
        <v>35</v>
      </c>
      <c r="B47" s="111"/>
      <c r="C47" s="111"/>
      <c r="D47" s="111"/>
      <c r="E47" s="102"/>
      <c r="F47" s="71">
        <f>'TCD TO série 4'!B8</f>
        <v>0</v>
      </c>
      <c r="G47" s="71">
        <f>'TCD TO série 4'!C8</f>
        <v>0</v>
      </c>
      <c r="H47" s="71">
        <f>'TCD TO série 4'!D8</f>
        <v>0</v>
      </c>
      <c r="I47" s="71">
        <f>'TCD TO série 4'!E8</f>
        <v>0</v>
      </c>
      <c r="J47" s="111"/>
      <c r="K47" s="111"/>
      <c r="L47" s="111"/>
      <c r="M47" s="111"/>
      <c r="N47" s="111"/>
      <c r="O47" s="111"/>
      <c r="P47" s="111"/>
      <c r="Q47" s="71"/>
      <c r="R47" s="71">
        <f>'TCD TO série 4'!F8</f>
        <v>0</v>
      </c>
      <c r="S47" s="71">
        <f>'TCD TO série 4'!G8</f>
        <v>0</v>
      </c>
      <c r="T47" s="71">
        <f>'TCD TO série 4'!H8</f>
        <v>0</v>
      </c>
      <c r="U47" s="71">
        <f>'TCD TO série 4'!I8</f>
        <v>0</v>
      </c>
      <c r="V47" s="71">
        <f>'TCD TO série 4'!J8</f>
        <v>0</v>
      </c>
      <c r="W47" s="71">
        <f>'TCD TO série 4'!K8</f>
        <v>0</v>
      </c>
      <c r="X47" s="71">
        <f>'TCD TO série 4'!L8</f>
        <v>0</v>
      </c>
      <c r="Y47" s="71">
        <f>'TCD TO série 4'!M8</f>
        <v>0</v>
      </c>
      <c r="Z47" s="71">
        <f>'TCD TO série 4'!N8</f>
        <v>0</v>
      </c>
      <c r="AA47" s="71">
        <f>'TCD TO série 4'!O8</f>
        <v>0</v>
      </c>
      <c r="AB47" s="71">
        <f>'TCD TO série 4'!P8</f>
        <v>0</v>
      </c>
      <c r="AC47" s="71">
        <f>'TCD TO série 4'!Q8</f>
        <v>0</v>
      </c>
      <c r="AD47" s="71">
        <f>'TCD TO série 4'!R8</f>
        <v>0</v>
      </c>
      <c r="AE47" s="71">
        <f>'TCD TO série 4'!S8</f>
        <v>0</v>
      </c>
      <c r="AF47" s="71">
        <f>'TCD TO série 4'!T8</f>
        <v>0</v>
      </c>
      <c r="AG47" s="71">
        <f>'TCD TO série 4'!U8</f>
        <v>0</v>
      </c>
      <c r="AH47" s="71">
        <f>'TCD TO série 4'!V8</f>
        <v>0</v>
      </c>
      <c r="AI47" s="71">
        <f>'TCD TO série 4'!W8</f>
        <v>0</v>
      </c>
      <c r="AJ47" s="71">
        <f>'TCD TO série 4'!X8</f>
        <v>0</v>
      </c>
      <c r="AK47" s="71">
        <f>'TCD TO série 4'!Y8</f>
        <v>0</v>
      </c>
      <c r="AL47" s="71">
        <f>'TCD TO série 4'!Z8</f>
        <v>0</v>
      </c>
      <c r="AM47" s="71">
        <f>'TCD TO série 4'!AA8</f>
        <v>0</v>
      </c>
      <c r="AN47" s="71">
        <f>'TCD TO série 4'!AB8</f>
        <v>0</v>
      </c>
      <c r="AO47" s="71">
        <f>'TCD TO série 4'!AC8</f>
        <v>0</v>
      </c>
      <c r="AP47" s="71">
        <f>'TCD TO série 4'!AD8</f>
        <v>0</v>
      </c>
      <c r="AQ47" s="71">
        <f>'TCD TO série 4'!AE8</f>
        <v>0</v>
      </c>
      <c r="AR47" s="71">
        <f>'TCD TO série 4'!AF8</f>
        <v>0</v>
      </c>
      <c r="AS47" s="71">
        <f>'TCD TO série 4'!AG8</f>
        <v>0</v>
      </c>
      <c r="AT47" s="71">
        <f>'TCD TO série 4'!AH8</f>
        <v>0</v>
      </c>
    </row>
    <row r="48" spans="1:58" x14ac:dyDescent="0.25">
      <c r="A48" s="82" t="s">
        <v>22</v>
      </c>
      <c r="B48" s="111"/>
      <c r="C48" s="111"/>
      <c r="D48" s="111"/>
      <c r="E48" s="102"/>
      <c r="F48" s="71">
        <f>'TCD TO série 4'!B9</f>
        <v>6.7643742953776781E-3</v>
      </c>
      <c r="G48" s="71">
        <f>'TCD TO série 4'!C9</f>
        <v>6.7643742953776781E-3</v>
      </c>
      <c r="H48" s="71">
        <f>'TCD TO série 4'!D9</f>
        <v>5.189413596263623E-4</v>
      </c>
      <c r="I48" s="71">
        <f>'TCD TO série 4'!E9</f>
        <v>5.189413596263623E-4</v>
      </c>
      <c r="J48" s="111"/>
      <c r="K48" s="111"/>
      <c r="L48" s="111"/>
      <c r="M48" s="111"/>
      <c r="N48" s="111"/>
      <c r="O48" s="111"/>
      <c r="P48" s="111"/>
      <c r="Q48" s="71"/>
      <c r="R48" s="71">
        <f>'TCD TO série 4'!F9</f>
        <v>0</v>
      </c>
      <c r="S48" s="71">
        <f>'TCD TO série 4'!G9</f>
        <v>0</v>
      </c>
      <c r="T48" s="71">
        <f>'TCD TO série 4'!H9</f>
        <v>2.2764227642276421E-2</v>
      </c>
      <c r="U48" s="71">
        <f>'TCD TO série 4'!I9</f>
        <v>2.2764227642276421E-2</v>
      </c>
      <c r="V48" s="71">
        <f>'TCD TO série 4'!J9</f>
        <v>0.15201900237529695</v>
      </c>
      <c r="W48" s="71">
        <f>'TCD TO série 4'!K9</f>
        <v>0.15201900237529695</v>
      </c>
      <c r="X48" s="71">
        <f>'TCD TO série 4'!L9</f>
        <v>0</v>
      </c>
      <c r="Y48" s="71">
        <f>'TCD TO série 4'!M9</f>
        <v>0</v>
      </c>
      <c r="Z48" s="71">
        <f>'TCD TO série 4'!N9</f>
        <v>0</v>
      </c>
      <c r="AA48" s="71">
        <f>'TCD TO série 4'!O9</f>
        <v>0</v>
      </c>
      <c r="AB48" s="71">
        <f>'TCD TO série 4'!P9</f>
        <v>1.9512195121951216E-2</v>
      </c>
      <c r="AC48" s="71">
        <f>'TCD TO série 4'!Q9</f>
        <v>1.9512195121951216E-2</v>
      </c>
      <c r="AD48" s="71">
        <f>'TCD TO série 4'!R9</f>
        <v>5.1282051282051282E-3</v>
      </c>
      <c r="AE48" s="71">
        <f>'TCD TO série 4'!S9</f>
        <v>5.1282051282051282E-3</v>
      </c>
      <c r="AF48" s="71">
        <f>'TCD TO série 4'!T9</f>
        <v>2.5675675675675674E-2</v>
      </c>
      <c r="AG48" s="71">
        <f>'TCD TO série 4'!U9</f>
        <v>2.5675675675675674E-2</v>
      </c>
      <c r="AH48" s="71">
        <f>'TCD TO série 4'!V9</f>
        <v>0.55742725880551314</v>
      </c>
      <c r="AI48" s="71">
        <f>'TCD TO série 4'!W9</f>
        <v>0.55742725880551314</v>
      </c>
      <c r="AJ48" s="71">
        <f>'TCD TO série 4'!X9</f>
        <v>4.5351473922902501E-2</v>
      </c>
      <c r="AK48" s="71">
        <f>'TCD TO série 4'!Y9</f>
        <v>4.5351473922902501E-2</v>
      </c>
      <c r="AL48" s="71">
        <f>'TCD TO série 4'!Z9</f>
        <v>2.21238938053097E-3</v>
      </c>
      <c r="AM48" s="71">
        <f>'TCD TO série 4'!AA9</f>
        <v>2.21238938053097E-3</v>
      </c>
      <c r="AN48" s="71">
        <f>'TCD TO série 4'!AB9</f>
        <v>7.9113924050632944E-2</v>
      </c>
      <c r="AO48" s="71">
        <f>'TCD TO série 4'!AC9</f>
        <v>7.9113924050632944E-2</v>
      </c>
      <c r="AP48" s="71">
        <f>'TCD TO série 4'!AD9</f>
        <v>2.6737967914438492E-3</v>
      </c>
      <c r="AQ48" s="71">
        <f>'TCD TO série 4'!AE9</f>
        <v>2.6737967914438492E-3</v>
      </c>
      <c r="AR48" s="71">
        <f>'TCD TO série 4'!AF9</f>
        <v>6.0240963855421681E-3</v>
      </c>
      <c r="AS48" s="71">
        <f>'TCD TO série 4'!AG9</f>
        <v>6.0240963855421681E-3</v>
      </c>
      <c r="AT48" s="71">
        <f>'TCD TO série 4'!AH9</f>
        <v>0.92518556093497495</v>
      </c>
    </row>
    <row r="49" spans="1:58" x14ac:dyDescent="0.25">
      <c r="A49" s="82" t="s">
        <v>23</v>
      </c>
      <c r="B49" s="111"/>
      <c r="C49" s="111"/>
      <c r="D49" s="111"/>
      <c r="E49" s="102"/>
      <c r="F49" s="71">
        <f>'TCD TO série 4'!B10</f>
        <v>0.55129650507328076</v>
      </c>
      <c r="G49" s="71">
        <f>'TCD TO série 4'!C10</f>
        <v>0.55129650507328076</v>
      </c>
      <c r="H49" s="71">
        <f>'TCD TO série 4'!D10</f>
        <v>0.10768033212247015</v>
      </c>
      <c r="I49" s="71">
        <f>'TCD TO série 4'!E10</f>
        <v>0.10768033212247015</v>
      </c>
      <c r="J49" s="111"/>
      <c r="K49" s="111"/>
      <c r="L49" s="111"/>
      <c r="M49" s="111"/>
      <c r="N49" s="111"/>
      <c r="O49" s="111"/>
      <c r="P49" s="111"/>
      <c r="Q49" s="71"/>
      <c r="R49" s="71">
        <f>'TCD TO série 4'!F10</f>
        <v>5.3937432578209255E-3</v>
      </c>
      <c r="S49" s="71">
        <f>'TCD TO série 4'!G10</f>
        <v>5.3937432578209255E-3</v>
      </c>
      <c r="T49" s="71">
        <f>'TCD TO série 4'!H10</f>
        <v>0.12682926829268287</v>
      </c>
      <c r="U49" s="71">
        <f>'TCD TO série 4'!I10</f>
        <v>0.12682926829268287</v>
      </c>
      <c r="V49" s="71">
        <f>'TCD TO série 4'!J10</f>
        <v>5.9382422802850367E-2</v>
      </c>
      <c r="W49" s="71">
        <f>'TCD TO série 4'!K10</f>
        <v>5.9382422802850367E-2</v>
      </c>
      <c r="X49" s="71">
        <f>'TCD TO série 4'!L10</f>
        <v>0</v>
      </c>
      <c r="Y49" s="71">
        <f>'TCD TO série 4'!M10</f>
        <v>0</v>
      </c>
      <c r="Z49" s="71">
        <f>'TCD TO série 4'!N10</f>
        <v>0</v>
      </c>
      <c r="AA49" s="71">
        <f>'TCD TO série 4'!O10</f>
        <v>0</v>
      </c>
      <c r="AB49" s="71">
        <f>'TCD TO série 4'!P10</f>
        <v>0.25853658536585361</v>
      </c>
      <c r="AC49" s="71">
        <f>'TCD TO série 4'!Q10</f>
        <v>0.25853658536585361</v>
      </c>
      <c r="AD49" s="71">
        <f>'TCD TO série 4'!R10</f>
        <v>2.1794871794871794E-2</v>
      </c>
      <c r="AE49" s="71">
        <f>'TCD TO série 4'!S10</f>
        <v>2.1794871794871794E-2</v>
      </c>
      <c r="AF49" s="71">
        <f>'TCD TO série 4'!T10</f>
        <v>2.5675675675675674E-2</v>
      </c>
      <c r="AG49" s="71">
        <f>'TCD TO série 4'!U10</f>
        <v>2.5675675675675674E-2</v>
      </c>
      <c r="AH49" s="71">
        <f>'TCD TO série 4'!V10</f>
        <v>8.7289433384379791E-2</v>
      </c>
      <c r="AI49" s="71">
        <f>'TCD TO série 4'!W10</f>
        <v>8.7289433384379791E-2</v>
      </c>
      <c r="AJ49" s="71">
        <f>'TCD TO série 4'!X10</f>
        <v>9.7505668934240411E-2</v>
      </c>
      <c r="AK49" s="71">
        <f>'TCD TO série 4'!Y10</f>
        <v>9.7505668934240411E-2</v>
      </c>
      <c r="AL49" s="71">
        <f>'TCD TO série 4'!Z10</f>
        <v>2.6548672566371671E-2</v>
      </c>
      <c r="AM49" s="71">
        <f>'TCD TO série 4'!AA10</f>
        <v>2.6548672566371671E-2</v>
      </c>
      <c r="AN49" s="71">
        <f>'TCD TO série 4'!AB10</f>
        <v>1.8987341772151903E-2</v>
      </c>
      <c r="AO49" s="71">
        <f>'TCD TO série 4'!AC10</f>
        <v>1.8987341772151903E-2</v>
      </c>
      <c r="AP49" s="71">
        <f>'TCD TO série 4'!AD10</f>
        <v>0.12299465240641709</v>
      </c>
      <c r="AQ49" s="71">
        <f>'TCD TO série 4'!AE10</f>
        <v>0.12299465240641709</v>
      </c>
      <c r="AR49" s="71">
        <f>'TCD TO série 4'!AF10</f>
        <v>0.5030120481927709</v>
      </c>
      <c r="AS49" s="71">
        <f>'TCD TO série 4'!AG10</f>
        <v>0.5030120481927709</v>
      </c>
      <c r="AT49" s="71">
        <f>'TCD TO série 4'!AH10</f>
        <v>2.0129272216418386</v>
      </c>
    </row>
    <row r="50" spans="1:58" x14ac:dyDescent="0.25">
      <c r="A50" s="82" t="s">
        <v>60</v>
      </c>
      <c r="B50" s="111"/>
      <c r="C50" s="111"/>
      <c r="D50" s="111"/>
      <c r="E50" s="102"/>
      <c r="F50" s="71">
        <f>'TCD TO série 4'!B11</f>
        <v>9.0191657271702051E-3</v>
      </c>
      <c r="G50" s="71">
        <f>'TCD TO série 4'!C11</f>
        <v>9.0191657271702051E-3</v>
      </c>
      <c r="H50" s="71">
        <f>'TCD TO série 4'!D11</f>
        <v>1.297353399065904E-3</v>
      </c>
      <c r="I50" s="71">
        <f>'TCD TO série 4'!E11</f>
        <v>1.297353399065904E-3</v>
      </c>
      <c r="J50" s="111"/>
      <c r="K50" s="111"/>
      <c r="L50" s="111"/>
      <c r="M50" s="111"/>
      <c r="N50" s="111"/>
      <c r="O50" s="111"/>
      <c r="P50" s="111"/>
      <c r="Q50" s="71"/>
      <c r="R50" s="71">
        <f>'TCD TO série 4'!F11</f>
        <v>1.0787486515641805E-3</v>
      </c>
      <c r="S50" s="71">
        <f>'TCD TO série 4'!G11</f>
        <v>1.0787486515641805E-3</v>
      </c>
      <c r="T50" s="71">
        <f>'TCD TO série 4'!H11</f>
        <v>1.9512195121951209E-2</v>
      </c>
      <c r="U50" s="71">
        <f>'TCD TO série 4'!I11</f>
        <v>1.9512195121951209E-2</v>
      </c>
      <c r="V50" s="71">
        <f>'TCD TO série 4'!J11</f>
        <v>5.9382422802850353E-2</v>
      </c>
      <c r="W50" s="71">
        <f>'TCD TO série 4'!K11</f>
        <v>5.9382422802850353E-2</v>
      </c>
      <c r="X50" s="71">
        <f>'TCD TO série 4'!L11</f>
        <v>0</v>
      </c>
      <c r="Y50" s="71">
        <f>'TCD TO série 4'!M11</f>
        <v>0</v>
      </c>
      <c r="Z50" s="71">
        <f>'TCD TO série 4'!N11</f>
        <v>1.5999999999999981E-3</v>
      </c>
      <c r="AA50" s="71">
        <f>'TCD TO série 4'!O11</f>
        <v>1.5999999999999981E-3</v>
      </c>
      <c r="AB50" s="71">
        <f>'TCD TO série 4'!P11</f>
        <v>9.756097560975608E-3</v>
      </c>
      <c r="AC50" s="71">
        <f>'TCD TO série 4'!Q11</f>
        <v>9.756097560975608E-3</v>
      </c>
      <c r="AD50" s="71">
        <f>'TCD TO série 4'!R11</f>
        <v>7.6923076923076919E-3</v>
      </c>
      <c r="AE50" s="71">
        <f>'TCD TO série 4'!S11</f>
        <v>7.6923076923076919E-3</v>
      </c>
      <c r="AF50" s="71">
        <f>'TCD TO série 4'!T11</f>
        <v>2.837837837837838E-2</v>
      </c>
      <c r="AG50" s="71">
        <f>'TCD TO série 4'!U11</f>
        <v>2.837837837837838E-2</v>
      </c>
      <c r="AH50" s="71">
        <f>'TCD TO série 4'!V11</f>
        <v>0</v>
      </c>
      <c r="AI50" s="71">
        <f>'TCD TO série 4'!W11</f>
        <v>0</v>
      </c>
      <c r="AJ50" s="71">
        <f>'TCD TO série 4'!X11</f>
        <v>7.0294784580498759E-2</v>
      </c>
      <c r="AK50" s="71">
        <f>'TCD TO série 4'!Y11</f>
        <v>7.0294784580498759E-2</v>
      </c>
      <c r="AL50" s="71">
        <f>'TCD TO série 4'!Z11</f>
        <v>0.66814159292035424</v>
      </c>
      <c r="AM50" s="71">
        <f>'TCD TO série 4'!AA11</f>
        <v>0.66814159292035424</v>
      </c>
      <c r="AN50" s="71">
        <f>'TCD TO série 4'!AB11</f>
        <v>8.2278481012658305E-2</v>
      </c>
      <c r="AO50" s="71">
        <f>'TCD TO série 4'!AC11</f>
        <v>8.2278481012658305E-2</v>
      </c>
      <c r="AP50" s="71">
        <f>'TCD TO série 4'!AD11</f>
        <v>1.6042780748663096E-2</v>
      </c>
      <c r="AQ50" s="71">
        <f>'TCD TO série 4'!AE11</f>
        <v>1.6042780748663096E-2</v>
      </c>
      <c r="AR50" s="71">
        <f>'TCD TO série 4'!AF11</f>
        <v>1.0542168674698796E-2</v>
      </c>
      <c r="AS50" s="71">
        <f>'TCD TO série 4'!AG11</f>
        <v>1.0542168674698796E-2</v>
      </c>
      <c r="AT50" s="71">
        <f>'TCD TO série 4'!AH11</f>
        <v>0.98501647727113673</v>
      </c>
    </row>
    <row r="51" spans="1:58" x14ac:dyDescent="0.25">
      <c r="A51" s="82" t="s">
        <v>57</v>
      </c>
      <c r="B51" s="111"/>
      <c r="C51" s="111"/>
      <c r="D51" s="111"/>
      <c r="E51" s="102"/>
      <c r="F51" s="71">
        <f>'TCD TO série 4'!B12</f>
        <v>3.3821871476888365E-3</v>
      </c>
      <c r="G51" s="71">
        <f>'TCD TO série 4'!C12</f>
        <v>3.3821871476888365E-3</v>
      </c>
      <c r="H51" s="71">
        <f>'TCD TO série 4'!D12</f>
        <v>5.189413596263623E-4</v>
      </c>
      <c r="I51" s="71">
        <f>'TCD TO série 4'!E12</f>
        <v>5.189413596263623E-4</v>
      </c>
      <c r="J51" s="111"/>
      <c r="K51" s="111"/>
      <c r="L51" s="111"/>
      <c r="M51" s="111"/>
      <c r="N51" s="111"/>
      <c r="O51" s="111"/>
      <c r="P51" s="111"/>
      <c r="Q51" s="71"/>
      <c r="R51" s="71">
        <f>'TCD TO série 4'!F12</f>
        <v>1.6181229773462782E-2</v>
      </c>
      <c r="S51" s="71">
        <f>'TCD TO série 4'!G12</f>
        <v>1.6181229773462782E-2</v>
      </c>
      <c r="T51" s="71">
        <f>'TCD TO série 4'!H12</f>
        <v>0.21138211382113822</v>
      </c>
      <c r="U51" s="71">
        <f>'TCD TO série 4'!I12</f>
        <v>0.21138211382113822</v>
      </c>
      <c r="V51" s="71">
        <f>'TCD TO série 4'!J12</f>
        <v>4.5130641330166262E-2</v>
      </c>
      <c r="W51" s="71">
        <f>'TCD TO série 4'!K12</f>
        <v>4.5130641330166262E-2</v>
      </c>
      <c r="X51" s="71">
        <f>'TCD TO série 4'!L12</f>
        <v>0.21875</v>
      </c>
      <c r="Y51" s="71">
        <f>'TCD TO série 4'!M12</f>
        <v>0.21875</v>
      </c>
      <c r="Z51" s="71">
        <f>'TCD TO série 4'!N12</f>
        <v>4.7999999999999978E-3</v>
      </c>
      <c r="AA51" s="71">
        <f>'TCD TO série 4'!O12</f>
        <v>4.7999999999999978E-3</v>
      </c>
      <c r="AB51" s="71">
        <f>'TCD TO série 4'!P12</f>
        <v>2.4390243902439025E-2</v>
      </c>
      <c r="AC51" s="71">
        <f>'TCD TO série 4'!Q12</f>
        <v>2.4390243902439025E-2</v>
      </c>
      <c r="AD51" s="71">
        <f>'TCD TO série 4'!R12</f>
        <v>0.4358974358974359</v>
      </c>
      <c r="AE51" s="71">
        <f>'TCD TO série 4'!S12</f>
        <v>0.4358974358974359</v>
      </c>
      <c r="AF51" s="71">
        <f>'TCD TO série 4'!T12</f>
        <v>5.4054054054054057E-2</v>
      </c>
      <c r="AG51" s="71">
        <f>'TCD TO série 4'!U12</f>
        <v>5.4054054054054057E-2</v>
      </c>
      <c r="AH51" s="71">
        <f>'TCD TO série 4'!V12</f>
        <v>2.4502297090352228E-2</v>
      </c>
      <c r="AI51" s="71">
        <f>'TCD TO série 4'!W12</f>
        <v>2.4502297090352228E-2</v>
      </c>
      <c r="AJ51" s="71">
        <f>'TCD TO série 4'!X12</f>
        <v>0.19501133786848066</v>
      </c>
      <c r="AK51" s="71">
        <f>'TCD TO série 4'!Y12</f>
        <v>0.19501133786848066</v>
      </c>
      <c r="AL51" s="71">
        <f>'TCD TO série 4'!Z12</f>
        <v>7.9646017699114974E-2</v>
      </c>
      <c r="AM51" s="71">
        <f>'TCD TO série 4'!AA12</f>
        <v>7.9646017699114974E-2</v>
      </c>
      <c r="AN51" s="71">
        <f>'TCD TO série 4'!AB12</f>
        <v>0.16139240506329114</v>
      </c>
      <c r="AO51" s="71">
        <f>'TCD TO série 4'!AC12</f>
        <v>0.16139240506329114</v>
      </c>
      <c r="AP51" s="71">
        <f>'TCD TO série 4'!AD12</f>
        <v>6.4171122994652413E-2</v>
      </c>
      <c r="AQ51" s="71">
        <f>'TCD TO série 4'!AE12</f>
        <v>6.4171122994652413E-2</v>
      </c>
      <c r="AR51" s="71">
        <f>'TCD TO série 4'!AF12</f>
        <v>1.0542168674698796E-2</v>
      </c>
      <c r="AS51" s="71">
        <f>'TCD TO série 4'!AG12</f>
        <v>1.0542168674698796E-2</v>
      </c>
      <c r="AT51" s="71">
        <f>'TCD TO série 4'!AH12</f>
        <v>1.5497521966766012</v>
      </c>
    </row>
    <row r="52" spans="1:58" x14ac:dyDescent="0.25">
      <c r="A52" s="82" t="s">
        <v>59</v>
      </c>
      <c r="B52" s="111"/>
      <c r="C52" s="111"/>
      <c r="D52" s="111"/>
      <c r="E52" s="102"/>
      <c r="F52" s="71">
        <f>'TCD TO série 4'!B13</f>
        <v>0.34949267192784661</v>
      </c>
      <c r="G52" s="71">
        <f>'TCD TO série 4'!C13</f>
        <v>0.34949267192784661</v>
      </c>
      <c r="H52" s="71">
        <f>'TCD TO série 4'!D13</f>
        <v>0.8225220550077843</v>
      </c>
      <c r="I52" s="71">
        <f>'TCD TO série 4'!E13</f>
        <v>0.8225220550077843</v>
      </c>
      <c r="J52" s="111"/>
      <c r="K52" s="111"/>
      <c r="L52" s="111"/>
      <c r="M52" s="111"/>
      <c r="N52" s="111"/>
      <c r="O52" s="111"/>
      <c r="P52" s="111"/>
      <c r="Q52" s="71"/>
      <c r="R52" s="71">
        <f>'TCD TO série 4'!F13</f>
        <v>2.6968716289104597E-3</v>
      </c>
      <c r="S52" s="71">
        <f>'TCD TO série 4'!G13</f>
        <v>2.6968716289104597E-3</v>
      </c>
      <c r="T52" s="71">
        <f>'TCD TO série 4'!H13</f>
        <v>6.9918699186991881E-2</v>
      </c>
      <c r="U52" s="71">
        <f>'TCD TO série 4'!I13</f>
        <v>6.9918699186991881E-2</v>
      </c>
      <c r="V52" s="71">
        <f>'TCD TO série 4'!J13</f>
        <v>1.9002375296912111E-2</v>
      </c>
      <c r="W52" s="71">
        <f>'TCD TO série 4'!K13</f>
        <v>1.9002375296912111E-2</v>
      </c>
      <c r="X52" s="71">
        <f>'TCD TO série 4'!L13</f>
        <v>0</v>
      </c>
      <c r="Y52" s="71">
        <f>'TCD TO série 4'!M13</f>
        <v>0</v>
      </c>
      <c r="Z52" s="71">
        <f>'TCD TO série 4'!N13</f>
        <v>0</v>
      </c>
      <c r="AA52" s="71">
        <f>'TCD TO série 4'!O13</f>
        <v>0</v>
      </c>
      <c r="AB52" s="71">
        <f>'TCD TO série 4'!P13</f>
        <v>0.25121951219512195</v>
      </c>
      <c r="AC52" s="71">
        <f>'TCD TO série 4'!Q13</f>
        <v>0.25121951219512195</v>
      </c>
      <c r="AD52" s="71">
        <f>'TCD TO série 4'!R13</f>
        <v>8.9743589743589754E-3</v>
      </c>
      <c r="AE52" s="71">
        <f>'TCD TO série 4'!S13</f>
        <v>8.9743589743589754E-3</v>
      </c>
      <c r="AF52" s="71">
        <f>'TCD TO série 4'!T13</f>
        <v>9.4594594594594582E-3</v>
      </c>
      <c r="AG52" s="71">
        <f>'TCD TO série 4'!U13</f>
        <v>9.4594594594594582E-3</v>
      </c>
      <c r="AH52" s="71">
        <f>'TCD TO série 4'!V13</f>
        <v>5.2067381316998479E-2</v>
      </c>
      <c r="AI52" s="71">
        <f>'TCD TO série 4'!W13</f>
        <v>5.2067381316998479E-2</v>
      </c>
      <c r="AJ52" s="71">
        <f>'TCD TO série 4'!X13</f>
        <v>9.0702947845805015E-2</v>
      </c>
      <c r="AK52" s="71">
        <f>'TCD TO série 4'!Y13</f>
        <v>9.0702947845805015E-2</v>
      </c>
      <c r="AL52" s="71">
        <f>'TCD TO série 4'!Z13</f>
        <v>1.9911504424778754E-2</v>
      </c>
      <c r="AM52" s="71">
        <f>'TCD TO série 4'!AA13</f>
        <v>1.9911504424778754E-2</v>
      </c>
      <c r="AN52" s="71">
        <f>'TCD TO série 4'!AB13</f>
        <v>2.8481012658227858E-2</v>
      </c>
      <c r="AO52" s="71">
        <f>'TCD TO série 4'!AC13</f>
        <v>2.8481012658227858E-2</v>
      </c>
      <c r="AP52" s="71">
        <f>'TCD TO série 4'!AD13</f>
        <v>0.20855614973262032</v>
      </c>
      <c r="AQ52" s="71">
        <f>'TCD TO série 4'!AE13</f>
        <v>0.20855614973262032</v>
      </c>
      <c r="AR52" s="71">
        <f>'TCD TO série 4'!AF13</f>
        <v>0.34487951807228917</v>
      </c>
      <c r="AS52" s="71">
        <f>'TCD TO série 4'!AG13</f>
        <v>0.34487951807228917</v>
      </c>
      <c r="AT52" s="71">
        <f>'TCD TO série 4'!AH13</f>
        <v>2.2778845177281051</v>
      </c>
    </row>
    <row r="53" spans="1:58" x14ac:dyDescent="0.25">
      <c r="A53" s="82" t="s">
        <v>200</v>
      </c>
      <c r="B53" s="111"/>
      <c r="C53" s="111"/>
      <c r="D53" s="111"/>
      <c r="E53" s="102"/>
      <c r="F53" s="71">
        <f>'TCD TO série 4'!B14</f>
        <v>0</v>
      </c>
      <c r="G53" s="71">
        <f>'TCD TO série 4'!C14</f>
        <v>0</v>
      </c>
      <c r="H53" s="71">
        <f>'TCD TO série 4'!D14</f>
        <v>0</v>
      </c>
      <c r="I53" s="71">
        <f>'TCD TO série 4'!E14</f>
        <v>0</v>
      </c>
      <c r="J53" s="111"/>
      <c r="K53" s="111"/>
      <c r="L53" s="111"/>
      <c r="M53" s="111"/>
      <c r="N53" s="111"/>
      <c r="O53" s="111"/>
      <c r="P53" s="111"/>
      <c r="Q53" s="71"/>
      <c r="R53" s="71">
        <f>'TCD TO série 4'!F14</f>
        <v>0</v>
      </c>
      <c r="S53" s="71">
        <f>'TCD TO série 4'!G14</f>
        <v>0</v>
      </c>
      <c r="T53" s="71">
        <f>'TCD TO série 4'!H14</f>
        <v>0</v>
      </c>
      <c r="U53" s="71">
        <f>'TCD TO série 4'!I14</f>
        <v>0</v>
      </c>
      <c r="V53" s="71">
        <f>'TCD TO série 4'!J14</f>
        <v>0</v>
      </c>
      <c r="W53" s="71">
        <f>'TCD TO série 4'!K14</f>
        <v>0</v>
      </c>
      <c r="X53" s="71">
        <f>'TCD TO série 4'!L14</f>
        <v>0</v>
      </c>
      <c r="Y53" s="71">
        <f>'TCD TO série 4'!M14</f>
        <v>0</v>
      </c>
      <c r="Z53" s="71">
        <f>'TCD TO série 4'!N14</f>
        <v>0</v>
      </c>
      <c r="AA53" s="71">
        <f>'TCD TO série 4'!O14</f>
        <v>0</v>
      </c>
      <c r="AB53" s="71">
        <f>'TCD TO série 4'!P14</f>
        <v>0</v>
      </c>
      <c r="AC53" s="71">
        <f>'TCD TO série 4'!Q14</f>
        <v>0</v>
      </c>
      <c r="AD53" s="71">
        <f>'TCD TO série 4'!R14</f>
        <v>0</v>
      </c>
      <c r="AE53" s="71">
        <f>'TCD TO série 4'!S14</f>
        <v>0</v>
      </c>
      <c r="AF53" s="71">
        <f>'TCD TO série 4'!T14</f>
        <v>0</v>
      </c>
      <c r="AG53" s="71">
        <f>'TCD TO série 4'!U14</f>
        <v>0</v>
      </c>
      <c r="AH53" s="71">
        <f>'TCD TO série 4'!V14</f>
        <v>0</v>
      </c>
      <c r="AI53" s="71">
        <f>'TCD TO série 4'!W14</f>
        <v>0</v>
      </c>
      <c r="AJ53" s="71">
        <f>'TCD TO série 4'!X14</f>
        <v>0</v>
      </c>
      <c r="AK53" s="71">
        <f>'TCD TO série 4'!Y14</f>
        <v>0</v>
      </c>
      <c r="AL53" s="71">
        <f>'TCD TO série 4'!Z14</f>
        <v>0</v>
      </c>
      <c r="AM53" s="71">
        <f>'TCD TO série 4'!AA14</f>
        <v>0</v>
      </c>
      <c r="AN53" s="71">
        <f>'TCD TO série 4'!AB14</f>
        <v>0</v>
      </c>
      <c r="AO53" s="71">
        <f>'TCD TO série 4'!AC14</f>
        <v>0</v>
      </c>
      <c r="AP53" s="71">
        <f>'TCD TO série 4'!AD14</f>
        <v>0</v>
      </c>
      <c r="AQ53" s="71">
        <f>'TCD TO série 4'!AE14</f>
        <v>0</v>
      </c>
      <c r="AR53" s="71">
        <f>'TCD TO série 4'!AF14</f>
        <v>0</v>
      </c>
      <c r="AS53" s="71">
        <f>'TCD TO série 4'!AG14</f>
        <v>0</v>
      </c>
      <c r="AT53" s="71">
        <f>'TCD TO série 4'!AH14</f>
        <v>0</v>
      </c>
    </row>
    <row r="54" spans="1:58" x14ac:dyDescent="0.25">
      <c r="A54" s="82" t="s">
        <v>58</v>
      </c>
      <c r="B54" s="111"/>
      <c r="C54" s="111"/>
      <c r="D54" s="111"/>
      <c r="E54" s="102"/>
      <c r="F54" s="71">
        <f>'TCD TO série 4'!B15</f>
        <v>4.5095828635851173E-3</v>
      </c>
      <c r="G54" s="71">
        <f>'TCD TO série 4'!C15</f>
        <v>4.5095828635851173E-3</v>
      </c>
      <c r="H54" s="71">
        <f>'TCD TO série 4'!D15</f>
        <v>1.297353399065906E-3</v>
      </c>
      <c r="I54" s="71">
        <f>'TCD TO série 4'!E15</f>
        <v>1.297353399065906E-3</v>
      </c>
      <c r="J54" s="111"/>
      <c r="K54" s="111"/>
      <c r="L54" s="111"/>
      <c r="M54" s="111"/>
      <c r="N54" s="111"/>
      <c r="O54" s="111"/>
      <c r="P54" s="111"/>
      <c r="Q54" s="71"/>
      <c r="R54" s="71">
        <f>'TCD TO série 4'!F15</f>
        <v>2.6968716289104597E-3</v>
      </c>
      <c r="S54" s="71">
        <f>'TCD TO série 4'!G15</f>
        <v>2.6968716289104597E-3</v>
      </c>
      <c r="T54" s="71">
        <f>'TCD TO série 4'!H15</f>
        <v>0.14634146341463414</v>
      </c>
      <c r="U54" s="71">
        <f>'TCD TO série 4'!I15</f>
        <v>0.14634146341463414</v>
      </c>
      <c r="V54" s="71">
        <f>'TCD TO série 4'!J15</f>
        <v>0.4608076009501188</v>
      </c>
      <c r="W54" s="71">
        <f>'TCD TO série 4'!K15</f>
        <v>0.4608076009501188</v>
      </c>
      <c r="X54" s="71">
        <f>'TCD TO série 4'!L15</f>
        <v>0.54374999999999996</v>
      </c>
      <c r="Y54" s="71">
        <f>'TCD TO série 4'!M15</f>
        <v>0.54374999999999996</v>
      </c>
      <c r="Z54" s="71">
        <f>'TCD TO série 4'!N15</f>
        <v>0</v>
      </c>
      <c r="AA54" s="71">
        <f>'TCD TO série 4'!O15</f>
        <v>0</v>
      </c>
      <c r="AB54" s="71">
        <f>'TCD TO série 4'!P15</f>
        <v>0.13170731707317071</v>
      </c>
      <c r="AC54" s="71">
        <f>'TCD TO série 4'!Q15</f>
        <v>0.13170731707317071</v>
      </c>
      <c r="AD54" s="71">
        <f>'TCD TO série 4'!R15</f>
        <v>6.2820512820512819E-2</v>
      </c>
      <c r="AE54" s="71">
        <f>'TCD TO série 4'!S15</f>
        <v>6.2820512820512819E-2</v>
      </c>
      <c r="AF54" s="71">
        <f>'TCD TO série 4'!T15</f>
        <v>0.70405405405405397</v>
      </c>
      <c r="AG54" s="71">
        <f>'TCD TO série 4'!U15</f>
        <v>0.70405405405405397</v>
      </c>
      <c r="AH54" s="71">
        <f>'TCD TO série 4'!V15</f>
        <v>0.12098009188361399</v>
      </c>
      <c r="AI54" s="71">
        <f>'TCD TO série 4'!W15</f>
        <v>0.12098009188361399</v>
      </c>
      <c r="AJ54" s="71">
        <f>'TCD TO série 4'!X15</f>
        <v>0.10657596371882087</v>
      </c>
      <c r="AK54" s="71">
        <f>'TCD TO série 4'!Y15</f>
        <v>0.10657596371882087</v>
      </c>
      <c r="AL54" s="71">
        <f>'TCD TO série 4'!Z15</f>
        <v>3.3185840707964598E-2</v>
      </c>
      <c r="AM54" s="71">
        <f>'TCD TO série 4'!AA15</f>
        <v>3.3185840707964598E-2</v>
      </c>
      <c r="AN54" s="71">
        <f>'TCD TO série 4'!AB15</f>
        <v>0.28481012658227839</v>
      </c>
      <c r="AO54" s="71">
        <f>'TCD TO série 4'!AC15</f>
        <v>0.28481012658227839</v>
      </c>
      <c r="AP54" s="71">
        <f>'TCD TO série 4'!AD15</f>
        <v>0.12834224598930477</v>
      </c>
      <c r="AQ54" s="71">
        <f>'TCD TO série 4'!AE15</f>
        <v>0.12834224598930477</v>
      </c>
      <c r="AR54" s="71">
        <f>'TCD TO série 4'!AF15</f>
        <v>1.6566265060240969E-2</v>
      </c>
      <c r="AS54" s="71">
        <f>'TCD TO série 4'!AG15</f>
        <v>1.6566265060240969E-2</v>
      </c>
      <c r="AT54" s="71">
        <f>'TCD TO série 4'!AH15</f>
        <v>2.7484452901462753</v>
      </c>
    </row>
    <row r="55" spans="1:58" x14ac:dyDescent="0.25">
      <c r="A55" s="82" t="s">
        <v>56</v>
      </c>
      <c r="B55" s="111"/>
      <c r="C55" s="111"/>
      <c r="D55" s="111"/>
      <c r="E55" s="102"/>
      <c r="F55" s="71">
        <f>'TCD TO série 4'!B16</f>
        <v>1.1273957158962795E-3</v>
      </c>
      <c r="G55" s="71">
        <f>'TCD TO série 4'!C16</f>
        <v>1.1273957158962795E-3</v>
      </c>
      <c r="H55" s="71">
        <f>'TCD TO série 4'!D16</f>
        <v>0</v>
      </c>
      <c r="I55" s="71">
        <f>'TCD TO série 4'!E16</f>
        <v>0</v>
      </c>
      <c r="J55" s="111"/>
      <c r="K55" s="111"/>
      <c r="L55" s="111"/>
      <c r="M55" s="111"/>
      <c r="N55" s="111"/>
      <c r="O55" s="111"/>
      <c r="P55" s="111"/>
      <c r="Q55" s="71"/>
      <c r="R55" s="71">
        <f>'TCD TO série 4'!F16</f>
        <v>0.9439050701186622</v>
      </c>
      <c r="S55" s="71">
        <f>'TCD TO série 4'!G16</f>
        <v>0.9439050701186622</v>
      </c>
      <c r="T55" s="71">
        <f>'TCD TO série 4'!H16</f>
        <v>0.19024390243902436</v>
      </c>
      <c r="U55" s="71">
        <f>'TCD TO série 4'!I16</f>
        <v>0.19024390243902436</v>
      </c>
      <c r="V55" s="71">
        <f>'TCD TO série 4'!J16</f>
        <v>1.1876484560570073E-2</v>
      </c>
      <c r="W55" s="71">
        <f>'TCD TO série 4'!K16</f>
        <v>1.1876484560570073E-2</v>
      </c>
      <c r="X55" s="71">
        <f>'TCD TO série 4'!L16</f>
        <v>0.23750000000000004</v>
      </c>
      <c r="Y55" s="71">
        <f>'TCD TO série 4'!M16</f>
        <v>0.23750000000000004</v>
      </c>
      <c r="Z55" s="71">
        <f>'TCD TO série 4'!N16</f>
        <v>0.98720000000000008</v>
      </c>
      <c r="AA55" s="71">
        <f>'TCD TO série 4'!O16</f>
        <v>0.98720000000000008</v>
      </c>
      <c r="AB55" s="71">
        <f>'TCD TO série 4'!P16</f>
        <v>1.9512195121951216E-2</v>
      </c>
      <c r="AC55" s="71">
        <f>'TCD TO série 4'!Q16</f>
        <v>1.9512195121951216E-2</v>
      </c>
      <c r="AD55" s="71">
        <f>'TCD TO série 4'!R16</f>
        <v>0.39743589743589741</v>
      </c>
      <c r="AE55" s="71">
        <f>'TCD TO série 4'!S16</f>
        <v>0.39743589743589741</v>
      </c>
      <c r="AF55" s="71">
        <f>'TCD TO série 4'!T16</f>
        <v>9.4594594594594582E-3</v>
      </c>
      <c r="AG55" s="71">
        <f>'TCD TO série 4'!U16</f>
        <v>9.4594594594594582E-3</v>
      </c>
      <c r="AH55" s="71">
        <f>'TCD TO série 4'!V16</f>
        <v>4.59418070444104E-3</v>
      </c>
      <c r="AI55" s="71">
        <f>'TCD TO série 4'!W16</f>
        <v>4.59418070444104E-3</v>
      </c>
      <c r="AJ55" s="71">
        <f>'TCD TO série 4'!X16</f>
        <v>9.9773242630385478E-2</v>
      </c>
      <c r="AK55" s="71">
        <f>'TCD TO série 4'!Y16</f>
        <v>9.9773242630385478E-2</v>
      </c>
      <c r="AL55" s="71">
        <f>'TCD TO série 4'!Z16</f>
        <v>2.21238938053097E-3</v>
      </c>
      <c r="AM55" s="71">
        <f>'TCD TO série 4'!AA16</f>
        <v>2.21238938053097E-3</v>
      </c>
      <c r="AN55" s="71">
        <f>'TCD TO série 4'!AB16</f>
        <v>0.12341772151898737</v>
      </c>
      <c r="AO55" s="71">
        <f>'TCD TO série 4'!AC16</f>
        <v>0.12341772151898737</v>
      </c>
      <c r="AP55" s="71">
        <f>'TCD TO série 4'!AD16</f>
        <v>6.5508021390374302E-2</v>
      </c>
      <c r="AQ55" s="71">
        <f>'TCD TO série 4'!AE16</f>
        <v>6.5508021390374302E-2</v>
      </c>
      <c r="AR55" s="71">
        <f>'TCD TO série 4'!AF16</f>
        <v>4.5180722891566246E-3</v>
      </c>
      <c r="AS55" s="71">
        <f>'TCD TO série 4'!AG16</f>
        <v>4.5180722891566246E-3</v>
      </c>
      <c r="AT55" s="71">
        <f>'TCD TO série 4'!AH16</f>
        <v>3.0982840327653371</v>
      </c>
    </row>
    <row r="56" spans="1:58" x14ac:dyDescent="0.25">
      <c r="A56" s="82" t="s">
        <v>10</v>
      </c>
      <c r="B56" s="111"/>
      <c r="C56" s="111"/>
      <c r="D56" s="111"/>
      <c r="E56" s="102"/>
      <c r="F56" s="71">
        <f>'TCD TO série 4'!B17</f>
        <v>7.3280721533258167E-2</v>
      </c>
      <c r="G56" s="71">
        <f>'TCD TO série 4'!C17</f>
        <v>7.3280721533258167E-2</v>
      </c>
      <c r="H56" s="71">
        <f>'TCD TO série 4'!D17</f>
        <v>6.3570316554229372E-2</v>
      </c>
      <c r="I56" s="71">
        <f>'TCD TO série 4'!E17</f>
        <v>6.3570316554229372E-2</v>
      </c>
      <c r="J56" s="111"/>
      <c r="K56" s="111"/>
      <c r="L56" s="111"/>
      <c r="M56" s="111"/>
      <c r="N56" s="111"/>
      <c r="O56" s="111"/>
      <c r="P56" s="111"/>
      <c r="Q56" s="71"/>
      <c r="R56" s="71">
        <f>'TCD TO série 4'!F17</f>
        <v>2.6968716289104636E-2</v>
      </c>
      <c r="S56" s="71">
        <f>'TCD TO série 4'!G17</f>
        <v>2.6968716289104636E-2</v>
      </c>
      <c r="T56" s="71">
        <f>'TCD TO série 4'!H17</f>
        <v>0.19186991869918696</v>
      </c>
      <c r="U56" s="71">
        <f>'TCD TO série 4'!I17</f>
        <v>0.19186991869918696</v>
      </c>
      <c r="V56" s="71">
        <f>'TCD TO série 4'!J17</f>
        <v>0.18527315914489306</v>
      </c>
      <c r="W56" s="71">
        <f>'TCD TO série 4'!K17</f>
        <v>0.18527315914489306</v>
      </c>
      <c r="X56" s="71">
        <f>'TCD TO série 4'!L17</f>
        <v>0</v>
      </c>
      <c r="Y56" s="71">
        <f>'TCD TO série 4'!M17</f>
        <v>0</v>
      </c>
      <c r="Z56" s="71">
        <f>'TCD TO série 4'!N17</f>
        <v>6.4000000000000003E-3</v>
      </c>
      <c r="AA56" s="71">
        <f>'TCD TO série 4'!O17</f>
        <v>6.4000000000000003E-3</v>
      </c>
      <c r="AB56" s="71">
        <f>'TCD TO série 4'!P17</f>
        <v>0.23414634146341468</v>
      </c>
      <c r="AC56" s="71">
        <f>'TCD TO série 4'!Q17</f>
        <v>0.23414634146341468</v>
      </c>
      <c r="AD56" s="71">
        <f>'TCD TO série 4'!R17</f>
        <v>5.5128205128205099E-2</v>
      </c>
      <c r="AE56" s="71">
        <f>'TCD TO série 4'!S17</f>
        <v>5.5128205128205099E-2</v>
      </c>
      <c r="AF56" s="71">
        <f>'TCD TO série 4'!T17</f>
        <v>0.13918918918918916</v>
      </c>
      <c r="AG56" s="71">
        <f>'TCD TO série 4'!U17</f>
        <v>0.13918918918918916</v>
      </c>
      <c r="AH56" s="71">
        <f>'TCD TO série 4'!V17</f>
        <v>0.15007656967840735</v>
      </c>
      <c r="AI56" s="71">
        <f>'TCD TO série 4'!W17</f>
        <v>0.15007656967840735</v>
      </c>
      <c r="AJ56" s="71">
        <f>'TCD TO série 4'!X17</f>
        <v>0.28571428571428581</v>
      </c>
      <c r="AK56" s="71">
        <f>'TCD TO série 4'!Y17</f>
        <v>0.28571428571428581</v>
      </c>
      <c r="AL56" s="71">
        <f>'TCD TO série 4'!Z17</f>
        <v>0.16592920353982282</v>
      </c>
      <c r="AM56" s="71">
        <f>'TCD TO série 4'!AA17</f>
        <v>0.16592920353982282</v>
      </c>
      <c r="AN56" s="71">
        <f>'TCD TO série 4'!AB17</f>
        <v>0.21518987341772153</v>
      </c>
      <c r="AO56" s="71">
        <f>'TCD TO série 4'!AC17</f>
        <v>0.21518987341772153</v>
      </c>
      <c r="AP56" s="71">
        <f>'TCD TO série 4'!AD17</f>
        <v>0.37032085561497324</v>
      </c>
      <c r="AQ56" s="71">
        <f>'TCD TO série 4'!AE17</f>
        <v>0.37032085561497324</v>
      </c>
      <c r="AR56" s="71">
        <f>'TCD TO série 4'!AF17</f>
        <v>9.3373493975903665E-2</v>
      </c>
      <c r="AS56" s="71">
        <f>'TCD TO série 4'!AG17</f>
        <v>9.3373493975903665E-2</v>
      </c>
      <c r="AT56" s="71">
        <f>'TCD TO série 4'!AH17</f>
        <v>2.2564308499425954</v>
      </c>
    </row>
    <row r="57" spans="1:58" x14ac:dyDescent="0.25">
      <c r="A57" s="83" t="s">
        <v>31</v>
      </c>
      <c r="B57" s="111"/>
      <c r="C57" s="111"/>
      <c r="D57" s="111"/>
      <c r="E57" s="103"/>
      <c r="F57" s="77">
        <f>SUM(F45:F56)</f>
        <v>0.99999999999999989</v>
      </c>
      <c r="G57" s="78">
        <f t="shared" ref="G57" si="8">SUM(G45:G56)</f>
        <v>0.99999999999999989</v>
      </c>
      <c r="H57" s="78">
        <f>SUM(H45:H56)</f>
        <v>1.0000000000000002</v>
      </c>
      <c r="I57" s="79">
        <f t="shared" ref="I57" si="9">SUM(I45:I56)</f>
        <v>1.0000000000000002</v>
      </c>
      <c r="J57" s="111"/>
      <c r="K57" s="111"/>
      <c r="L57" s="111"/>
      <c r="M57" s="111"/>
      <c r="N57" s="111"/>
      <c r="O57" s="111"/>
      <c r="P57" s="111"/>
      <c r="Q57" s="77"/>
      <c r="R57" s="77">
        <f>SUM(R45:R56)</f>
        <v>0.99999999999999989</v>
      </c>
      <c r="S57" s="78">
        <f t="shared" ref="S57:U57" si="10">SUM(S45:S56)</f>
        <v>0.99999999999999989</v>
      </c>
      <c r="T57" s="78">
        <f t="shared" si="10"/>
        <v>0.99999999999999978</v>
      </c>
      <c r="U57" s="79">
        <f t="shared" si="10"/>
        <v>0.99999999999999978</v>
      </c>
      <c r="V57" s="77">
        <f>SUM(V45:V56)</f>
        <v>1</v>
      </c>
      <c r="W57" s="78">
        <f t="shared" ref="W57:AT57" si="11">SUM(W45:W56)</f>
        <v>1</v>
      </c>
      <c r="X57" s="78">
        <f t="shared" si="11"/>
        <v>1</v>
      </c>
      <c r="Y57" s="78">
        <f t="shared" si="11"/>
        <v>1</v>
      </c>
      <c r="Z57" s="78">
        <f t="shared" si="11"/>
        <v>1</v>
      </c>
      <c r="AA57" s="78">
        <f t="shared" si="11"/>
        <v>1</v>
      </c>
      <c r="AB57" s="78">
        <f t="shared" si="11"/>
        <v>1</v>
      </c>
      <c r="AC57" s="78">
        <f t="shared" si="11"/>
        <v>1</v>
      </c>
      <c r="AD57" s="78">
        <f t="shared" si="11"/>
        <v>1</v>
      </c>
      <c r="AE57" s="78">
        <f t="shared" si="11"/>
        <v>1</v>
      </c>
      <c r="AF57" s="78">
        <f t="shared" si="11"/>
        <v>0.99999999999999978</v>
      </c>
      <c r="AG57" s="78">
        <f t="shared" si="11"/>
        <v>0.99999999999999978</v>
      </c>
      <c r="AH57" s="78">
        <f t="shared" si="11"/>
        <v>1.0000000000000002</v>
      </c>
      <c r="AI57" s="78">
        <f t="shared" si="11"/>
        <v>1.0000000000000002</v>
      </c>
      <c r="AJ57" s="78">
        <f t="shared" si="11"/>
        <v>0.99999999999999989</v>
      </c>
      <c r="AK57" s="78">
        <f t="shared" si="11"/>
        <v>0.99999999999999989</v>
      </c>
      <c r="AL57" s="78">
        <f t="shared" si="11"/>
        <v>0.99999999999999978</v>
      </c>
      <c r="AM57" s="78">
        <f t="shared" si="11"/>
        <v>0.99999999999999978</v>
      </c>
      <c r="AN57" s="78">
        <f t="shared" si="11"/>
        <v>1</v>
      </c>
      <c r="AO57" s="78">
        <f t="shared" si="11"/>
        <v>1</v>
      </c>
      <c r="AP57" s="78">
        <f t="shared" si="11"/>
        <v>0.99999999999999978</v>
      </c>
      <c r="AQ57" s="78">
        <f t="shared" si="11"/>
        <v>0.99999999999999978</v>
      </c>
      <c r="AR57" s="78">
        <f t="shared" si="11"/>
        <v>0.99999999999999989</v>
      </c>
      <c r="AS57" s="78">
        <f t="shared" si="11"/>
        <v>0.99999999999999989</v>
      </c>
      <c r="AT57" s="78">
        <f t="shared" si="11"/>
        <v>16</v>
      </c>
    </row>
    <row r="58" spans="1:58" s="93" customFormat="1" ht="49.15" customHeight="1" x14ac:dyDescent="0.25">
      <c r="A58" s="96" t="s">
        <v>64</v>
      </c>
      <c r="B58" s="112"/>
      <c r="C58" s="112"/>
      <c r="D58" s="112"/>
      <c r="E58" s="96"/>
      <c r="F58" s="97"/>
      <c r="G58" s="80"/>
      <c r="H58" s="81"/>
      <c r="I58" s="80"/>
      <c r="J58" s="112"/>
      <c r="K58" s="112"/>
      <c r="L58" s="112"/>
      <c r="M58" s="112"/>
      <c r="N58" s="112"/>
      <c r="O58" s="112"/>
      <c r="P58" s="112"/>
      <c r="Q58" s="80"/>
      <c r="R58" s="81"/>
      <c r="S58" s="80"/>
      <c r="T58" s="97"/>
      <c r="U58" s="80"/>
      <c r="V58" s="97"/>
      <c r="W58" s="80"/>
      <c r="X58" s="81"/>
      <c r="Y58" s="81"/>
      <c r="Z58" s="97"/>
      <c r="AA58" s="81"/>
      <c r="AB58" s="97"/>
      <c r="AC58" s="81"/>
      <c r="AD58" s="97"/>
      <c r="AE58" s="81"/>
      <c r="AF58" s="81"/>
      <c r="AG58" s="81"/>
      <c r="AH58" s="81"/>
      <c r="AI58" s="81"/>
      <c r="AJ58" s="97"/>
      <c r="AK58" s="81"/>
      <c r="AL58" s="97"/>
      <c r="AM58" s="81"/>
      <c r="AN58" s="81"/>
      <c r="AO58" s="81"/>
      <c r="AP58" s="97"/>
      <c r="AQ58" s="81"/>
      <c r="AR58" s="97"/>
      <c r="AS58" s="81"/>
      <c r="AT58" s="97"/>
      <c r="AU58"/>
      <c r="AV58"/>
      <c r="AW58"/>
      <c r="AX58"/>
      <c r="AY58"/>
      <c r="AZ58"/>
      <c r="BA58"/>
      <c r="BB58"/>
      <c r="BC58"/>
      <c r="BD58"/>
      <c r="BE58"/>
      <c r="BF58"/>
    </row>
  </sheetData>
  <mergeCells count="26">
    <mergeCell ref="X43:AH43"/>
    <mergeCell ref="AJ43:AL43"/>
    <mergeCell ref="AN43:AR43"/>
    <mergeCell ref="B44:D58"/>
    <mergeCell ref="J44:P58"/>
    <mergeCell ref="A41:H41"/>
    <mergeCell ref="B43:D43"/>
    <mergeCell ref="F43:H43"/>
    <mergeCell ref="J43:P43"/>
    <mergeCell ref="R43:V43"/>
    <mergeCell ref="X23:AH23"/>
    <mergeCell ref="AJ23:AL23"/>
    <mergeCell ref="AN23:AR23"/>
    <mergeCell ref="A21:H21"/>
    <mergeCell ref="B23:D23"/>
    <mergeCell ref="F23:H23"/>
    <mergeCell ref="J23:P23"/>
    <mergeCell ref="R23:V23"/>
    <mergeCell ref="AN3:AR3"/>
    <mergeCell ref="R3:V3"/>
    <mergeCell ref="X3:AH3"/>
    <mergeCell ref="AJ3:AL3"/>
    <mergeCell ref="A1:H1"/>
    <mergeCell ref="B3:D3"/>
    <mergeCell ref="F3:H3"/>
    <mergeCell ref="J3:P3"/>
  </mergeCells>
  <conditionalFormatting sqref="B5:B16">
    <cfRule type="colorScale" priority="47">
      <colorScale>
        <cfvo type="min"/>
        <cfvo type="percentile" val="50"/>
        <cfvo type="max"/>
        <color rgb="FF63BE7B"/>
        <color rgb="FFFFEB84"/>
        <color rgb="FFF8696B"/>
      </colorScale>
    </cfRule>
  </conditionalFormatting>
  <conditionalFormatting sqref="B25:B36">
    <cfRule type="colorScale" priority="29">
      <colorScale>
        <cfvo type="min"/>
        <cfvo type="percentile" val="50"/>
        <cfvo type="max"/>
        <color rgb="FF63BE7B"/>
        <color rgb="FFFFEB84"/>
        <color rgb="FFF8696B"/>
      </colorScale>
    </cfRule>
  </conditionalFormatting>
  <conditionalFormatting sqref="B5:AT16">
    <cfRule type="colorScale" priority="53">
      <colorScale>
        <cfvo type="min"/>
        <cfvo type="percentile" val="50"/>
        <cfvo type="max"/>
        <color rgb="FF63BE7B"/>
        <color rgb="FFFFEB84"/>
        <color rgb="FFF8696B"/>
      </colorScale>
    </cfRule>
  </conditionalFormatting>
  <conditionalFormatting sqref="B25:AT36">
    <cfRule type="colorScale" priority="32">
      <colorScale>
        <cfvo type="min"/>
        <cfvo type="percentile" val="50"/>
        <cfvo type="max"/>
        <color rgb="FF63BE7B"/>
        <color rgb="FFFFEB84"/>
        <color rgb="FFF8696B"/>
      </colorScale>
    </cfRule>
  </conditionalFormatting>
  <conditionalFormatting sqref="C5:C16">
    <cfRule type="colorScale" priority="46">
      <colorScale>
        <cfvo type="min"/>
        <cfvo type="percentile" val="50"/>
        <cfvo type="max"/>
        <color rgb="FF63BE7B"/>
        <color rgb="FFFFEB84"/>
        <color rgb="FFF8696B"/>
      </colorScale>
    </cfRule>
  </conditionalFormatting>
  <conditionalFormatting sqref="C25:C36">
    <cfRule type="colorScale" priority="28">
      <colorScale>
        <cfvo type="min"/>
        <cfvo type="percentile" val="50"/>
        <cfvo type="max"/>
        <color rgb="FF63BE7B"/>
        <color rgb="FFFFEB84"/>
        <color rgb="FFF8696B"/>
      </colorScale>
    </cfRule>
  </conditionalFormatting>
  <conditionalFormatting sqref="D5:D16">
    <cfRule type="colorScale" priority="45">
      <colorScale>
        <cfvo type="min"/>
        <cfvo type="percentile" val="50"/>
        <cfvo type="max"/>
        <color rgb="FF63BE7B"/>
        <color rgb="FFFFEB84"/>
        <color rgb="FFF8696B"/>
      </colorScale>
    </cfRule>
  </conditionalFormatting>
  <conditionalFormatting sqref="D25:D36">
    <cfRule type="colorScale" priority="27">
      <colorScale>
        <cfvo type="min"/>
        <cfvo type="percentile" val="50"/>
        <cfvo type="max"/>
        <color rgb="FF63BE7B"/>
        <color rgb="FFFFEB84"/>
        <color rgb="FFF8696B"/>
      </colorScale>
    </cfRule>
  </conditionalFormatting>
  <conditionalFormatting sqref="E5:E16">
    <cfRule type="colorScale" priority="44">
      <colorScale>
        <cfvo type="min"/>
        <cfvo type="percentile" val="50"/>
        <cfvo type="max"/>
        <color rgb="FF63BE7B"/>
        <color rgb="FFFFEB84"/>
        <color rgb="FFF8696B"/>
      </colorScale>
    </cfRule>
  </conditionalFormatting>
  <conditionalFormatting sqref="E25:E36">
    <cfRule type="colorScale" priority="26">
      <colorScale>
        <cfvo type="min"/>
        <cfvo type="percentile" val="50"/>
        <cfvo type="max"/>
        <color rgb="FF63BE7B"/>
        <color rgb="FFFFEB84"/>
        <color rgb="FFF8696B"/>
      </colorScale>
    </cfRule>
  </conditionalFormatting>
  <conditionalFormatting sqref="F5:F16">
    <cfRule type="colorScale" priority="43">
      <colorScale>
        <cfvo type="min"/>
        <cfvo type="percentile" val="50"/>
        <cfvo type="max"/>
        <color rgb="FF63BE7B"/>
        <color rgb="FFFFEB84"/>
        <color rgb="FFF8696B"/>
      </colorScale>
    </cfRule>
  </conditionalFormatting>
  <conditionalFormatting sqref="F25:F36">
    <cfRule type="colorScale" priority="25">
      <colorScale>
        <cfvo type="min"/>
        <cfvo type="percentile" val="50"/>
        <cfvo type="max"/>
        <color rgb="FF63BE7B"/>
        <color rgb="FFFFEB84"/>
        <color rgb="FFF8696B"/>
      </colorScale>
    </cfRule>
  </conditionalFormatting>
  <conditionalFormatting sqref="F45:F56">
    <cfRule type="colorScale" priority="13">
      <colorScale>
        <cfvo type="min"/>
        <cfvo type="percentile" val="50"/>
        <cfvo type="max"/>
        <color rgb="FF63BE7B"/>
        <color rgb="FFFFEB84"/>
        <color rgb="FFF8696B"/>
      </colorScale>
    </cfRule>
  </conditionalFormatting>
  <conditionalFormatting sqref="F5:I16">
    <cfRule type="colorScale" priority="51">
      <colorScale>
        <cfvo type="min"/>
        <cfvo type="percentile" val="50"/>
        <cfvo type="max"/>
        <color rgb="FF63BE7B"/>
        <color rgb="FFFFEB84"/>
        <color rgb="FFF8696B"/>
      </colorScale>
    </cfRule>
  </conditionalFormatting>
  <conditionalFormatting sqref="F25:I36">
    <cfRule type="colorScale" priority="31">
      <colorScale>
        <cfvo type="min"/>
        <cfvo type="percentile" val="50"/>
        <cfvo type="max"/>
        <color rgb="FF63BE7B"/>
        <color rgb="FFFFEB84"/>
        <color rgb="FFF8696B"/>
      </colorScale>
    </cfRule>
  </conditionalFormatting>
  <conditionalFormatting sqref="F45:I56 Q45:AT56">
    <cfRule type="colorScale" priority="291">
      <colorScale>
        <cfvo type="min"/>
        <cfvo type="percentile" val="50"/>
        <cfvo type="max"/>
        <color rgb="FF63BE7B"/>
        <color rgb="FFFFEB84"/>
        <color rgb="FFF8696B"/>
      </colorScale>
    </cfRule>
  </conditionalFormatting>
  <conditionalFormatting sqref="G5:G16">
    <cfRule type="colorScale" priority="42">
      <colorScale>
        <cfvo type="min"/>
        <cfvo type="percentile" val="50"/>
        <cfvo type="max"/>
        <color rgb="FF63BE7B"/>
        <color rgb="FFFFEB84"/>
        <color rgb="FFF8696B"/>
      </colorScale>
    </cfRule>
  </conditionalFormatting>
  <conditionalFormatting sqref="G25:G36">
    <cfRule type="colorScale" priority="24">
      <colorScale>
        <cfvo type="min"/>
        <cfvo type="percentile" val="50"/>
        <cfvo type="max"/>
        <color rgb="FF63BE7B"/>
        <color rgb="FFFFEB84"/>
        <color rgb="FFF8696B"/>
      </colorScale>
    </cfRule>
  </conditionalFormatting>
  <conditionalFormatting sqref="G45:G56">
    <cfRule type="colorScale" priority="12">
      <colorScale>
        <cfvo type="min"/>
        <cfvo type="percentile" val="50"/>
        <cfvo type="max"/>
        <color rgb="FF63BE7B"/>
        <color rgb="FFFFEB84"/>
        <color rgb="FFF8696B"/>
      </colorScale>
    </cfRule>
  </conditionalFormatting>
  <conditionalFormatting sqref="H5:H16">
    <cfRule type="colorScale" priority="41">
      <colorScale>
        <cfvo type="min"/>
        <cfvo type="percentile" val="50"/>
        <cfvo type="max"/>
        <color rgb="FF63BE7B"/>
        <color rgb="FFFFEB84"/>
        <color rgb="FFF8696B"/>
      </colorScale>
    </cfRule>
  </conditionalFormatting>
  <conditionalFormatting sqref="H25:H36">
    <cfRule type="colorScale" priority="23">
      <colorScale>
        <cfvo type="min"/>
        <cfvo type="percentile" val="50"/>
        <cfvo type="max"/>
        <color rgb="FF63BE7B"/>
        <color rgb="FFFFEB84"/>
        <color rgb="FFF8696B"/>
      </colorScale>
    </cfRule>
  </conditionalFormatting>
  <conditionalFormatting sqref="H45:H56">
    <cfRule type="colorScale" priority="11">
      <colorScale>
        <cfvo type="min"/>
        <cfvo type="percentile" val="50"/>
        <cfvo type="max"/>
        <color rgb="FF63BE7B"/>
        <color rgb="FFFFEB84"/>
        <color rgb="FFF8696B"/>
      </colorScale>
    </cfRule>
  </conditionalFormatting>
  <conditionalFormatting sqref="I5:I16">
    <cfRule type="colorScale" priority="40">
      <colorScale>
        <cfvo type="min"/>
        <cfvo type="percentile" val="50"/>
        <cfvo type="max"/>
        <color rgb="FF63BE7B"/>
        <color rgb="FFFFEB84"/>
        <color rgb="FFF8696B"/>
      </colorScale>
    </cfRule>
  </conditionalFormatting>
  <conditionalFormatting sqref="I25:I36">
    <cfRule type="colorScale" priority="22">
      <colorScale>
        <cfvo type="min"/>
        <cfvo type="percentile" val="50"/>
        <cfvo type="max"/>
        <color rgb="FF63BE7B"/>
        <color rgb="FFFFEB84"/>
        <color rgb="FFF8696B"/>
      </colorScale>
    </cfRule>
  </conditionalFormatting>
  <conditionalFormatting sqref="I45:I56 Q45:Q56">
    <cfRule type="colorScale" priority="289">
      <colorScale>
        <cfvo type="min"/>
        <cfvo type="percentile" val="50"/>
        <cfvo type="max"/>
        <color rgb="FF63BE7B"/>
        <color rgb="FFFFEB84"/>
        <color rgb="FFF8696B"/>
      </colorScale>
    </cfRule>
  </conditionalFormatting>
  <conditionalFormatting sqref="J5:J16">
    <cfRule type="colorScale" priority="39">
      <colorScale>
        <cfvo type="min"/>
        <cfvo type="percentile" val="50"/>
        <cfvo type="max"/>
        <color rgb="FF63BE7B"/>
        <color rgb="FFFFEB84"/>
        <color rgb="FFF8696B"/>
      </colorScale>
    </cfRule>
  </conditionalFormatting>
  <conditionalFormatting sqref="J25:J36">
    <cfRule type="colorScale" priority="21">
      <colorScale>
        <cfvo type="min"/>
        <cfvo type="percentile" val="50"/>
        <cfvo type="max"/>
        <color rgb="FF63BE7B"/>
        <color rgb="FFFFEB84"/>
        <color rgb="FFF8696B"/>
      </colorScale>
    </cfRule>
  </conditionalFormatting>
  <conditionalFormatting sqref="J5:AT16">
    <cfRule type="colorScale" priority="50">
      <colorScale>
        <cfvo type="min"/>
        <cfvo type="percentile" val="50"/>
        <cfvo type="max"/>
        <color rgb="FF63BE7B"/>
        <color rgb="FFFFEB84"/>
        <color rgb="FFF8696B"/>
      </colorScale>
    </cfRule>
  </conditionalFormatting>
  <conditionalFormatting sqref="J25:AT36">
    <cfRule type="colorScale" priority="30">
      <colorScale>
        <cfvo type="min"/>
        <cfvo type="percentile" val="50"/>
        <cfvo type="max"/>
        <color rgb="FF63BE7B"/>
        <color rgb="FFFFEB84"/>
        <color rgb="FFF8696B"/>
      </colorScale>
    </cfRule>
  </conditionalFormatting>
  <conditionalFormatting sqref="K5:K16">
    <cfRule type="colorScale" priority="38">
      <colorScale>
        <cfvo type="min"/>
        <cfvo type="percentile" val="50"/>
        <cfvo type="max"/>
        <color rgb="FF63BE7B"/>
        <color rgb="FFFFEB84"/>
        <color rgb="FFF8696B"/>
      </colorScale>
    </cfRule>
  </conditionalFormatting>
  <conditionalFormatting sqref="K25:K36">
    <cfRule type="colorScale" priority="20">
      <colorScale>
        <cfvo type="min"/>
        <cfvo type="percentile" val="50"/>
        <cfvo type="max"/>
        <color rgb="FF63BE7B"/>
        <color rgb="FFFFEB84"/>
        <color rgb="FFF8696B"/>
      </colorScale>
    </cfRule>
  </conditionalFormatting>
  <conditionalFormatting sqref="L5:AE16">
    <cfRule type="colorScale" priority="34">
      <colorScale>
        <cfvo type="min"/>
        <cfvo type="percentile" val="50"/>
        <cfvo type="max"/>
        <color rgb="FF63BE7B"/>
        <color rgb="FFFFEB84"/>
        <color rgb="FFF8696B"/>
      </colorScale>
    </cfRule>
  </conditionalFormatting>
  <conditionalFormatting sqref="L25:AE36">
    <cfRule type="colorScale" priority="18">
      <colorScale>
        <cfvo type="min"/>
        <cfvo type="percentile" val="50"/>
        <cfvo type="max"/>
        <color rgb="FF63BE7B"/>
        <color rgb="FFFFEB84"/>
        <color rgb="FFF8696B"/>
      </colorScale>
    </cfRule>
  </conditionalFormatting>
  <conditionalFormatting sqref="L5:AT16">
    <cfRule type="colorScale" priority="37">
      <colorScale>
        <cfvo type="min"/>
        <cfvo type="percentile" val="50"/>
        <cfvo type="max"/>
        <color rgb="FF63BE7B"/>
        <color rgb="FFFFEB84"/>
        <color rgb="FFF8696B"/>
      </colorScale>
    </cfRule>
  </conditionalFormatting>
  <conditionalFormatting sqref="L25:AT36">
    <cfRule type="colorScale" priority="19">
      <colorScale>
        <cfvo type="min"/>
        <cfvo type="percentile" val="50"/>
        <cfvo type="max"/>
        <color rgb="FF63BE7B"/>
        <color rgb="FFFFEB84"/>
        <color rgb="FFF8696B"/>
      </colorScale>
    </cfRule>
  </conditionalFormatting>
  <conditionalFormatting sqref="R45:R56">
    <cfRule type="colorScale" priority="9">
      <colorScale>
        <cfvo type="min"/>
        <cfvo type="percentile" val="50"/>
        <cfvo type="max"/>
        <color rgb="FF63BE7B"/>
        <color rgb="FFFFEB84"/>
        <color rgb="FFF8696B"/>
      </colorScale>
    </cfRule>
  </conditionalFormatting>
  <conditionalFormatting sqref="R45:U56">
    <cfRule type="colorScale" priority="15">
      <colorScale>
        <cfvo type="min"/>
        <cfvo type="percentile" val="50"/>
        <cfvo type="max"/>
        <color rgb="FF63BE7B"/>
        <color rgb="FFFFEB84"/>
        <color rgb="FFF8696B"/>
      </colorScale>
    </cfRule>
  </conditionalFormatting>
  <conditionalFormatting sqref="S45:S56">
    <cfRule type="colorScale" priority="8">
      <colorScale>
        <cfvo type="min"/>
        <cfvo type="percentile" val="50"/>
        <cfvo type="max"/>
        <color rgb="FF63BE7B"/>
        <color rgb="FFFFEB84"/>
        <color rgb="FFF8696B"/>
      </colorScale>
    </cfRule>
  </conditionalFormatting>
  <conditionalFormatting sqref="T45:T56">
    <cfRule type="colorScale" priority="7">
      <colorScale>
        <cfvo type="min"/>
        <cfvo type="percentile" val="50"/>
        <cfvo type="max"/>
        <color rgb="FF63BE7B"/>
        <color rgb="FFFFEB84"/>
        <color rgb="FFF8696B"/>
      </colorScale>
    </cfRule>
  </conditionalFormatting>
  <conditionalFormatting sqref="U45:U56">
    <cfRule type="colorScale" priority="6">
      <colorScale>
        <cfvo type="min"/>
        <cfvo type="percentile" val="50"/>
        <cfvo type="max"/>
        <color rgb="FF63BE7B"/>
        <color rgb="FFFFEB84"/>
        <color rgb="FFF8696B"/>
      </colorScale>
    </cfRule>
  </conditionalFormatting>
  <conditionalFormatting sqref="V45:V56">
    <cfRule type="colorScale" priority="5">
      <colorScale>
        <cfvo type="min"/>
        <cfvo type="percentile" val="50"/>
        <cfvo type="max"/>
        <color rgb="FF63BE7B"/>
        <color rgb="FFFFEB84"/>
        <color rgb="FFF8696B"/>
      </colorScale>
    </cfRule>
  </conditionalFormatting>
  <conditionalFormatting sqref="V45:AT56">
    <cfRule type="colorScale" priority="14">
      <colorScale>
        <cfvo type="min"/>
        <cfvo type="percentile" val="50"/>
        <cfvo type="max"/>
        <color rgb="FF63BE7B"/>
        <color rgb="FFFFEB84"/>
        <color rgb="FFF8696B"/>
      </colorScale>
    </cfRule>
  </conditionalFormatting>
  <conditionalFormatting sqref="W45:W56">
    <cfRule type="colorScale" priority="4">
      <colorScale>
        <cfvo type="min"/>
        <cfvo type="percentile" val="50"/>
        <cfvo type="max"/>
        <color rgb="FF63BE7B"/>
        <color rgb="FFFFEB84"/>
        <color rgb="FFF8696B"/>
      </colorScale>
    </cfRule>
  </conditionalFormatting>
  <conditionalFormatting sqref="X45:AQ56">
    <cfRule type="colorScale" priority="2">
      <colorScale>
        <cfvo type="min"/>
        <cfvo type="percentile" val="50"/>
        <cfvo type="max"/>
        <color rgb="FF63BE7B"/>
        <color rgb="FFFFEB84"/>
        <color rgb="FFF8696B"/>
      </colorScale>
    </cfRule>
  </conditionalFormatting>
  <conditionalFormatting sqref="X45:AT56">
    <cfRule type="colorScale" priority="3">
      <colorScale>
        <cfvo type="min"/>
        <cfvo type="percentile" val="50"/>
        <cfvo type="max"/>
        <color rgb="FF63BE7B"/>
        <color rgb="FFFFEB84"/>
        <color rgb="FFF8696B"/>
      </colorScale>
    </cfRule>
  </conditionalFormatting>
  <conditionalFormatting sqref="AF5:AS16">
    <cfRule type="colorScale" priority="33">
      <colorScale>
        <cfvo type="min"/>
        <cfvo type="percentile" val="50"/>
        <cfvo type="max"/>
        <color rgb="FF63BE7B"/>
        <color rgb="FFFFEB84"/>
        <color rgb="FFF8696B"/>
      </colorScale>
    </cfRule>
  </conditionalFormatting>
  <conditionalFormatting sqref="AF25:AS36">
    <cfRule type="colorScale" priority="17">
      <colorScale>
        <cfvo type="min"/>
        <cfvo type="percentile" val="50"/>
        <cfvo type="max"/>
        <color rgb="FF63BE7B"/>
        <color rgb="FFFFEB84"/>
        <color rgb="FFF8696B"/>
      </colorScale>
    </cfRule>
  </conditionalFormatting>
  <conditionalFormatting sqref="AR45:AT5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K22"/>
  <sheetViews>
    <sheetView zoomScale="80" zoomScaleNormal="80" workbookViewId="0">
      <pane xSplit="1" topLeftCell="B1" activePane="topRight" state="frozen"/>
      <selection pane="topRight" activeCell="K22" sqref="K22"/>
    </sheetView>
  </sheetViews>
  <sheetFormatPr baseColWidth="10" defaultColWidth="11.42578125" defaultRowHeight="15" x14ac:dyDescent="0.25"/>
  <cols>
    <col min="1" max="1" width="28.28515625" customWidth="1"/>
    <col min="2" max="11" width="17.7109375" customWidth="1"/>
  </cols>
  <sheetData>
    <row r="1" spans="1:11" ht="21" x14ac:dyDescent="0.35">
      <c r="A1" s="105" t="s">
        <v>577</v>
      </c>
      <c r="B1" s="105"/>
      <c r="C1" s="105"/>
      <c r="D1" s="105"/>
      <c r="E1" s="105"/>
    </row>
    <row r="2" spans="1:11" ht="15.75" thickBot="1" x14ac:dyDescent="0.3"/>
    <row r="3" spans="1:11" s="5" customFormat="1" x14ac:dyDescent="0.25">
      <c r="B3" s="74" t="str">
        <f>'TCD tables'!B5</f>
        <v>TABLE_ELA_1</v>
      </c>
      <c r="C3" s="74" t="str">
        <f>'TCD tables'!D5</f>
        <v>TABLE_EMR_1</v>
      </c>
      <c r="D3" s="74" t="str">
        <f>'TCD tables'!F5</f>
        <v>TABLE_FILMS_1</v>
      </c>
      <c r="E3" s="74" t="str">
        <f>'TCD tables'!H5</f>
        <v>TABLE_FLUXDEV_1</v>
      </c>
      <c r="F3" s="74" t="str">
        <f>'TCD tables'!J5</f>
        <v>TABLE_JRM1_1</v>
      </c>
      <c r="G3" s="74" t="str">
        <f>'TCD tables'!L5</f>
        <v>TABLE_JRM2_1</v>
      </c>
      <c r="H3" s="74" t="str">
        <f>'TCD tables'!N5</f>
        <v>TABLE_PCM_1</v>
      </c>
      <c r="I3" s="74" t="str">
        <f>'TCD tables'!P5</f>
        <v>TABLE_PEPP_1</v>
      </c>
      <c r="J3" s="74" t="str">
        <f>'TCD tables'!R5</f>
        <v>TABLE_PET_1</v>
      </c>
      <c r="K3" s="74" t="str">
        <f>'TCD tables'!T5</f>
        <v>TABLE_REFUS_1</v>
      </c>
    </row>
    <row r="4" spans="1:11" x14ac:dyDescent="0.25">
      <c r="A4" s="82" t="s">
        <v>38</v>
      </c>
      <c r="B4" s="71">
        <f>'TCD tables'!B6</f>
        <v>0</v>
      </c>
      <c r="C4" s="72">
        <f>'TCD tables'!D6</f>
        <v>0</v>
      </c>
      <c r="D4" s="71">
        <f>'TCD tables'!F6</f>
        <v>4.570383912248629E-3</v>
      </c>
      <c r="E4" s="72">
        <f>'TCD tables'!H6</f>
        <v>0</v>
      </c>
      <c r="F4" s="71">
        <f>'TCD tables'!J6</f>
        <v>1.5105740181268886E-3</v>
      </c>
      <c r="G4" s="72">
        <f>'TCD tables'!L6</f>
        <v>0</v>
      </c>
      <c r="H4" s="71">
        <f>'TCD tables'!N6</f>
        <v>2.2650056625141572E-2</v>
      </c>
      <c r="I4" s="72">
        <f>'TCD tables'!P6</f>
        <v>0</v>
      </c>
      <c r="J4" s="71">
        <f>'TCD tables'!R6</f>
        <v>0</v>
      </c>
      <c r="K4" s="72">
        <f>'TCD tables'!T6</f>
        <v>0</v>
      </c>
    </row>
    <row r="5" spans="1:11" x14ac:dyDescent="0.25">
      <c r="A5" s="82" t="s">
        <v>34</v>
      </c>
      <c r="B5" s="71">
        <f>'TCD tables'!B7</f>
        <v>1.7331022530329293E-3</v>
      </c>
      <c r="C5" s="72">
        <f>'TCD tables'!D7</f>
        <v>1.4697236919459157E-3</v>
      </c>
      <c r="D5" s="71">
        <f>'TCD tables'!F7</f>
        <v>1.8281535648994518E-3</v>
      </c>
      <c r="E5" s="72">
        <f>'TCD tables'!H7</f>
        <v>2.7322404371584656E-3</v>
      </c>
      <c r="F5" s="71">
        <f>'TCD tables'!J7</f>
        <v>1.5105740181268886E-3</v>
      </c>
      <c r="G5" s="72">
        <f>'TCD tables'!L7</f>
        <v>4.7915668423574532E-4</v>
      </c>
      <c r="H5" s="71">
        <f>'TCD tables'!N7</f>
        <v>3.7750094375235952E-3</v>
      </c>
      <c r="I5" s="72">
        <f>'TCD tables'!P7</f>
        <v>8.9445438282647598E-3</v>
      </c>
      <c r="J5" s="71">
        <f>'TCD tables'!R7</f>
        <v>2.478929102627662E-3</v>
      </c>
      <c r="K5" s="72">
        <f>'TCD tables'!T7</f>
        <v>1.7441860465116286E-2</v>
      </c>
    </row>
    <row r="6" spans="1:11" x14ac:dyDescent="0.25">
      <c r="A6" s="82" t="s">
        <v>35</v>
      </c>
      <c r="B6" s="71">
        <f>'TCD tables'!B8</f>
        <v>0</v>
      </c>
      <c r="C6" s="72">
        <f>'TCD tables'!D8</f>
        <v>0</v>
      </c>
      <c r="D6" s="71">
        <f>'TCD tables'!F8</f>
        <v>0</v>
      </c>
      <c r="E6" s="72">
        <f>'TCD tables'!H8</f>
        <v>0</v>
      </c>
      <c r="F6" s="71">
        <f>'TCD tables'!J8</f>
        <v>0</v>
      </c>
      <c r="G6" s="72">
        <f>'TCD tables'!L8</f>
        <v>0</v>
      </c>
      <c r="H6" s="71">
        <f>'TCD tables'!N8</f>
        <v>0</v>
      </c>
      <c r="I6" s="72">
        <f>'TCD tables'!P8</f>
        <v>0</v>
      </c>
      <c r="J6" s="71">
        <f>'TCD tables'!R8</f>
        <v>0</v>
      </c>
      <c r="K6" s="72">
        <f>'TCD tables'!T8</f>
        <v>9.6899224806201584E-3</v>
      </c>
    </row>
    <row r="7" spans="1:11" x14ac:dyDescent="0.25">
      <c r="A7" s="82" t="s">
        <v>22</v>
      </c>
      <c r="B7" s="71">
        <f>'TCD tables'!B9</f>
        <v>0.66204506065857882</v>
      </c>
      <c r="C7" s="72">
        <f>'TCD tables'!D9</f>
        <v>1.4697236919459144E-3</v>
      </c>
      <c r="D7" s="71">
        <f>'TCD tables'!F9</f>
        <v>0</v>
      </c>
      <c r="E7" s="72">
        <f>'TCD tables'!H9</f>
        <v>5.464480874316939E-3</v>
      </c>
      <c r="F7" s="71">
        <f>'TCD tables'!J9</f>
        <v>0</v>
      </c>
      <c r="G7" s="72">
        <f>'TCD tables'!L9</f>
        <v>1.1978917105893634E-3</v>
      </c>
      <c r="H7" s="71">
        <f>'TCD tables'!N9</f>
        <v>7.5500188750471907E-4</v>
      </c>
      <c r="I7" s="72">
        <f>'TCD tables'!P9</f>
        <v>3.5778175313059046E-2</v>
      </c>
      <c r="J7" s="71">
        <f>'TCD tables'!R9</f>
        <v>0</v>
      </c>
      <c r="K7" s="72">
        <f>'TCD tables'!T9</f>
        <v>7.7519379844961257E-3</v>
      </c>
    </row>
    <row r="8" spans="1:11" x14ac:dyDescent="0.25">
      <c r="A8" s="82" t="s">
        <v>23</v>
      </c>
      <c r="B8" s="71">
        <f>'TCD tables'!B10</f>
        <v>4.3327556325823233E-2</v>
      </c>
      <c r="C8" s="72">
        <f>'TCD tables'!D10</f>
        <v>0.84509112286890076</v>
      </c>
      <c r="D8" s="71">
        <f>'TCD tables'!F10</f>
        <v>9.1407678244972562E-3</v>
      </c>
      <c r="E8" s="72">
        <f>'TCD tables'!H10</f>
        <v>1.9125683060109283E-2</v>
      </c>
      <c r="F8" s="71">
        <f>'TCD tables'!J10</f>
        <v>0.1797583081570997</v>
      </c>
      <c r="G8" s="72">
        <f>'TCD tables'!L10</f>
        <v>0.11978917105893624</v>
      </c>
      <c r="H8" s="71">
        <f>'TCD tables'!N10</f>
        <v>7.3612684031709938E-2</v>
      </c>
      <c r="I8" s="72">
        <f>'TCD tables'!P10</f>
        <v>6.7084078711985698E-2</v>
      </c>
      <c r="J8" s="71">
        <f>'TCD tables'!R10</f>
        <v>2.4789291026276654E-3</v>
      </c>
      <c r="K8" s="72">
        <f>'TCD tables'!T10</f>
        <v>0.127906976744186</v>
      </c>
    </row>
    <row r="9" spans="1:11" x14ac:dyDescent="0.25">
      <c r="A9" s="82" t="s">
        <v>60</v>
      </c>
      <c r="B9" s="71">
        <f>'TCD tables'!B11</f>
        <v>3.8128249566724497E-2</v>
      </c>
      <c r="C9" s="72">
        <f>'TCD tables'!D11</f>
        <v>1.4697236919459157E-3</v>
      </c>
      <c r="D9" s="71">
        <f>'TCD tables'!F11</f>
        <v>0.77696526508226693</v>
      </c>
      <c r="E9" s="72">
        <f>'TCD tables'!H11</f>
        <v>5.464480874316939E-3</v>
      </c>
      <c r="F9" s="71">
        <f>'TCD tables'!J11</f>
        <v>1.5105740181268865E-3</v>
      </c>
      <c r="G9" s="72">
        <f>'TCD tables'!L11</f>
        <v>4.7915668423574517E-3</v>
      </c>
      <c r="H9" s="71">
        <f>'TCD tables'!N11</f>
        <v>7.5500188750471907E-4</v>
      </c>
      <c r="I9" s="72">
        <f>'TCD tables'!P11</f>
        <v>1.3416815742397096E-2</v>
      </c>
      <c r="J9" s="71">
        <f>'TCD tables'!R11</f>
        <v>2.4789291026276654E-3</v>
      </c>
      <c r="K9" s="72">
        <f>'TCD tables'!T11</f>
        <v>7.7519379844961257E-3</v>
      </c>
    </row>
    <row r="10" spans="1:11" x14ac:dyDescent="0.25">
      <c r="A10" s="82" t="s">
        <v>57</v>
      </c>
      <c r="B10" s="71">
        <f>'TCD tables'!B12</f>
        <v>2.599653379549394E-2</v>
      </c>
      <c r="C10" s="72">
        <f>'TCD tables'!D12</f>
        <v>4.409171075837744E-3</v>
      </c>
      <c r="D10" s="71">
        <f>'TCD tables'!F12</f>
        <v>5.4844606946983517E-2</v>
      </c>
      <c r="E10" s="72">
        <f>'TCD tables'!H12</f>
        <v>0.81147540983606548</v>
      </c>
      <c r="F10" s="71">
        <f>'TCD tables'!J12</f>
        <v>3.0211480362537764E-3</v>
      </c>
      <c r="G10" s="72">
        <f>'TCD tables'!L12</f>
        <v>4.7915668423574517E-3</v>
      </c>
      <c r="H10" s="71">
        <f>'TCD tables'!N12</f>
        <v>5.6625141562853896E-3</v>
      </c>
      <c r="I10" s="72">
        <f>'TCD tables'!P12</f>
        <v>7.1556350626118079E-2</v>
      </c>
      <c r="J10" s="71">
        <f>'TCD tables'!R12</f>
        <v>2.7268220128904317E-2</v>
      </c>
      <c r="K10" s="72">
        <f>'TCD tables'!T12</f>
        <v>7.3643410852713156E-2</v>
      </c>
    </row>
    <row r="11" spans="1:11" x14ac:dyDescent="0.25">
      <c r="A11" s="82" t="s">
        <v>59</v>
      </c>
      <c r="B11" s="71">
        <f>'TCD tables'!B13</f>
        <v>2.9462738301559793E-2</v>
      </c>
      <c r="C11" s="72">
        <f>'TCD tables'!D13</f>
        <v>0.10141093474426796</v>
      </c>
      <c r="D11" s="71">
        <f>'TCD tables'!F13</f>
        <v>9.1407678244972562E-3</v>
      </c>
      <c r="E11" s="72">
        <f>'TCD tables'!H13</f>
        <v>4.9180327868852444E-2</v>
      </c>
      <c r="F11" s="71">
        <f>'TCD tables'!J13</f>
        <v>0.75830815709969779</v>
      </c>
      <c r="G11" s="72">
        <f>'TCD tables'!L13</f>
        <v>0.82414949688548178</v>
      </c>
      <c r="H11" s="71">
        <f>'TCD tables'!N13</f>
        <v>4.3412608531521291E-2</v>
      </c>
      <c r="I11" s="72">
        <f>'TCD tables'!P13</f>
        <v>1.3416815742397144E-2</v>
      </c>
      <c r="J11" s="71">
        <f>'TCD tables'!R13</f>
        <v>2.4789291026276654E-3</v>
      </c>
      <c r="K11" s="72">
        <f>'TCD tables'!T13</f>
        <v>8.3333333333333315E-2</v>
      </c>
    </row>
    <row r="12" spans="1:11" x14ac:dyDescent="0.25">
      <c r="A12" s="82" t="s">
        <v>200</v>
      </c>
      <c r="B12" s="71">
        <f>'TCD tables'!B14</f>
        <v>0</v>
      </c>
      <c r="C12" s="72">
        <f>'TCD tables'!D14</f>
        <v>0</v>
      </c>
      <c r="D12" s="71">
        <f>'TCD tables'!F14</f>
        <v>0</v>
      </c>
      <c r="E12" s="72">
        <f>'TCD tables'!H14</f>
        <v>0</v>
      </c>
      <c r="F12" s="71">
        <f>'TCD tables'!J14</f>
        <v>0</v>
      </c>
      <c r="G12" s="72">
        <f>'TCD tables'!L14</f>
        <v>0</v>
      </c>
      <c r="H12" s="71">
        <f>'TCD tables'!N14</f>
        <v>0.60777651944129885</v>
      </c>
      <c r="I12" s="72">
        <f>'TCD tables'!P14</f>
        <v>0</v>
      </c>
      <c r="J12" s="71">
        <f>'TCD tables'!R14</f>
        <v>0</v>
      </c>
      <c r="K12" s="72">
        <f>'TCD tables'!T14</f>
        <v>0</v>
      </c>
    </row>
    <row r="13" spans="1:11" x14ac:dyDescent="0.25">
      <c r="A13" s="82" t="s">
        <v>58</v>
      </c>
      <c r="B13" s="71">
        <f>'TCD tables'!B15</f>
        <v>4.1594454072790277E-2</v>
      </c>
      <c r="C13" s="72">
        <f>'TCD tables'!D15</f>
        <v>0</v>
      </c>
      <c r="D13" s="71">
        <f>'TCD tables'!F15</f>
        <v>4.5703839122486229E-3</v>
      </c>
      <c r="E13" s="72">
        <f>'TCD tables'!H15</f>
        <v>3.0054644808743165E-2</v>
      </c>
      <c r="F13" s="71">
        <f>'TCD tables'!J15</f>
        <v>3.0211480362537764E-3</v>
      </c>
      <c r="G13" s="72">
        <f>'TCD tables'!L15</f>
        <v>4.7915668423574532E-4</v>
      </c>
      <c r="H13" s="71">
        <f>'TCD tables'!N15</f>
        <v>5.6625141562853896E-3</v>
      </c>
      <c r="I13" s="72">
        <f>'TCD tables'!P15</f>
        <v>0.58363148479427551</v>
      </c>
      <c r="J13" s="71">
        <f>'TCD tables'!R15</f>
        <v>9.9157164105106608E-4</v>
      </c>
      <c r="K13" s="72">
        <f>'TCD tables'!T15</f>
        <v>6.5891472868217074E-2</v>
      </c>
    </row>
    <row r="14" spans="1:11" x14ac:dyDescent="0.25">
      <c r="A14" s="82" t="s">
        <v>56</v>
      </c>
      <c r="B14" s="71">
        <f>'TCD tables'!B16</f>
        <v>0</v>
      </c>
      <c r="C14" s="72">
        <f>'TCD tables'!D16</f>
        <v>5.8788947677836578E-4</v>
      </c>
      <c r="D14" s="71">
        <f>'TCD tables'!F16</f>
        <v>1.8281535648994518E-3</v>
      </c>
      <c r="E14" s="72">
        <f>'TCD tables'!H16</f>
        <v>3.0054644808743165E-2</v>
      </c>
      <c r="F14" s="71">
        <f>'TCD tables'!J16</f>
        <v>0</v>
      </c>
      <c r="G14" s="72">
        <f>'TCD tables'!L16</f>
        <v>0</v>
      </c>
      <c r="H14" s="71">
        <f>'TCD tables'!N16</f>
        <v>0</v>
      </c>
      <c r="I14" s="72">
        <f>'TCD tables'!P16</f>
        <v>8.9445438282647598E-3</v>
      </c>
      <c r="J14" s="71">
        <f>'TCD tables'!R16</f>
        <v>0.91968269707486361</v>
      </c>
      <c r="K14" s="72">
        <f>'TCD tables'!T16</f>
        <v>6.9767441860465143E-2</v>
      </c>
    </row>
    <row r="15" spans="1:11" x14ac:dyDescent="0.25">
      <c r="A15" s="82" t="s">
        <v>10</v>
      </c>
      <c r="B15" s="71">
        <f>'TCD tables'!B17</f>
        <v>0.15771230502599648</v>
      </c>
      <c r="C15" s="72">
        <f>'TCD tables'!D17</f>
        <v>4.409171075837743E-2</v>
      </c>
      <c r="D15" s="71">
        <f>'TCD tables'!F17</f>
        <v>0.13711151736745888</v>
      </c>
      <c r="E15" s="72">
        <f>'TCD tables'!H17</f>
        <v>4.644808743169386E-2</v>
      </c>
      <c r="F15" s="71">
        <f>'TCD tables'!J17</f>
        <v>5.1359516616314188E-2</v>
      </c>
      <c r="G15" s="72">
        <f>'TCD tables'!L17</f>
        <v>4.4321993291806389E-2</v>
      </c>
      <c r="H15" s="71">
        <f>'TCD tables'!N17</f>
        <v>0.23593808984522455</v>
      </c>
      <c r="I15" s="72">
        <f>'TCD tables'!P17</f>
        <v>0.19722719141323783</v>
      </c>
      <c r="J15" s="71">
        <f>'TCD tables'!R17</f>
        <v>4.2141794744670204E-2</v>
      </c>
      <c r="K15" s="72">
        <f>'TCD tables'!T17</f>
        <v>0.53682170542635677</v>
      </c>
    </row>
    <row r="16" spans="1:11" x14ac:dyDescent="0.25">
      <c r="A16" s="83" t="s">
        <v>31</v>
      </c>
      <c r="B16" s="77">
        <f>SUM(B4:B15)</f>
        <v>0.99999999999999978</v>
      </c>
      <c r="C16" s="78">
        <f t="shared" ref="C16" si="0">SUM(C4:C15)</f>
        <v>1</v>
      </c>
      <c r="D16" s="77">
        <f>SUM(D4:D15)</f>
        <v>1</v>
      </c>
      <c r="E16" s="78">
        <f t="shared" ref="E16" si="1">SUM(E4:E15)</f>
        <v>0.99999999999999978</v>
      </c>
      <c r="F16" s="77">
        <f>SUM(F4:F15)</f>
        <v>0.99999999999999989</v>
      </c>
      <c r="G16" s="78">
        <f t="shared" ref="G16" si="2">SUM(G4:G15)</f>
        <v>1.0000000000000002</v>
      </c>
      <c r="H16" s="77">
        <f>SUM(H4:H15)</f>
        <v>1</v>
      </c>
      <c r="I16" s="78">
        <f t="shared" ref="I16" si="3">SUM(I4:I15)</f>
        <v>0.99999999999999989</v>
      </c>
      <c r="J16" s="77">
        <f>SUM(J4:J15)</f>
        <v>0.99999999999999978</v>
      </c>
      <c r="K16" s="78">
        <f t="shared" ref="K16" si="4">SUM(K4:K15)</f>
        <v>1</v>
      </c>
    </row>
    <row r="19" spans="1:11" x14ac:dyDescent="0.25">
      <c r="B19" s="50" t="str">
        <f t="shared" ref="B19:K19" si="5">B3</f>
        <v>TABLE_ELA_1</v>
      </c>
      <c r="C19" s="50" t="str">
        <f t="shared" si="5"/>
        <v>TABLE_EMR_1</v>
      </c>
      <c r="D19" s="50" t="str">
        <f t="shared" si="5"/>
        <v>TABLE_FILMS_1</v>
      </c>
      <c r="E19" s="50" t="str">
        <f t="shared" si="5"/>
        <v>TABLE_FLUXDEV_1</v>
      </c>
      <c r="F19" s="50" t="str">
        <f t="shared" si="5"/>
        <v>TABLE_JRM1_1</v>
      </c>
      <c r="G19" s="50" t="str">
        <f t="shared" si="5"/>
        <v>TABLE_JRM2_1</v>
      </c>
      <c r="H19" s="50" t="str">
        <f t="shared" si="5"/>
        <v>TABLE_PCM_1</v>
      </c>
      <c r="I19" s="50" t="str">
        <f t="shared" si="5"/>
        <v>TABLE_PEPP_1</v>
      </c>
      <c r="J19" s="50" t="str">
        <f t="shared" si="5"/>
        <v>TABLE_PET_1</v>
      </c>
      <c r="K19" s="50" t="str">
        <f t="shared" si="5"/>
        <v>TABLE_REFUS_1</v>
      </c>
    </row>
    <row r="20" spans="1:11" x14ac:dyDescent="0.25">
      <c r="A20" s="55" t="s">
        <v>33</v>
      </c>
      <c r="B20" s="51">
        <f t="shared" ref="B20:K20" si="6">B15</f>
        <v>0.15771230502599648</v>
      </c>
      <c r="C20" s="51">
        <f t="shared" si="6"/>
        <v>4.409171075837743E-2</v>
      </c>
      <c r="D20" s="51">
        <f t="shared" si="6"/>
        <v>0.13711151736745888</v>
      </c>
      <c r="E20" s="51">
        <f t="shared" si="6"/>
        <v>4.644808743169386E-2</v>
      </c>
      <c r="F20" s="51">
        <f t="shared" si="6"/>
        <v>5.1359516616314188E-2</v>
      </c>
      <c r="G20" s="51">
        <f t="shared" si="6"/>
        <v>4.4321993291806389E-2</v>
      </c>
      <c r="H20" s="51">
        <f t="shared" si="6"/>
        <v>0.23593808984522455</v>
      </c>
      <c r="I20" s="51">
        <f t="shared" si="6"/>
        <v>0.19722719141323783</v>
      </c>
      <c r="J20" s="51">
        <f t="shared" si="6"/>
        <v>4.2141794744670204E-2</v>
      </c>
      <c r="K20" s="51">
        <f t="shared" si="6"/>
        <v>0.53682170542635677</v>
      </c>
    </row>
    <row r="21" spans="1:11" x14ac:dyDescent="0.25">
      <c r="A21" s="68" t="s">
        <v>62</v>
      </c>
      <c r="B21" s="51">
        <f>100%-B20-B22</f>
        <v>0.18024263431542464</v>
      </c>
      <c r="C21" s="51">
        <f>100%-C20-C22</f>
        <v>0.11081716637272176</v>
      </c>
      <c r="D21" s="51">
        <f>100%-D20-D22</f>
        <v>8.5923217550274211E-2</v>
      </c>
      <c r="E21" s="51">
        <f t="shared" ref="E21" si="7">100%-E20-E22</f>
        <v>0.14207650273224071</v>
      </c>
      <c r="F21" s="51">
        <f>100%-F20-F22</f>
        <v>0.190332326283988</v>
      </c>
      <c r="G21" s="51">
        <f t="shared" ref="G21" si="8">100%-G20-G22</f>
        <v>0.1315285098227118</v>
      </c>
      <c r="H21" s="51">
        <f>100%-H20-H22</f>
        <v>0.15628539071347658</v>
      </c>
      <c r="I21" s="51">
        <f t="shared" ref="I21" si="9">100%-I20-I22</f>
        <v>0.21914132379248663</v>
      </c>
      <c r="J21" s="51">
        <f>100%-J20-J22</f>
        <v>3.8175508180466222E-2</v>
      </c>
      <c r="K21" s="51">
        <f>100%-K20-K22</f>
        <v>0.46317829457364323</v>
      </c>
    </row>
    <row r="22" spans="1:11" x14ac:dyDescent="0.25">
      <c r="A22" s="56" t="s">
        <v>63</v>
      </c>
      <c r="B22" s="51">
        <f>B7</f>
        <v>0.66204506065857882</v>
      </c>
      <c r="C22" s="51">
        <f>C8</f>
        <v>0.84509112286890076</v>
      </c>
      <c r="D22" s="51">
        <f>D9</f>
        <v>0.77696526508226693</v>
      </c>
      <c r="E22" s="51">
        <f>E10</f>
        <v>0.81147540983606548</v>
      </c>
      <c r="F22" s="51">
        <f>F11</f>
        <v>0.75830815709969779</v>
      </c>
      <c r="G22" s="51">
        <f>G11</f>
        <v>0.82414949688548178</v>
      </c>
      <c r="H22" s="51">
        <f>H12</f>
        <v>0.60777651944129885</v>
      </c>
      <c r="I22" s="51">
        <f>I13</f>
        <v>0.58363148479427551</v>
      </c>
      <c r="J22" s="51">
        <f>J14</f>
        <v>0.91968269707486361</v>
      </c>
      <c r="K22" s="104"/>
    </row>
  </sheetData>
  <mergeCells count="1">
    <mergeCell ref="A1:E1"/>
  </mergeCells>
  <conditionalFormatting sqref="B4:C15">
    <cfRule type="colorScale" priority="294">
      <colorScale>
        <cfvo type="min"/>
        <cfvo type="percentile" val="50"/>
        <cfvo type="max"/>
        <color rgb="FF63BE7B"/>
        <color rgb="FFFFEB84"/>
        <color rgb="FFF8696B"/>
      </colorScale>
    </cfRule>
  </conditionalFormatting>
  <conditionalFormatting sqref="D4:E15">
    <cfRule type="colorScale" priority="300">
      <colorScale>
        <cfvo type="min"/>
        <cfvo type="percentile" val="50"/>
        <cfvo type="max"/>
        <color rgb="FF63BE7B"/>
        <color rgb="FFFFEB84"/>
        <color rgb="FFF8696B"/>
      </colorScale>
    </cfRule>
  </conditionalFormatting>
  <conditionalFormatting sqref="F4:G15">
    <cfRule type="colorScale" priority="299">
      <colorScale>
        <cfvo type="min"/>
        <cfvo type="percentile" val="50"/>
        <cfvo type="max"/>
        <color rgb="FF63BE7B"/>
        <color rgb="FFFFEB84"/>
        <color rgb="FFF8696B"/>
      </colorScale>
    </cfRule>
  </conditionalFormatting>
  <conditionalFormatting sqref="H4:K15">
    <cfRule type="colorScale" priority="302">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50</v>
      </c>
      <c r="C5" t="s">
        <v>148</v>
      </c>
      <c r="D5" t="s">
        <v>149</v>
      </c>
      <c r="F5" t="s">
        <v>51</v>
      </c>
      <c r="G5" t="s">
        <v>136</v>
      </c>
      <c r="H5" t="s">
        <v>137</v>
      </c>
      <c r="J5" t="s">
        <v>52</v>
      </c>
      <c r="K5" t="s">
        <v>82</v>
      </c>
      <c r="L5" t="s">
        <v>86</v>
      </c>
      <c r="N5" t="s">
        <v>54</v>
      </c>
      <c r="O5" t="s">
        <v>77</v>
      </c>
      <c r="P5" t="s">
        <v>80</v>
      </c>
      <c r="R5" t="s">
        <v>68</v>
      </c>
      <c r="S5" t="s">
        <v>72</v>
      </c>
      <c r="T5" t="s">
        <v>78</v>
      </c>
      <c r="V5" t="s">
        <v>88</v>
      </c>
      <c r="W5" t="s">
        <v>93</v>
      </c>
      <c r="X5" t="s">
        <v>143</v>
      </c>
      <c r="Z5" t="s">
        <v>94</v>
      </c>
      <c r="AA5" t="s">
        <v>95</v>
      </c>
      <c r="AB5" t="s">
        <v>100</v>
      </c>
      <c r="AD5" t="s">
        <v>103</v>
      </c>
      <c r="AE5" t="s">
        <v>105</v>
      </c>
      <c r="AF5" t="s">
        <v>106</v>
      </c>
      <c r="AH5" t="s">
        <v>117</v>
      </c>
      <c r="AI5" t="s">
        <v>121</v>
      </c>
      <c r="AJ5" t="s">
        <v>124</v>
      </c>
      <c r="AL5" t="s">
        <v>127</v>
      </c>
      <c r="AM5" t="s">
        <v>130</v>
      </c>
      <c r="AN5" t="s">
        <v>133</v>
      </c>
      <c r="AP5" t="s">
        <v>154</v>
      </c>
      <c r="AQ5" t="s">
        <v>168</v>
      </c>
      <c r="AR5" t="s">
        <v>169</v>
      </c>
      <c r="AT5" t="s">
        <v>156</v>
      </c>
      <c r="AU5" t="s">
        <v>158</v>
      </c>
      <c r="AV5" t="s">
        <v>162</v>
      </c>
      <c r="AX5" t="s">
        <v>166</v>
      </c>
    </row>
    <row r="6" spans="1:52" x14ac:dyDescent="0.25">
      <c r="A6" s="48" t="s">
        <v>38</v>
      </c>
      <c r="B6" s="67">
        <v>2.1186440677966076E-3</v>
      </c>
      <c r="C6" s="67">
        <v>0</v>
      </c>
      <c r="D6" s="67">
        <v>0</v>
      </c>
      <c r="E6" s="67">
        <v>2.1186440677966076E-3</v>
      </c>
      <c r="F6" s="67">
        <v>0</v>
      </c>
      <c r="G6" s="67">
        <v>0</v>
      </c>
      <c r="H6" s="67">
        <v>0</v>
      </c>
      <c r="I6" s="67">
        <v>0</v>
      </c>
      <c r="J6" s="67">
        <v>0</v>
      </c>
      <c r="K6" s="67">
        <v>0</v>
      </c>
      <c r="L6" s="67">
        <v>0</v>
      </c>
      <c r="M6" s="67">
        <v>0</v>
      </c>
      <c r="N6" s="67">
        <v>1.699346405228758E-2</v>
      </c>
      <c r="O6" s="67">
        <v>4.5801526717557228E-3</v>
      </c>
      <c r="P6" s="67">
        <v>1.2915129151291515E-2</v>
      </c>
      <c r="Q6" s="67">
        <v>3.448874587533482E-2</v>
      </c>
      <c r="R6" s="67">
        <v>0</v>
      </c>
      <c r="S6" s="67">
        <v>0</v>
      </c>
      <c r="T6" s="67">
        <v>1.8072289156626502E-2</v>
      </c>
      <c r="U6" s="67">
        <v>1.8072289156626502E-2</v>
      </c>
      <c r="V6" s="67">
        <v>0</v>
      </c>
      <c r="W6" s="67">
        <v>0</v>
      </c>
      <c r="X6" s="67">
        <v>0</v>
      </c>
      <c r="Y6" s="67">
        <v>0</v>
      </c>
      <c r="Z6" s="67">
        <v>0</v>
      </c>
      <c r="AA6" s="67">
        <v>0</v>
      </c>
      <c r="AB6" s="67">
        <v>0</v>
      </c>
      <c r="AC6" s="67">
        <v>0</v>
      </c>
      <c r="AD6" s="67">
        <v>0</v>
      </c>
      <c r="AE6" s="67">
        <v>0</v>
      </c>
      <c r="AF6" s="67">
        <v>0</v>
      </c>
      <c r="AG6" s="67">
        <v>0</v>
      </c>
      <c r="AH6" s="67">
        <v>0</v>
      </c>
      <c r="AI6" s="67">
        <v>0</v>
      </c>
      <c r="AJ6" s="67">
        <v>0</v>
      </c>
      <c r="AK6" s="67">
        <v>0</v>
      </c>
      <c r="AL6" s="67">
        <v>0</v>
      </c>
      <c r="AM6" s="67">
        <v>0</v>
      </c>
      <c r="AN6" s="67">
        <v>0</v>
      </c>
      <c r="AO6" s="67">
        <v>0</v>
      </c>
      <c r="AP6" s="67">
        <v>0.86604361370716509</v>
      </c>
      <c r="AQ6" s="67">
        <v>0.88876276958002287</v>
      </c>
      <c r="AR6" s="67">
        <v>0.87927350427350426</v>
      </c>
      <c r="AS6" s="67">
        <v>2.6340798875606923</v>
      </c>
      <c r="AT6" s="67">
        <v>0</v>
      </c>
      <c r="AU6" s="67">
        <v>0</v>
      </c>
      <c r="AV6" s="67">
        <v>0</v>
      </c>
      <c r="AW6" s="67">
        <v>0</v>
      </c>
      <c r="AX6" s="67">
        <v>0</v>
      </c>
      <c r="AY6" s="67">
        <v>0</v>
      </c>
      <c r="AZ6" s="67">
        <v>2.6887595666604502</v>
      </c>
    </row>
    <row r="7" spans="1:52" x14ac:dyDescent="0.25">
      <c r="A7" s="48" t="s">
        <v>34</v>
      </c>
      <c r="B7" s="67">
        <v>1.0593220338983052E-2</v>
      </c>
      <c r="C7" s="67">
        <v>2.3305084745762719E-2</v>
      </c>
      <c r="D7" s="67">
        <v>1.3698630136986306E-2</v>
      </c>
      <c r="E7" s="67">
        <v>4.7596935221732077E-2</v>
      </c>
      <c r="F7" s="67">
        <v>1.1337868480725607E-3</v>
      </c>
      <c r="G7" s="67">
        <v>0</v>
      </c>
      <c r="H7" s="67">
        <v>2.2573363431151253E-3</v>
      </c>
      <c r="I7" s="67">
        <v>3.3911231911876857E-3</v>
      </c>
      <c r="J7" s="67">
        <v>1.1013215859030821E-3</v>
      </c>
      <c r="K7" s="67">
        <v>0</v>
      </c>
      <c r="L7" s="67">
        <v>0</v>
      </c>
      <c r="M7" s="67">
        <v>1.1013215859030821E-3</v>
      </c>
      <c r="N7" s="67">
        <v>5.2287581699346393E-3</v>
      </c>
      <c r="O7" s="67">
        <v>3.0534351145038163E-3</v>
      </c>
      <c r="P7" s="67">
        <v>1.8450184501844998E-3</v>
      </c>
      <c r="Q7" s="67">
        <v>1.0127211734622955E-2</v>
      </c>
      <c r="R7" s="67">
        <v>0</v>
      </c>
      <c r="S7" s="67">
        <v>0</v>
      </c>
      <c r="T7" s="67">
        <v>6.0240963855421673E-3</v>
      </c>
      <c r="U7" s="67">
        <v>6.0240963855421673E-3</v>
      </c>
      <c r="V7" s="67">
        <v>4.1493775933609933E-3</v>
      </c>
      <c r="W7" s="67">
        <v>0</v>
      </c>
      <c r="X7" s="67">
        <v>0</v>
      </c>
      <c r="Y7" s="67">
        <v>4.1493775933609933E-3</v>
      </c>
      <c r="Z7" s="67">
        <v>2.3923444976076532E-3</v>
      </c>
      <c r="AA7" s="67">
        <v>1.6420361247947476E-3</v>
      </c>
      <c r="AB7" s="67">
        <v>0</v>
      </c>
      <c r="AC7" s="67">
        <v>4.0343806224024011E-3</v>
      </c>
      <c r="AD7" s="67">
        <v>5.2724077328646793E-3</v>
      </c>
      <c r="AE7" s="67">
        <v>5.2539404553415044E-3</v>
      </c>
      <c r="AF7" s="67">
        <v>2.1978021978021956E-3</v>
      </c>
      <c r="AG7" s="67">
        <v>1.272415038600838E-2</v>
      </c>
      <c r="AH7" s="67">
        <v>8.8105726872246722E-3</v>
      </c>
      <c r="AI7" s="67">
        <v>2.3809523809523819E-2</v>
      </c>
      <c r="AJ7" s="67">
        <v>2.3305084745762716E-2</v>
      </c>
      <c r="AK7" s="67">
        <v>5.592518124251121E-2</v>
      </c>
      <c r="AL7" s="67">
        <v>1.9047619047619046E-2</v>
      </c>
      <c r="AM7" s="67">
        <v>4.7169811320754828E-3</v>
      </c>
      <c r="AN7" s="67">
        <v>8.438818565400838E-3</v>
      </c>
      <c r="AO7" s="67">
        <v>3.2203418745095365E-2</v>
      </c>
      <c r="AP7" s="67">
        <v>2.0768431983385249E-3</v>
      </c>
      <c r="AQ7" s="67">
        <v>1.1350737797956871E-3</v>
      </c>
      <c r="AR7" s="67">
        <v>2.1367521367521365E-3</v>
      </c>
      <c r="AS7" s="67">
        <v>5.348669114886349E-3</v>
      </c>
      <c r="AT7" s="67">
        <v>0.85151116951379779</v>
      </c>
      <c r="AU7" s="67">
        <v>0.88400702987697721</v>
      </c>
      <c r="AV7" s="67">
        <v>0.84902309058614567</v>
      </c>
      <c r="AW7" s="67">
        <v>2.5845412899769205</v>
      </c>
      <c r="AX7" s="67">
        <v>0.18057663125948401</v>
      </c>
      <c r="AY7" s="67">
        <v>0.18057663125948401</v>
      </c>
      <c r="AZ7" s="67">
        <v>2.9477437870596574</v>
      </c>
    </row>
    <row r="8" spans="1:52" x14ac:dyDescent="0.25">
      <c r="A8" s="48" t="s">
        <v>35</v>
      </c>
      <c r="B8" s="67">
        <v>2.1186440677966076E-3</v>
      </c>
      <c r="C8" s="67">
        <v>0</v>
      </c>
      <c r="D8" s="67">
        <v>0</v>
      </c>
      <c r="E8" s="67">
        <v>2.1186440677966076E-3</v>
      </c>
      <c r="F8" s="67">
        <v>0</v>
      </c>
      <c r="G8" s="67">
        <v>0</v>
      </c>
      <c r="H8" s="67">
        <v>0</v>
      </c>
      <c r="I8" s="67">
        <v>0</v>
      </c>
      <c r="J8" s="67">
        <v>0</v>
      </c>
      <c r="K8" s="67">
        <v>0</v>
      </c>
      <c r="L8" s="67">
        <v>0</v>
      </c>
      <c r="M8" s="67">
        <v>0</v>
      </c>
      <c r="N8" s="67">
        <v>1.3071895424836583E-3</v>
      </c>
      <c r="O8" s="67">
        <v>0</v>
      </c>
      <c r="P8" s="67">
        <v>0</v>
      </c>
      <c r="Q8" s="67">
        <v>1.3071895424836583E-3</v>
      </c>
      <c r="R8" s="67">
        <v>0</v>
      </c>
      <c r="S8" s="67">
        <v>0</v>
      </c>
      <c r="T8" s="67">
        <v>0</v>
      </c>
      <c r="U8" s="67">
        <v>0</v>
      </c>
      <c r="V8" s="67">
        <v>0</v>
      </c>
      <c r="W8" s="67">
        <v>0</v>
      </c>
      <c r="X8" s="67">
        <v>0</v>
      </c>
      <c r="Y8" s="67">
        <v>0</v>
      </c>
      <c r="Z8" s="67">
        <v>0</v>
      </c>
      <c r="AA8" s="67">
        <v>0</v>
      </c>
      <c r="AB8" s="67">
        <v>0</v>
      </c>
      <c r="AC8" s="67">
        <v>0</v>
      </c>
      <c r="AD8" s="67">
        <v>0</v>
      </c>
      <c r="AE8" s="67">
        <v>0</v>
      </c>
      <c r="AF8" s="67">
        <v>0</v>
      </c>
      <c r="AG8" s="67">
        <v>0</v>
      </c>
      <c r="AH8" s="67">
        <v>0</v>
      </c>
      <c r="AI8" s="67">
        <v>0</v>
      </c>
      <c r="AJ8" s="67">
        <v>0</v>
      </c>
      <c r="AK8" s="67">
        <v>0</v>
      </c>
      <c r="AL8" s="67">
        <v>0</v>
      </c>
      <c r="AM8" s="67">
        <v>0</v>
      </c>
      <c r="AN8" s="67">
        <v>0</v>
      </c>
      <c r="AO8" s="67">
        <v>0</v>
      </c>
      <c r="AP8" s="67">
        <v>0</v>
      </c>
      <c r="AQ8" s="67">
        <v>0</v>
      </c>
      <c r="AR8" s="67">
        <v>0</v>
      </c>
      <c r="AS8" s="67">
        <v>0</v>
      </c>
      <c r="AT8" s="67">
        <v>1.4454664914586073E-2</v>
      </c>
      <c r="AU8" s="67">
        <v>1.5817223198594025E-2</v>
      </c>
      <c r="AV8" s="67">
        <v>1.5985790408525762E-2</v>
      </c>
      <c r="AW8" s="67">
        <v>4.6257678521705856E-2</v>
      </c>
      <c r="AX8" s="67">
        <v>0.6540212443095601</v>
      </c>
      <c r="AY8" s="67">
        <v>0.6540212443095601</v>
      </c>
      <c r="AZ8" s="67">
        <v>0.70370475644154618</v>
      </c>
    </row>
    <row r="9" spans="1:52" x14ac:dyDescent="0.25">
      <c r="A9" s="48" t="s">
        <v>22</v>
      </c>
      <c r="B9" s="67">
        <v>2.542372881355932E-2</v>
      </c>
      <c r="C9" s="67">
        <v>6.3559322033898327E-3</v>
      </c>
      <c r="D9" s="67">
        <v>1.9569471624266152E-3</v>
      </c>
      <c r="E9" s="67">
        <v>3.3736608179375766E-2</v>
      </c>
      <c r="F9" s="67">
        <v>0</v>
      </c>
      <c r="G9" s="67">
        <v>0</v>
      </c>
      <c r="H9" s="67">
        <v>0</v>
      </c>
      <c r="I9" s="67">
        <v>0</v>
      </c>
      <c r="J9" s="67">
        <v>0</v>
      </c>
      <c r="K9" s="67">
        <v>0</v>
      </c>
      <c r="L9" s="67">
        <v>1.9880715705765379E-3</v>
      </c>
      <c r="M9" s="67">
        <v>1.9880715705765379E-3</v>
      </c>
      <c r="N9" s="67">
        <v>3.9215686274509812E-3</v>
      </c>
      <c r="O9" s="67">
        <v>1.5267175572519064E-3</v>
      </c>
      <c r="P9" s="67">
        <v>0</v>
      </c>
      <c r="Q9" s="67">
        <v>5.4482861847028876E-3</v>
      </c>
      <c r="R9" s="67">
        <v>0</v>
      </c>
      <c r="S9" s="67">
        <v>0</v>
      </c>
      <c r="T9" s="67">
        <v>1.2048192771084345E-3</v>
      </c>
      <c r="U9" s="67">
        <v>1.2048192771084345E-3</v>
      </c>
      <c r="V9" s="67">
        <v>0</v>
      </c>
      <c r="W9" s="67">
        <v>0</v>
      </c>
      <c r="X9" s="67">
        <v>0</v>
      </c>
      <c r="Y9" s="67">
        <v>0</v>
      </c>
      <c r="Z9" s="67">
        <v>0.89712918660287089</v>
      </c>
      <c r="AA9" s="67">
        <v>0.83743842364532051</v>
      </c>
      <c r="AB9" s="67">
        <v>0.81229773462783161</v>
      </c>
      <c r="AC9" s="67">
        <v>2.5468653448760228</v>
      </c>
      <c r="AD9" s="67">
        <v>6.8541300527240806E-2</v>
      </c>
      <c r="AE9" s="67">
        <v>1.4010507880910683E-2</v>
      </c>
      <c r="AF9" s="67">
        <v>1.0989010989010992E-2</v>
      </c>
      <c r="AG9" s="67">
        <v>9.3540819397162481E-2</v>
      </c>
      <c r="AH9" s="67">
        <v>0</v>
      </c>
      <c r="AI9" s="67">
        <v>1.1904761904761909E-2</v>
      </c>
      <c r="AJ9" s="67">
        <v>1.0593220338983052E-2</v>
      </c>
      <c r="AK9" s="67">
        <v>2.2497982243744961E-2</v>
      </c>
      <c r="AL9" s="67">
        <v>0</v>
      </c>
      <c r="AM9" s="67">
        <v>4.7169811320754828E-3</v>
      </c>
      <c r="AN9" s="67">
        <v>0</v>
      </c>
      <c r="AO9" s="67">
        <v>4.7169811320754828E-3</v>
      </c>
      <c r="AP9" s="67">
        <v>2.0768431983385254E-3</v>
      </c>
      <c r="AQ9" s="67">
        <v>3.4052213393870614E-3</v>
      </c>
      <c r="AR9" s="67">
        <v>2.1367521367521365E-3</v>
      </c>
      <c r="AS9" s="67">
        <v>7.6188166744777224E-3</v>
      </c>
      <c r="AT9" s="67">
        <v>5.2562417871222069E-3</v>
      </c>
      <c r="AU9" s="67">
        <v>1.7574692442882229E-3</v>
      </c>
      <c r="AV9" s="67">
        <v>1.7761989342806404E-3</v>
      </c>
      <c r="AW9" s="67">
        <v>8.7899099656910708E-3</v>
      </c>
      <c r="AX9" s="67">
        <v>4.7040971168437043E-2</v>
      </c>
      <c r="AY9" s="67">
        <v>4.7040971168437043E-2</v>
      </c>
      <c r="AZ9" s="67">
        <v>2.7734486106693748</v>
      </c>
    </row>
    <row r="10" spans="1:52" x14ac:dyDescent="0.25">
      <c r="A10" s="48" t="s">
        <v>23</v>
      </c>
      <c r="B10" s="67">
        <v>0.14406779661016944</v>
      </c>
      <c r="C10" s="67">
        <v>8.2627118644067785E-2</v>
      </c>
      <c r="D10" s="67">
        <v>0.14677103718199613</v>
      </c>
      <c r="E10" s="67">
        <v>0.37346595243623337</v>
      </c>
      <c r="F10" s="67">
        <v>1.1337868480725607E-3</v>
      </c>
      <c r="G10" s="67">
        <v>0</v>
      </c>
      <c r="H10" s="67">
        <v>0</v>
      </c>
      <c r="I10" s="67">
        <v>1.1337868480725607E-3</v>
      </c>
      <c r="J10" s="67">
        <v>0.84471365638766527</v>
      </c>
      <c r="K10" s="67">
        <v>0.82307692307692304</v>
      </c>
      <c r="L10" s="67">
        <v>0.84493041749502973</v>
      </c>
      <c r="M10" s="67">
        <v>2.5127209969596183</v>
      </c>
      <c r="N10" s="67">
        <v>3.3986928104575181E-2</v>
      </c>
      <c r="O10" s="67">
        <v>0.134351145038168</v>
      </c>
      <c r="P10" s="67">
        <v>0.11439114391143906</v>
      </c>
      <c r="Q10" s="67">
        <v>0.28272921705418225</v>
      </c>
      <c r="R10" s="67">
        <v>5.1118210862619737E-2</v>
      </c>
      <c r="S10" s="67">
        <v>0.11356119073869897</v>
      </c>
      <c r="T10" s="67">
        <v>0.17590361445783131</v>
      </c>
      <c r="U10" s="67">
        <v>0.34058301605915003</v>
      </c>
      <c r="V10" s="67">
        <v>0.95850622406639008</v>
      </c>
      <c r="W10" s="67">
        <v>0.97136563876651993</v>
      </c>
      <c r="X10" s="67">
        <v>0.967409948542024</v>
      </c>
      <c r="Y10" s="67">
        <v>2.8972818113749339</v>
      </c>
      <c r="Z10" s="67">
        <v>2.3923444976076565E-2</v>
      </c>
      <c r="AA10" s="67">
        <v>3.4482758620689634E-2</v>
      </c>
      <c r="AB10" s="67">
        <v>8.899676375404536E-2</v>
      </c>
      <c r="AC10" s="67">
        <v>0.14740296735081154</v>
      </c>
      <c r="AD10" s="67">
        <v>9.4903339191564184E-2</v>
      </c>
      <c r="AE10" s="67">
        <v>2.6269702276707538E-2</v>
      </c>
      <c r="AF10" s="67">
        <v>3.5164835164835054E-2</v>
      </c>
      <c r="AG10" s="67">
        <v>0.15633787663310678</v>
      </c>
      <c r="AH10" s="67">
        <v>1.1013215859030843E-2</v>
      </c>
      <c r="AI10" s="67">
        <v>3.333333333333334E-2</v>
      </c>
      <c r="AJ10" s="67">
        <v>2.3305084745762716E-2</v>
      </c>
      <c r="AK10" s="67">
        <v>6.7651633938126898E-2</v>
      </c>
      <c r="AL10" s="67">
        <v>2.8571428571428581E-2</v>
      </c>
      <c r="AM10" s="67">
        <v>4.7169811320754828E-3</v>
      </c>
      <c r="AN10" s="67">
        <v>4.2194092827004138E-3</v>
      </c>
      <c r="AO10" s="67">
        <v>3.7507818986204478E-2</v>
      </c>
      <c r="AP10" s="67">
        <v>3.4267912772585667E-2</v>
      </c>
      <c r="AQ10" s="67">
        <v>2.0431328036322367E-2</v>
      </c>
      <c r="AR10" s="67">
        <v>1.1752136752136754E-2</v>
      </c>
      <c r="AS10" s="67">
        <v>6.6451377561044786E-2</v>
      </c>
      <c r="AT10" s="67">
        <v>3.2851511169513799E-2</v>
      </c>
      <c r="AU10" s="67">
        <v>2.1089630931458696E-2</v>
      </c>
      <c r="AV10" s="67">
        <v>3.1971580817051523E-2</v>
      </c>
      <c r="AW10" s="67">
        <v>8.5912722918024015E-2</v>
      </c>
      <c r="AX10" s="67">
        <v>6.0698027314112302E-3</v>
      </c>
      <c r="AY10" s="67">
        <v>6.0698027314112302E-3</v>
      </c>
      <c r="AZ10" s="67">
        <v>6.9752489808509193</v>
      </c>
    </row>
    <row r="11" spans="1:52" x14ac:dyDescent="0.25">
      <c r="A11" s="48" t="s">
        <v>177</v>
      </c>
      <c r="B11">
        <v>3.8135593220339076E-2</v>
      </c>
      <c r="C11">
        <v>1.4830508474576273E-2</v>
      </c>
      <c r="D11">
        <v>1.5655577299412866E-2</v>
      </c>
      <c r="E11" s="67">
        <v>6.8621678994328222E-2</v>
      </c>
      <c r="F11">
        <v>1.1337868480725607E-3</v>
      </c>
      <c r="G11">
        <v>0</v>
      </c>
      <c r="H11">
        <v>0</v>
      </c>
      <c r="I11" s="67">
        <v>1.1337868480725607E-3</v>
      </c>
      <c r="J11">
        <v>0</v>
      </c>
      <c r="K11">
        <v>1.5384615384615398E-3</v>
      </c>
      <c r="L11">
        <v>1.9880715705765379E-3</v>
      </c>
      <c r="M11" s="67">
        <v>3.5265331090380777E-3</v>
      </c>
      <c r="N11">
        <v>0</v>
      </c>
      <c r="O11">
        <v>0</v>
      </c>
      <c r="P11">
        <v>0</v>
      </c>
      <c r="Q11" s="67">
        <v>0</v>
      </c>
      <c r="R11">
        <v>1.5974440894568668E-3</v>
      </c>
      <c r="S11">
        <v>0</v>
      </c>
      <c r="T11">
        <v>1.2048192771084345E-3</v>
      </c>
      <c r="U11" s="67">
        <v>2.8022633665653013E-3</v>
      </c>
      <c r="V11">
        <v>0</v>
      </c>
      <c r="W11">
        <v>0</v>
      </c>
      <c r="X11">
        <v>0</v>
      </c>
      <c r="Y11" s="67">
        <v>0</v>
      </c>
      <c r="Z11">
        <v>0</v>
      </c>
      <c r="AA11">
        <v>4.9261083743842356E-3</v>
      </c>
      <c r="AB11">
        <v>3.2362459546925581E-3</v>
      </c>
      <c r="AC11" s="67">
        <v>8.1623543290767937E-3</v>
      </c>
      <c r="AD11">
        <v>1.2302284710017581E-2</v>
      </c>
      <c r="AE11">
        <v>0</v>
      </c>
      <c r="AF11">
        <v>0</v>
      </c>
      <c r="AG11" s="67">
        <v>1.2302284710017581E-2</v>
      </c>
      <c r="AH11">
        <v>2.2026431718061706E-3</v>
      </c>
      <c r="AI11">
        <v>7.1428571428571409E-3</v>
      </c>
      <c r="AJ11">
        <v>1.0593220338983052E-2</v>
      </c>
      <c r="AK11" s="67">
        <v>1.9938720653646366E-2</v>
      </c>
      <c r="AL11">
        <v>0.66666666666666674</v>
      </c>
      <c r="AM11">
        <v>0.82075471698113223</v>
      </c>
      <c r="AN11">
        <v>0.86075949367088644</v>
      </c>
      <c r="AO11" s="67">
        <v>2.3481808773186854</v>
      </c>
      <c r="AP11">
        <v>1.0384215991692626E-2</v>
      </c>
      <c r="AQ11">
        <v>1.9296254256526632E-2</v>
      </c>
      <c r="AR11">
        <v>1.8162393162393157E-2</v>
      </c>
      <c r="AS11" s="67">
        <v>4.7842863410612418E-2</v>
      </c>
      <c r="AT11">
        <v>1.3140604467805502E-3</v>
      </c>
      <c r="AU11">
        <v>0</v>
      </c>
      <c r="AV11">
        <v>1.7761989342806378E-3</v>
      </c>
      <c r="AW11" s="67">
        <v>3.090259381061188E-3</v>
      </c>
      <c r="AX11">
        <v>0</v>
      </c>
      <c r="AY11" s="67">
        <v>0</v>
      </c>
      <c r="AZ11">
        <v>2.5156016221211042</v>
      </c>
    </row>
    <row r="12" spans="1:52" x14ac:dyDescent="0.25">
      <c r="A12" s="48" t="s">
        <v>175</v>
      </c>
      <c r="B12">
        <v>6.9915254237288088E-2</v>
      </c>
      <c r="C12">
        <v>0.12288135593220335</v>
      </c>
      <c r="D12">
        <v>7.6320939334637961E-2</v>
      </c>
      <c r="E12" s="67">
        <v>0.26911754950412942</v>
      </c>
      <c r="F12">
        <v>0.12244897959183668</v>
      </c>
      <c r="G12">
        <v>9.870129870129879E-2</v>
      </c>
      <c r="H12">
        <v>0.14221218961625282</v>
      </c>
      <c r="I12" s="67">
        <v>0.36336246790938831</v>
      </c>
      <c r="J12">
        <v>1.1013215859030821E-3</v>
      </c>
      <c r="K12">
        <v>1.5384615384615365E-3</v>
      </c>
      <c r="L12">
        <v>1.9880715705765379E-3</v>
      </c>
      <c r="M12" s="67">
        <v>4.6278546949411565E-3</v>
      </c>
      <c r="N12">
        <v>2.3529411764705844E-2</v>
      </c>
      <c r="O12">
        <v>6.1068702290076327E-3</v>
      </c>
      <c r="P12">
        <v>5.5350553505535034E-3</v>
      </c>
      <c r="Q12" s="67">
        <v>3.517133734426698E-2</v>
      </c>
      <c r="R12">
        <v>0</v>
      </c>
      <c r="S12">
        <v>2.2050716648291066E-3</v>
      </c>
      <c r="T12">
        <v>1.3253012048192771E-2</v>
      </c>
      <c r="U12" s="67">
        <v>1.5458083713021877E-2</v>
      </c>
      <c r="V12">
        <v>0</v>
      </c>
      <c r="W12">
        <v>0</v>
      </c>
      <c r="X12">
        <v>0</v>
      </c>
      <c r="Y12" s="67">
        <v>0</v>
      </c>
      <c r="Z12">
        <v>9.5693779904306234E-3</v>
      </c>
      <c r="AA12">
        <v>2.6272577996715937E-2</v>
      </c>
      <c r="AB12">
        <v>9.7087378640776743E-3</v>
      </c>
      <c r="AC12" s="67">
        <v>4.5550693851224233E-2</v>
      </c>
      <c r="AD12">
        <v>4.0421792618629153E-2</v>
      </c>
      <c r="AE12">
        <v>2.2767075306479877E-2</v>
      </c>
      <c r="AF12">
        <v>1.7582417582417683E-2</v>
      </c>
      <c r="AG12" s="67">
        <v>8.0771285507526713E-2</v>
      </c>
      <c r="AH12">
        <v>0.6277533039647577</v>
      </c>
      <c r="AI12">
        <v>0.57619047619047614</v>
      </c>
      <c r="AJ12">
        <v>0.56355932203389825</v>
      </c>
      <c r="AK12" s="67">
        <v>1.7675031021891323</v>
      </c>
      <c r="AL12">
        <v>9.9999999999999742E-2</v>
      </c>
      <c r="AM12">
        <v>3.3018867924528149E-2</v>
      </c>
      <c r="AN12">
        <v>2.9535864978902905E-2</v>
      </c>
      <c r="AO12" s="67">
        <v>0.16255473290343078</v>
      </c>
      <c r="AP12">
        <v>3.1152647975077859E-3</v>
      </c>
      <c r="AQ12">
        <v>2.2701475595913742E-3</v>
      </c>
      <c r="AR12">
        <v>4.2735042735042731E-3</v>
      </c>
      <c r="AS12" s="67">
        <v>9.6589166306034341E-3</v>
      </c>
      <c r="AT12">
        <v>7.8843626806833125E-3</v>
      </c>
      <c r="AU12">
        <v>8.7873462214411256E-3</v>
      </c>
      <c r="AV12">
        <v>1.0657193605683842E-2</v>
      </c>
      <c r="AW12" s="67">
        <v>2.732890250780828E-2</v>
      </c>
      <c r="AX12">
        <v>4.5523520485584237E-3</v>
      </c>
      <c r="AY12" s="67">
        <v>4.5523520485584237E-3</v>
      </c>
      <c r="AZ12">
        <v>2.785657278804031</v>
      </c>
    </row>
    <row r="13" spans="1:52" x14ac:dyDescent="0.25">
      <c r="A13" s="48" t="s">
        <v>59</v>
      </c>
      <c r="B13">
        <v>0.10805084745762708</v>
      </c>
      <c r="C13">
        <v>5.2966101694915266E-2</v>
      </c>
      <c r="D13">
        <v>3.7181996086105687E-2</v>
      </c>
      <c r="E13" s="67">
        <v>0.19819894523864801</v>
      </c>
      <c r="F13">
        <v>0</v>
      </c>
      <c r="G13">
        <v>0</v>
      </c>
      <c r="H13">
        <v>0</v>
      </c>
      <c r="I13" s="67">
        <v>0</v>
      </c>
      <c r="J13">
        <v>0.12555066079295144</v>
      </c>
      <c r="K13">
        <v>0.12307692307692308</v>
      </c>
      <c r="L13">
        <v>0.1013916500994036</v>
      </c>
      <c r="M13" s="67">
        <v>0.35001923396927814</v>
      </c>
      <c r="N13">
        <v>3.1372549019607822E-2</v>
      </c>
      <c r="O13">
        <v>8.5496183206106899E-2</v>
      </c>
      <c r="P13">
        <v>3.5055350553505518E-2</v>
      </c>
      <c r="Q13" s="67">
        <v>0.15192408277922026</v>
      </c>
      <c r="R13">
        <v>0.90894568690095856</v>
      </c>
      <c r="S13">
        <v>0.84233737596471892</v>
      </c>
      <c r="T13">
        <v>0.74457831325301205</v>
      </c>
      <c r="U13" s="67">
        <v>2.4958613761186896</v>
      </c>
      <c r="V13">
        <v>0</v>
      </c>
      <c r="W13">
        <v>1.1013215859030838E-2</v>
      </c>
      <c r="X13">
        <v>1.0291595197255577E-2</v>
      </c>
      <c r="Y13" s="67">
        <v>2.1304811056286413E-2</v>
      </c>
      <c r="Z13">
        <v>3.3492822966507158E-2</v>
      </c>
      <c r="AA13">
        <v>1.6420361247947404E-2</v>
      </c>
      <c r="AB13">
        <v>2.1035598705501587E-2</v>
      </c>
      <c r="AC13" s="67">
        <v>7.0948782919956155E-2</v>
      </c>
      <c r="AD13">
        <v>2.811950790861158E-2</v>
      </c>
      <c r="AE13">
        <v>8.7565674255691787E-3</v>
      </c>
      <c r="AF13">
        <v>2.1978021978021956E-3</v>
      </c>
      <c r="AG13" s="67">
        <v>3.9073877531982958E-2</v>
      </c>
      <c r="AH13">
        <v>1.7621145374449344E-2</v>
      </c>
      <c r="AI13">
        <v>3.5714285714285726E-2</v>
      </c>
      <c r="AJ13">
        <v>1.271186440677966E-2</v>
      </c>
      <c r="AK13" s="67">
        <v>6.6047295495514732E-2</v>
      </c>
      <c r="AL13">
        <v>2.3809523809523815E-2</v>
      </c>
      <c r="AM13">
        <v>9.4339622641509552E-3</v>
      </c>
      <c r="AN13">
        <v>0</v>
      </c>
      <c r="AO13" s="67">
        <v>3.324348607367477E-2</v>
      </c>
      <c r="AP13">
        <v>4.1536863966770508E-3</v>
      </c>
      <c r="AQ13">
        <v>5.675368898978436E-3</v>
      </c>
      <c r="AR13">
        <v>1.1752136752136754E-2</v>
      </c>
      <c r="AS13" s="67">
        <v>2.1581192047792241E-2</v>
      </c>
      <c r="AT13">
        <v>1.8396846254927726E-2</v>
      </c>
      <c r="AU13">
        <v>1.4059753954305799E-2</v>
      </c>
      <c r="AV13">
        <v>1.0657193605683839E-2</v>
      </c>
      <c r="AW13" s="67">
        <v>4.311379381491736E-2</v>
      </c>
      <c r="AX13">
        <v>6.0698027314112302E-3</v>
      </c>
      <c r="AY13" s="67">
        <v>6.0698027314112302E-3</v>
      </c>
      <c r="AZ13">
        <v>3.4973866797773709</v>
      </c>
    </row>
    <row r="14" spans="1:52" x14ac:dyDescent="0.25">
      <c r="A14" s="48" t="s">
        <v>36</v>
      </c>
      <c r="B14" s="67">
        <v>4.2372881355932429E-3</v>
      </c>
      <c r="C14" s="67">
        <v>0</v>
      </c>
      <c r="D14" s="67">
        <v>0</v>
      </c>
      <c r="E14" s="67">
        <v>4.2372881355932429E-3</v>
      </c>
      <c r="F14" s="67">
        <v>0</v>
      </c>
      <c r="G14" s="67">
        <v>0</v>
      </c>
      <c r="H14" s="67">
        <v>0</v>
      </c>
      <c r="I14" s="67">
        <v>0</v>
      </c>
      <c r="J14" s="67">
        <v>4.4052863436123335E-3</v>
      </c>
      <c r="K14" s="67">
        <v>2.1538461538461545E-2</v>
      </c>
      <c r="L14" s="67">
        <v>1.7892644135188873E-2</v>
      </c>
      <c r="M14" s="67">
        <v>4.3836392017262749E-2</v>
      </c>
      <c r="N14" s="67">
        <v>0.65490196078431384</v>
      </c>
      <c r="O14" s="67">
        <v>0.5572519083969466</v>
      </c>
      <c r="P14" s="67">
        <v>0.51476014760147615</v>
      </c>
      <c r="Q14" s="67">
        <v>1.7269140167827368</v>
      </c>
      <c r="R14" s="67">
        <v>1.1182108626198083E-2</v>
      </c>
      <c r="S14" s="67">
        <v>1.1025358324145534E-2</v>
      </c>
      <c r="T14" s="67">
        <v>9.638554216867469E-3</v>
      </c>
      <c r="U14" s="67">
        <v>3.1846021167211087E-2</v>
      </c>
      <c r="V14" s="67">
        <v>0</v>
      </c>
      <c r="W14" s="67">
        <v>0</v>
      </c>
      <c r="X14" s="67">
        <v>0</v>
      </c>
      <c r="Y14" s="67">
        <v>0</v>
      </c>
      <c r="Z14" s="67">
        <v>0</v>
      </c>
      <c r="AA14" s="67">
        <v>0</v>
      </c>
      <c r="AB14" s="67">
        <v>0</v>
      </c>
      <c r="AC14" s="67">
        <v>0</v>
      </c>
      <c r="AD14" s="67">
        <v>5.272407732864675E-3</v>
      </c>
      <c r="AE14" s="67">
        <v>0</v>
      </c>
      <c r="AF14" s="67">
        <v>0</v>
      </c>
      <c r="AG14" s="67">
        <v>5.272407732864675E-3</v>
      </c>
      <c r="AH14" s="67">
        <v>0</v>
      </c>
      <c r="AI14" s="67">
        <v>0</v>
      </c>
      <c r="AJ14" s="67">
        <v>0</v>
      </c>
      <c r="AK14" s="67">
        <v>0</v>
      </c>
      <c r="AL14" s="67">
        <v>0</v>
      </c>
      <c r="AM14" s="67">
        <v>0</v>
      </c>
      <c r="AN14" s="67">
        <v>0</v>
      </c>
      <c r="AO14" s="67">
        <v>0</v>
      </c>
      <c r="AP14" s="67">
        <v>0</v>
      </c>
      <c r="AQ14" s="67">
        <v>0</v>
      </c>
      <c r="AR14" s="67">
        <v>0</v>
      </c>
      <c r="AS14" s="67">
        <v>0</v>
      </c>
      <c r="AT14" s="67">
        <v>0</v>
      </c>
      <c r="AU14" s="67">
        <v>0</v>
      </c>
      <c r="AV14" s="67">
        <v>0</v>
      </c>
      <c r="AW14" s="67">
        <v>0</v>
      </c>
      <c r="AX14" s="67">
        <v>7.5872534142640393E-3</v>
      </c>
      <c r="AY14" s="67">
        <v>7.5872534142640393E-3</v>
      </c>
      <c r="AZ14" s="67">
        <v>1.8196933792499326</v>
      </c>
    </row>
    <row r="15" spans="1:52" x14ac:dyDescent="0.25">
      <c r="A15" s="48" t="s">
        <v>176</v>
      </c>
      <c r="B15">
        <v>6.3559322033898316E-2</v>
      </c>
      <c r="C15">
        <v>1.0593220338983054E-2</v>
      </c>
      <c r="D15">
        <v>1.5655577299412918E-2</v>
      </c>
      <c r="E15" s="67">
        <v>8.9808119672294281E-2</v>
      </c>
      <c r="F15">
        <v>4.5351473922902322E-3</v>
      </c>
      <c r="G15">
        <v>0</v>
      </c>
      <c r="H15">
        <v>0</v>
      </c>
      <c r="I15" s="67">
        <v>4.5351473922902322E-3</v>
      </c>
      <c r="J15">
        <v>0</v>
      </c>
      <c r="K15">
        <v>0</v>
      </c>
      <c r="L15">
        <v>0</v>
      </c>
      <c r="M15" s="67">
        <v>0</v>
      </c>
      <c r="N15">
        <v>0</v>
      </c>
      <c r="O15">
        <v>0</v>
      </c>
      <c r="P15">
        <v>0</v>
      </c>
      <c r="Q15" s="67">
        <v>0</v>
      </c>
      <c r="R15">
        <v>0</v>
      </c>
      <c r="S15">
        <v>0</v>
      </c>
      <c r="T15">
        <v>0</v>
      </c>
      <c r="U15" s="67">
        <v>0</v>
      </c>
      <c r="V15">
        <v>0</v>
      </c>
      <c r="W15">
        <v>0</v>
      </c>
      <c r="X15">
        <v>0</v>
      </c>
      <c r="Y15" s="67">
        <v>0</v>
      </c>
      <c r="Z15">
        <v>1.435406698564594E-2</v>
      </c>
      <c r="AA15">
        <v>1.970443349753695E-2</v>
      </c>
      <c r="AB15">
        <v>2.4271844660194188E-2</v>
      </c>
      <c r="AC15" s="67">
        <v>5.833034514337708E-2</v>
      </c>
      <c r="AD15">
        <v>0.57644991212653762</v>
      </c>
      <c r="AE15">
        <v>0.82486865148861654</v>
      </c>
      <c r="AF15">
        <v>0.83956043956043958</v>
      </c>
      <c r="AG15" s="67">
        <v>2.2408790031755936</v>
      </c>
      <c r="AH15">
        <v>5.0660792951541814E-2</v>
      </c>
      <c r="AI15">
        <v>1.1904761904761909E-2</v>
      </c>
      <c r="AJ15">
        <v>2.5423728813559233E-2</v>
      </c>
      <c r="AK15" s="67">
        <v>8.7989283669862944E-2</v>
      </c>
      <c r="AL15">
        <v>1.428571428571429E-2</v>
      </c>
      <c r="AM15">
        <v>0</v>
      </c>
      <c r="AN15">
        <v>0</v>
      </c>
      <c r="AO15" s="67">
        <v>1.428571428571429E-2</v>
      </c>
      <c r="AP15">
        <v>0</v>
      </c>
      <c r="AQ15">
        <v>0</v>
      </c>
      <c r="AR15">
        <v>0</v>
      </c>
      <c r="AS15" s="67">
        <v>0</v>
      </c>
      <c r="AT15">
        <v>1.3140604467805521E-3</v>
      </c>
      <c r="AU15">
        <v>3.5149384885764506E-3</v>
      </c>
      <c r="AV15">
        <v>0</v>
      </c>
      <c r="AW15" s="67">
        <v>4.8289989353570029E-3</v>
      </c>
      <c r="AX15">
        <v>0</v>
      </c>
      <c r="AY15" s="67">
        <v>0</v>
      </c>
      <c r="AZ15">
        <v>2.50065661227449</v>
      </c>
    </row>
    <row r="16" spans="1:52" x14ac:dyDescent="0.25">
      <c r="A16" s="48" t="s">
        <v>174</v>
      </c>
      <c r="B16">
        <v>1.6949152542372899E-2</v>
      </c>
      <c r="C16">
        <v>6.3559322033898318E-3</v>
      </c>
      <c r="D16">
        <v>1.174168297455969E-2</v>
      </c>
      <c r="E16" s="67">
        <v>3.5046767720322419E-2</v>
      </c>
      <c r="F16">
        <v>0.84240362811791414</v>
      </c>
      <c r="G16">
        <v>0.89350649350649347</v>
      </c>
      <c r="H16">
        <v>0.85101580135440191</v>
      </c>
      <c r="I16" s="67">
        <v>2.5869259229788093</v>
      </c>
      <c r="J16">
        <v>0</v>
      </c>
      <c r="K16">
        <v>0</v>
      </c>
      <c r="L16">
        <v>0</v>
      </c>
      <c r="M16" s="67">
        <v>0</v>
      </c>
      <c r="N16">
        <v>0</v>
      </c>
      <c r="O16">
        <v>0</v>
      </c>
      <c r="P16">
        <v>0</v>
      </c>
      <c r="Q16" s="67">
        <v>0</v>
      </c>
      <c r="R16">
        <v>0</v>
      </c>
      <c r="S16">
        <v>0</v>
      </c>
      <c r="T16">
        <v>2.4096385542168664E-3</v>
      </c>
      <c r="U16" s="67">
        <v>2.4096385542168664E-3</v>
      </c>
      <c r="V16">
        <v>0</v>
      </c>
      <c r="W16">
        <v>0</v>
      </c>
      <c r="X16">
        <v>0</v>
      </c>
      <c r="Y16" s="67">
        <v>0</v>
      </c>
      <c r="Z16">
        <v>0</v>
      </c>
      <c r="AA16">
        <v>0</v>
      </c>
      <c r="AB16">
        <v>0</v>
      </c>
      <c r="AC16" s="67">
        <v>0</v>
      </c>
      <c r="AD16">
        <v>1.7574692442882262E-2</v>
      </c>
      <c r="AE16">
        <v>7.0052539404553416E-3</v>
      </c>
      <c r="AF16">
        <v>2.1978021978022004E-3</v>
      </c>
      <c r="AG16" s="67">
        <v>2.6777748581139803E-2</v>
      </c>
      <c r="AH16">
        <v>0.20484581497797361</v>
      </c>
      <c r="AI16">
        <v>0.1761904761904764</v>
      </c>
      <c r="AJ16">
        <v>0.27754237288135597</v>
      </c>
      <c r="AK16" s="67">
        <v>0.65857866404980592</v>
      </c>
      <c r="AL16">
        <v>0</v>
      </c>
      <c r="AM16">
        <v>0</v>
      </c>
      <c r="AN16">
        <v>8.4388185654008397E-3</v>
      </c>
      <c r="AO16" s="67">
        <v>8.4388185654008397E-3</v>
      </c>
      <c r="AP16">
        <v>1.0384215991692627E-3</v>
      </c>
      <c r="AQ16">
        <v>1.1350737797956856E-3</v>
      </c>
      <c r="AR16">
        <v>3.2051282051282033E-3</v>
      </c>
      <c r="AS16" s="67">
        <v>5.3786235840931514E-3</v>
      </c>
      <c r="AT16">
        <v>0</v>
      </c>
      <c r="AU16">
        <v>3.5149384885764506E-3</v>
      </c>
      <c r="AV16">
        <v>1.7761989342806404E-3</v>
      </c>
      <c r="AW16" s="67">
        <v>5.2911374228570909E-3</v>
      </c>
      <c r="AX16">
        <v>0</v>
      </c>
      <c r="AY16" s="67">
        <v>0</v>
      </c>
      <c r="AZ16">
        <v>3.3288473214566459</v>
      </c>
    </row>
    <row r="17" spans="1:55" x14ac:dyDescent="0.25">
      <c r="A17" s="48" t="s">
        <v>10</v>
      </c>
      <c r="B17" s="67">
        <v>0.51483050847457623</v>
      </c>
      <c r="C17" s="67">
        <v>0.68008474576271194</v>
      </c>
      <c r="D17" s="67">
        <v>0.6810176125244618</v>
      </c>
      <c r="E17" s="67">
        <v>1.8759328667617499</v>
      </c>
      <c r="F17" s="67">
        <v>2.7210884353741475E-2</v>
      </c>
      <c r="G17" s="67">
        <v>7.7922077922077167E-3</v>
      </c>
      <c r="H17" s="67">
        <v>4.5146726862302341E-3</v>
      </c>
      <c r="I17" s="67">
        <v>3.9517764832179426E-2</v>
      </c>
      <c r="J17" s="67">
        <v>2.3127753303964771E-2</v>
      </c>
      <c r="K17" s="67">
        <v>2.9230769230769098E-2</v>
      </c>
      <c r="L17" s="67">
        <v>2.982107355864811E-2</v>
      </c>
      <c r="M17" s="67">
        <v>8.217959609338199E-2</v>
      </c>
      <c r="N17" s="67">
        <v>0.22875816993464052</v>
      </c>
      <c r="O17" s="67">
        <v>0.20763358778625945</v>
      </c>
      <c r="P17" s="67">
        <v>0.31549815498154976</v>
      </c>
      <c r="Q17" s="67">
        <v>0.75188991270244976</v>
      </c>
      <c r="R17" s="67">
        <v>2.7156549520766706E-2</v>
      </c>
      <c r="S17" s="67">
        <v>3.0871003307607465E-2</v>
      </c>
      <c r="T17" s="67">
        <v>2.7710843373493936E-2</v>
      </c>
      <c r="U17" s="67">
        <v>8.57383962018681E-2</v>
      </c>
      <c r="V17" s="67">
        <v>3.7344398340248892E-2</v>
      </c>
      <c r="W17" s="67">
        <v>1.7621145374449278E-2</v>
      </c>
      <c r="X17" s="67">
        <v>2.2298456260720374E-2</v>
      </c>
      <c r="Y17" s="67">
        <v>7.7263999975418537E-2</v>
      </c>
      <c r="Z17" s="67">
        <v>1.9138755980861184E-2</v>
      </c>
      <c r="AA17" s="67">
        <v>5.9113300492610765E-2</v>
      </c>
      <c r="AB17" s="67">
        <v>4.0453074433656984E-2</v>
      </c>
      <c r="AC17" s="67">
        <v>0.11870513090712892</v>
      </c>
      <c r="AD17" s="67">
        <v>0.15114235500878748</v>
      </c>
      <c r="AE17" s="67">
        <v>9.1068301225919385E-2</v>
      </c>
      <c r="AF17" s="67">
        <v>9.0109890109890012E-2</v>
      </c>
      <c r="AG17" s="67">
        <v>0.33232054634459685</v>
      </c>
      <c r="AH17" s="67">
        <v>7.7092511013215903E-2</v>
      </c>
      <c r="AI17" s="67">
        <v>0.12380952380952374</v>
      </c>
      <c r="AJ17" s="67">
        <v>5.2966101694915259E-2</v>
      </c>
      <c r="AK17" s="67">
        <v>0.25386813651765494</v>
      </c>
      <c r="AL17" s="67">
        <v>0.14761904761904771</v>
      </c>
      <c r="AM17" s="67">
        <v>0.12264150943396218</v>
      </c>
      <c r="AN17" s="67">
        <v>8.860759493670857E-2</v>
      </c>
      <c r="AO17" s="67">
        <v>0.35886815198971844</v>
      </c>
      <c r="AP17" s="67">
        <v>7.6843198338525417E-2</v>
      </c>
      <c r="AQ17" s="67">
        <v>5.7888762769579979E-2</v>
      </c>
      <c r="AR17" s="67">
        <v>6.7307692307692277E-2</v>
      </c>
      <c r="AS17" s="67">
        <v>0.20203965341579766</v>
      </c>
      <c r="AT17" s="67">
        <v>6.7017082785808077E-2</v>
      </c>
      <c r="AU17" s="67">
        <v>4.7451669595782009E-2</v>
      </c>
      <c r="AV17" s="67">
        <v>7.6376554174067482E-2</v>
      </c>
      <c r="AW17" s="67">
        <v>0.19084530655565757</v>
      </c>
      <c r="AX17" s="67">
        <v>9.4081942336874017E-2</v>
      </c>
      <c r="AY17" s="67">
        <v>9.4081942336874017E-2</v>
      </c>
      <c r="AZ17" s="67">
        <v>4.4632514046344776</v>
      </c>
    </row>
    <row r="18" spans="1:55" x14ac:dyDescent="0.25">
      <c r="A18" s="48" t="s">
        <v>28</v>
      </c>
      <c r="B18">
        <v>1</v>
      </c>
      <c r="C18">
        <v>1</v>
      </c>
      <c r="D18">
        <v>1</v>
      </c>
      <c r="E18" s="67">
        <v>3</v>
      </c>
      <c r="F18">
        <v>1.0000000000000002</v>
      </c>
      <c r="G18">
        <v>1</v>
      </c>
      <c r="H18">
        <v>1</v>
      </c>
      <c r="I18" s="67">
        <v>3</v>
      </c>
      <c r="J18">
        <v>0.99999999999999989</v>
      </c>
      <c r="K18">
        <v>0.99999999999999967</v>
      </c>
      <c r="L18">
        <v>1</v>
      </c>
      <c r="M18" s="67">
        <v>3</v>
      </c>
      <c r="N18">
        <v>1</v>
      </c>
      <c r="O18">
        <v>1</v>
      </c>
      <c r="P18">
        <v>1</v>
      </c>
      <c r="Q18" s="67">
        <v>3.0000000000000004</v>
      </c>
      <c r="R18">
        <v>1</v>
      </c>
      <c r="S18">
        <v>1</v>
      </c>
      <c r="T18">
        <v>0.99999999999999989</v>
      </c>
      <c r="U18" s="67">
        <v>3</v>
      </c>
      <c r="V18">
        <v>1</v>
      </c>
      <c r="W18">
        <v>1</v>
      </c>
      <c r="X18">
        <v>0.99999999999999989</v>
      </c>
      <c r="Y18" s="67">
        <v>2.9999999999999996</v>
      </c>
      <c r="Z18">
        <v>1</v>
      </c>
      <c r="AA18">
        <v>1</v>
      </c>
      <c r="AB18">
        <v>0.99999999999999978</v>
      </c>
      <c r="AC18" s="67">
        <v>2.9999999999999996</v>
      </c>
      <c r="AD18">
        <v>1</v>
      </c>
      <c r="AE18">
        <v>1</v>
      </c>
      <c r="AF18">
        <v>0.99999999999999989</v>
      </c>
      <c r="AG18" s="67">
        <v>3</v>
      </c>
      <c r="AH18">
        <v>1</v>
      </c>
      <c r="AI18">
        <v>1.0000000000000002</v>
      </c>
      <c r="AJ18">
        <v>0.99999999999999989</v>
      </c>
      <c r="AK18" s="67">
        <v>3</v>
      </c>
      <c r="AL18">
        <v>1</v>
      </c>
      <c r="AM18">
        <v>1</v>
      </c>
      <c r="AN18">
        <v>1</v>
      </c>
      <c r="AO18" s="67">
        <v>2.9999999999999996</v>
      </c>
      <c r="AP18">
        <v>0.99999999999999989</v>
      </c>
      <c r="AQ18">
        <v>1.0000000000000002</v>
      </c>
      <c r="AR18">
        <v>0.99999999999999989</v>
      </c>
      <c r="AS18" s="67">
        <v>3</v>
      </c>
      <c r="AT18">
        <v>1</v>
      </c>
      <c r="AU18">
        <v>1</v>
      </c>
      <c r="AV18">
        <v>1</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390</v>
      </c>
      <c r="C5" t="s">
        <v>391</v>
      </c>
      <c r="D5" t="s">
        <v>392</v>
      </c>
      <c r="F5" t="s">
        <v>360</v>
      </c>
      <c r="G5" t="s">
        <v>364</v>
      </c>
      <c r="H5" t="s">
        <v>366</v>
      </c>
      <c r="J5" t="s">
        <v>351</v>
      </c>
      <c r="K5" t="s">
        <v>352</v>
      </c>
      <c r="L5" t="s">
        <v>368</v>
      </c>
      <c r="N5" t="s">
        <v>354</v>
      </c>
      <c r="O5" t="s">
        <v>374</v>
      </c>
      <c r="P5" t="s">
        <v>385</v>
      </c>
      <c r="R5" t="s">
        <v>348</v>
      </c>
      <c r="S5" t="s">
        <v>349</v>
      </c>
      <c r="T5" t="s">
        <v>350</v>
      </c>
      <c r="V5" t="s">
        <v>371</v>
      </c>
      <c r="W5" t="s">
        <v>372</v>
      </c>
      <c r="X5" t="s">
        <v>373</v>
      </c>
      <c r="Z5" t="s">
        <v>375</v>
      </c>
      <c r="AA5" t="s">
        <v>376</v>
      </c>
      <c r="AB5" t="s">
        <v>377</v>
      </c>
      <c r="AD5" t="s">
        <v>356</v>
      </c>
      <c r="AE5" t="s">
        <v>357</v>
      </c>
      <c r="AF5" t="s">
        <v>359</v>
      </c>
      <c r="AH5" t="s">
        <v>387</v>
      </c>
      <c r="AI5" t="s">
        <v>388</v>
      </c>
      <c r="AJ5" t="s">
        <v>389</v>
      </c>
      <c r="AL5" t="s">
        <v>378</v>
      </c>
      <c r="AM5" t="s">
        <v>379</v>
      </c>
      <c r="AN5" t="s">
        <v>380</v>
      </c>
      <c r="AP5" t="s">
        <v>381</v>
      </c>
      <c r="AQ5" t="s">
        <v>382</v>
      </c>
      <c r="AR5" t="s">
        <v>383</v>
      </c>
      <c r="AT5" t="s">
        <v>393</v>
      </c>
      <c r="AU5" t="s">
        <v>394</v>
      </c>
      <c r="AV5" t="s">
        <v>395</v>
      </c>
      <c r="AX5" t="s">
        <v>398</v>
      </c>
    </row>
    <row r="6" spans="1:52" x14ac:dyDescent="0.25">
      <c r="A6" s="48" t="s">
        <v>38</v>
      </c>
      <c r="B6" s="67">
        <v>0</v>
      </c>
      <c r="C6" s="67">
        <v>0</v>
      </c>
      <c r="D6" s="67">
        <v>0</v>
      </c>
      <c r="E6" s="67">
        <v>0</v>
      </c>
      <c r="F6" s="67">
        <v>0</v>
      </c>
      <c r="G6" s="67">
        <v>0</v>
      </c>
      <c r="H6" s="67">
        <v>0</v>
      </c>
      <c r="I6" s="67">
        <v>0</v>
      </c>
      <c r="J6" s="67">
        <v>0</v>
      </c>
      <c r="K6" s="67">
        <v>3.3185840707964597E-3</v>
      </c>
      <c r="L6" s="67">
        <v>3.4642032332563516E-3</v>
      </c>
      <c r="M6" s="67">
        <v>6.7827873040528109E-3</v>
      </c>
      <c r="N6" s="67">
        <v>0</v>
      </c>
      <c r="O6" s="67">
        <v>3.7926675094816704E-3</v>
      </c>
      <c r="P6" s="67">
        <v>8.6830680173661367E-3</v>
      </c>
      <c r="Q6" s="67">
        <v>1.2475735526847807E-2</v>
      </c>
      <c r="R6" s="67">
        <v>9.5238095238095108E-4</v>
      </c>
      <c r="S6" s="67">
        <v>0</v>
      </c>
      <c r="T6" s="67">
        <v>0</v>
      </c>
      <c r="U6" s="67">
        <v>9.5238095238095108E-4</v>
      </c>
      <c r="V6" s="67">
        <v>0</v>
      </c>
      <c r="W6" s="67">
        <v>2.4048096192384783E-2</v>
      </c>
      <c r="X6" s="67">
        <v>0</v>
      </c>
      <c r="Y6" s="67">
        <v>2.4048096192384783E-2</v>
      </c>
      <c r="Z6" s="67">
        <v>0</v>
      </c>
      <c r="AA6" s="67">
        <v>0</v>
      </c>
      <c r="AB6" s="67">
        <v>0</v>
      </c>
      <c r="AC6" s="67">
        <v>0</v>
      </c>
      <c r="AD6" s="67">
        <v>0</v>
      </c>
      <c r="AE6" s="67">
        <v>0</v>
      </c>
      <c r="AF6" s="67">
        <v>0</v>
      </c>
      <c r="AG6" s="67">
        <v>0</v>
      </c>
      <c r="AH6" s="67">
        <v>0</v>
      </c>
      <c r="AI6" s="67">
        <v>0</v>
      </c>
      <c r="AJ6" s="67">
        <v>6.0060060060060077E-3</v>
      </c>
      <c r="AK6" s="67">
        <v>6.0060060060060077E-3</v>
      </c>
      <c r="AL6" s="67">
        <v>0</v>
      </c>
      <c r="AM6" s="67">
        <v>0</v>
      </c>
      <c r="AN6" s="67">
        <v>0</v>
      </c>
      <c r="AO6" s="67">
        <v>0</v>
      </c>
      <c r="AP6" s="67">
        <v>0.9316702819956616</v>
      </c>
      <c r="AQ6" s="67">
        <v>0.92046783625730999</v>
      </c>
      <c r="AR6" s="67">
        <v>0.97666666666666668</v>
      </c>
      <c r="AS6" s="67">
        <v>2.828804784919638</v>
      </c>
      <c r="AT6" s="67">
        <v>0</v>
      </c>
      <c r="AU6" s="67">
        <v>0</v>
      </c>
      <c r="AV6" s="67">
        <v>2.4067388688327313E-3</v>
      </c>
      <c r="AW6" s="67">
        <v>2.4067388688327313E-3</v>
      </c>
      <c r="AX6" s="67">
        <v>0</v>
      </c>
      <c r="AY6" s="67">
        <v>0</v>
      </c>
      <c r="AZ6" s="67">
        <v>2.8814765297701435</v>
      </c>
    </row>
    <row r="7" spans="1:52" x14ac:dyDescent="0.25">
      <c r="A7" s="48" t="s">
        <v>34</v>
      </c>
      <c r="B7" s="67">
        <v>1.2371134020618558E-2</v>
      </c>
      <c r="C7" s="67">
        <v>1.7057569296375259E-2</v>
      </c>
      <c r="D7" s="67">
        <v>6.0240963855421664E-3</v>
      </c>
      <c r="E7" s="67">
        <v>3.5452799702535981E-2</v>
      </c>
      <c r="F7" s="67">
        <v>3.1446540880503112E-3</v>
      </c>
      <c r="G7" s="67">
        <v>0</v>
      </c>
      <c r="H7" s="67">
        <v>0</v>
      </c>
      <c r="I7" s="67">
        <v>3.1446540880503112E-3</v>
      </c>
      <c r="J7" s="67">
        <v>0</v>
      </c>
      <c r="K7" s="67">
        <v>1.1061946902654867E-3</v>
      </c>
      <c r="L7" s="67">
        <v>0</v>
      </c>
      <c r="M7" s="67">
        <v>1.1061946902654867E-3</v>
      </c>
      <c r="N7" s="67">
        <v>0</v>
      </c>
      <c r="O7" s="67">
        <v>1.3906447534766123E-2</v>
      </c>
      <c r="P7" s="67">
        <v>0</v>
      </c>
      <c r="Q7" s="67">
        <v>1.3906447534766123E-2</v>
      </c>
      <c r="R7" s="67">
        <v>0</v>
      </c>
      <c r="S7" s="67">
        <v>0</v>
      </c>
      <c r="T7" s="67">
        <v>0</v>
      </c>
      <c r="U7" s="67">
        <v>0</v>
      </c>
      <c r="V7" s="67">
        <v>0</v>
      </c>
      <c r="W7" s="67">
        <v>0</v>
      </c>
      <c r="X7" s="67">
        <v>0</v>
      </c>
      <c r="Y7" s="67">
        <v>0</v>
      </c>
      <c r="Z7" s="67">
        <v>0</v>
      </c>
      <c r="AA7" s="67">
        <v>0</v>
      </c>
      <c r="AB7" s="67">
        <v>1.0604453870625666E-3</v>
      </c>
      <c r="AC7" s="67">
        <v>1.0604453870625666E-3</v>
      </c>
      <c r="AD7" s="67">
        <v>2.0491803278688495E-3</v>
      </c>
      <c r="AE7" s="67">
        <v>0</v>
      </c>
      <c r="AF7" s="67">
        <v>9.4466936572199737E-3</v>
      </c>
      <c r="AG7" s="67">
        <v>1.1495873985088823E-2</v>
      </c>
      <c r="AH7" s="67">
        <v>7.832898172323766E-3</v>
      </c>
      <c r="AI7" s="67">
        <v>4.2194092827004233E-3</v>
      </c>
      <c r="AJ7" s="67">
        <v>0</v>
      </c>
      <c r="AK7" s="67">
        <v>1.205230745502419E-2</v>
      </c>
      <c r="AL7" s="67">
        <v>0</v>
      </c>
      <c r="AM7" s="67">
        <v>0</v>
      </c>
      <c r="AN7" s="67">
        <v>3.0211480362537786E-3</v>
      </c>
      <c r="AO7" s="67">
        <v>3.0211480362537786E-3</v>
      </c>
      <c r="AP7" s="67">
        <v>2.1691973969631233E-3</v>
      </c>
      <c r="AQ7" s="67">
        <v>1.1695906432748527E-3</v>
      </c>
      <c r="AR7" s="67">
        <v>1.1111111111111124E-3</v>
      </c>
      <c r="AS7" s="67">
        <v>4.449899151349088E-3</v>
      </c>
      <c r="AT7" s="67">
        <v>0.77712609970674507</v>
      </c>
      <c r="AU7" s="67">
        <v>0.88469184890656072</v>
      </c>
      <c r="AV7" s="67">
        <v>0.85078219013237066</v>
      </c>
      <c r="AW7" s="67">
        <v>2.5126001387456762</v>
      </c>
      <c r="AX7" s="67">
        <v>0.15453802125919869</v>
      </c>
      <c r="AY7" s="67">
        <v>0.15453802125919869</v>
      </c>
      <c r="AZ7" s="67">
        <v>2.7528279300352709</v>
      </c>
    </row>
    <row r="8" spans="1:52" x14ac:dyDescent="0.25">
      <c r="A8" s="48" t="s">
        <v>35</v>
      </c>
      <c r="B8" s="67">
        <v>0</v>
      </c>
      <c r="C8" s="67">
        <v>0</v>
      </c>
      <c r="D8" s="67">
        <v>8.0321285140562276E-3</v>
      </c>
      <c r="E8" s="67">
        <v>8.0321285140562276E-3</v>
      </c>
      <c r="F8" s="67">
        <v>0</v>
      </c>
      <c r="G8" s="67">
        <v>0</v>
      </c>
      <c r="H8" s="67">
        <v>0</v>
      </c>
      <c r="I8" s="67">
        <v>0</v>
      </c>
      <c r="J8" s="67">
        <v>0</v>
      </c>
      <c r="K8" s="67">
        <v>0</v>
      </c>
      <c r="L8" s="67">
        <v>0</v>
      </c>
      <c r="M8" s="67">
        <v>0</v>
      </c>
      <c r="N8" s="67">
        <v>1.4306151645207441E-3</v>
      </c>
      <c r="O8" s="67">
        <v>7.5853350189633391E-3</v>
      </c>
      <c r="P8" s="67">
        <v>1.4471780028943542E-3</v>
      </c>
      <c r="Q8" s="67">
        <v>1.0463128186378437E-2</v>
      </c>
      <c r="R8" s="67">
        <v>0</v>
      </c>
      <c r="S8" s="67">
        <v>0</v>
      </c>
      <c r="T8" s="67">
        <v>0</v>
      </c>
      <c r="U8" s="67">
        <v>0</v>
      </c>
      <c r="V8" s="67">
        <v>0</v>
      </c>
      <c r="W8" s="67">
        <v>0</v>
      </c>
      <c r="X8" s="67">
        <v>0</v>
      </c>
      <c r="Y8" s="67">
        <v>0</v>
      </c>
      <c r="Z8" s="67">
        <v>0</v>
      </c>
      <c r="AA8" s="67">
        <v>0</v>
      </c>
      <c r="AB8" s="67">
        <v>0</v>
      </c>
      <c r="AC8" s="67">
        <v>0</v>
      </c>
      <c r="AD8" s="67">
        <v>0</v>
      </c>
      <c r="AE8" s="67">
        <v>0</v>
      </c>
      <c r="AF8" s="67">
        <v>0</v>
      </c>
      <c r="AG8" s="67">
        <v>0</v>
      </c>
      <c r="AH8" s="67">
        <v>0</v>
      </c>
      <c r="AI8" s="67">
        <v>0</v>
      </c>
      <c r="AJ8" s="67">
        <v>0</v>
      </c>
      <c r="AK8" s="67">
        <v>0</v>
      </c>
      <c r="AL8" s="67">
        <v>3.3783783783783838E-3</v>
      </c>
      <c r="AM8" s="67">
        <v>0</v>
      </c>
      <c r="AN8" s="67">
        <v>0</v>
      </c>
      <c r="AO8" s="67">
        <v>3.3783783783783838E-3</v>
      </c>
      <c r="AP8" s="67">
        <v>0</v>
      </c>
      <c r="AQ8" s="67">
        <v>0</v>
      </c>
      <c r="AR8" s="67">
        <v>0</v>
      </c>
      <c r="AS8" s="67">
        <v>0</v>
      </c>
      <c r="AT8" s="67">
        <v>1.5640273704789834E-2</v>
      </c>
      <c r="AU8" s="67">
        <v>1.7892644135188866E-2</v>
      </c>
      <c r="AV8" s="67">
        <v>2.1660649819494577E-2</v>
      </c>
      <c r="AW8" s="67">
        <v>5.519356765947328E-2</v>
      </c>
      <c r="AX8" s="67">
        <v>0.69746524938675381</v>
      </c>
      <c r="AY8" s="67">
        <v>0.69746524938675381</v>
      </c>
      <c r="AZ8" s="67">
        <v>0.77453245212504007</v>
      </c>
    </row>
    <row r="9" spans="1:52" x14ac:dyDescent="0.25">
      <c r="A9" s="48" t="s">
        <v>22</v>
      </c>
      <c r="B9" s="67">
        <v>4.1237113402061862E-2</v>
      </c>
      <c r="C9" s="67">
        <v>2.9850746268656712E-2</v>
      </c>
      <c r="D9" s="67">
        <v>5.2208835341365473E-2</v>
      </c>
      <c r="E9" s="67">
        <v>0.12329669501208404</v>
      </c>
      <c r="F9" s="67">
        <v>0</v>
      </c>
      <c r="G9" s="67">
        <v>0</v>
      </c>
      <c r="H9" s="67">
        <v>0</v>
      </c>
      <c r="I9" s="67">
        <v>0</v>
      </c>
      <c r="J9" s="67">
        <v>1.6638935108153057E-3</v>
      </c>
      <c r="K9" s="67">
        <v>1.1061946902654867E-3</v>
      </c>
      <c r="L9" s="67">
        <v>6.9284064665127024E-3</v>
      </c>
      <c r="M9" s="67">
        <v>9.6984946675934946E-3</v>
      </c>
      <c r="N9" s="67">
        <v>0</v>
      </c>
      <c r="O9" s="67">
        <v>1.0113780025284451E-2</v>
      </c>
      <c r="P9" s="67">
        <v>1.4471780028943561E-3</v>
      </c>
      <c r="Q9" s="67">
        <v>1.1560958028178806E-2</v>
      </c>
      <c r="R9" s="67">
        <v>9.5238095238095108E-4</v>
      </c>
      <c r="S9" s="67">
        <v>1.0976948408342468E-3</v>
      </c>
      <c r="T9" s="67">
        <v>0</v>
      </c>
      <c r="U9" s="67">
        <v>2.0500757932151977E-3</v>
      </c>
      <c r="V9" s="67">
        <v>0</v>
      </c>
      <c r="W9" s="67">
        <v>0</v>
      </c>
      <c r="X9" s="67">
        <v>0</v>
      </c>
      <c r="Y9" s="67">
        <v>0</v>
      </c>
      <c r="Z9" s="67">
        <v>0.95704057279236276</v>
      </c>
      <c r="AA9" s="67">
        <v>0.95662100456621002</v>
      </c>
      <c r="AB9" s="67">
        <v>0.96606574761399799</v>
      </c>
      <c r="AC9" s="67">
        <v>2.8797273249725706</v>
      </c>
      <c r="AD9" s="67">
        <v>2.0491803278688523E-2</v>
      </c>
      <c r="AE9" s="67">
        <v>1.2867647058823529E-2</v>
      </c>
      <c r="AF9" s="67">
        <v>8.3670715249662617E-2</v>
      </c>
      <c r="AG9" s="67">
        <v>0.11703016558717466</v>
      </c>
      <c r="AH9" s="67">
        <v>1.0443864229765017E-2</v>
      </c>
      <c r="AI9" s="67">
        <v>8.4388185654008466E-3</v>
      </c>
      <c r="AJ9" s="67">
        <v>6.0060060060060077E-3</v>
      </c>
      <c r="AK9" s="67">
        <v>2.4888688801171871E-2</v>
      </c>
      <c r="AL9" s="67">
        <v>0</v>
      </c>
      <c r="AM9" s="67">
        <v>4.901960784313728E-3</v>
      </c>
      <c r="AN9" s="67">
        <v>0</v>
      </c>
      <c r="AO9" s="67">
        <v>4.901960784313728E-3</v>
      </c>
      <c r="AP9" s="67">
        <v>0</v>
      </c>
      <c r="AQ9" s="67">
        <v>1.1695906432748543E-3</v>
      </c>
      <c r="AR9" s="67">
        <v>1.1111111111111124E-3</v>
      </c>
      <c r="AS9" s="67">
        <v>2.2807017543859665E-3</v>
      </c>
      <c r="AT9" s="67">
        <v>2.2482893450635383E-2</v>
      </c>
      <c r="AU9" s="67">
        <v>1.3916500994035786E-2</v>
      </c>
      <c r="AV9" s="67">
        <v>1.925391095066185E-2</v>
      </c>
      <c r="AW9" s="67">
        <v>5.5653305395333016E-2</v>
      </c>
      <c r="AX9" s="67">
        <v>4.3336058871627149E-2</v>
      </c>
      <c r="AY9" s="67">
        <v>4.3336058871627149E-2</v>
      </c>
      <c r="AZ9" s="67">
        <v>3.2744244296676484</v>
      </c>
    </row>
    <row r="10" spans="1:52" x14ac:dyDescent="0.25">
      <c r="A10" s="48" t="s">
        <v>23</v>
      </c>
      <c r="B10" s="67">
        <v>0.16288659793814436</v>
      </c>
      <c r="C10" s="67">
        <v>0.10447761194029846</v>
      </c>
      <c r="D10" s="67">
        <v>0.15060240963855426</v>
      </c>
      <c r="E10" s="67">
        <v>0.4179666195169971</v>
      </c>
      <c r="F10" s="67">
        <v>0</v>
      </c>
      <c r="G10" s="67">
        <v>2.2883295194507996E-3</v>
      </c>
      <c r="H10" s="67">
        <v>3.0581039755351695E-3</v>
      </c>
      <c r="I10" s="67">
        <v>5.3464334949859691E-3</v>
      </c>
      <c r="J10" s="67">
        <v>0.94176372712146417</v>
      </c>
      <c r="K10" s="67">
        <v>0.82411504424778759</v>
      </c>
      <c r="L10" s="67">
        <v>0.8060046189376443</v>
      </c>
      <c r="M10" s="67">
        <v>2.5718833903068963</v>
      </c>
      <c r="N10" s="67">
        <v>6.2947067238912621E-2</v>
      </c>
      <c r="O10" s="67">
        <v>1.0113780025284416E-2</v>
      </c>
      <c r="P10" s="67">
        <v>8.8277858176555687E-2</v>
      </c>
      <c r="Q10" s="67">
        <v>0.16133870544075274</v>
      </c>
      <c r="R10" s="67">
        <v>0.26190476190476192</v>
      </c>
      <c r="S10" s="67">
        <v>0.21405049396267842</v>
      </c>
      <c r="T10" s="67">
        <v>3.0418250950570498E-2</v>
      </c>
      <c r="U10" s="67">
        <v>0.50637350681801085</v>
      </c>
      <c r="V10" s="67">
        <v>0.96491228070175439</v>
      </c>
      <c r="W10" s="67">
        <v>0.96793587174348705</v>
      </c>
      <c r="X10" s="67">
        <v>0.76754385964912275</v>
      </c>
      <c r="Y10" s="67">
        <v>2.7003920120943641</v>
      </c>
      <c r="Z10" s="67">
        <v>2.1479713603818625E-2</v>
      </c>
      <c r="AA10" s="67">
        <v>2.5114155251141568E-2</v>
      </c>
      <c r="AB10" s="67">
        <v>1.9088016967126194E-2</v>
      </c>
      <c r="AC10" s="67">
        <v>6.5681885822086394E-2</v>
      </c>
      <c r="AD10" s="67">
        <v>8.1967213114754068E-3</v>
      </c>
      <c r="AE10" s="67">
        <v>5.5147058823529424E-3</v>
      </c>
      <c r="AF10" s="67">
        <v>2.2941970310391361E-2</v>
      </c>
      <c r="AG10" s="67">
        <v>3.6653397504219712E-2</v>
      </c>
      <c r="AH10" s="67">
        <v>1.5665796344647532E-2</v>
      </c>
      <c r="AI10" s="67">
        <v>1.2658227848101273E-2</v>
      </c>
      <c r="AJ10" s="67">
        <v>1.5015015015015024E-2</v>
      </c>
      <c r="AK10" s="67">
        <v>4.333903920776383E-2</v>
      </c>
      <c r="AL10" s="67">
        <v>6.7567567567567597E-3</v>
      </c>
      <c r="AM10" s="67">
        <v>9.8039215686274526E-3</v>
      </c>
      <c r="AN10" s="67">
        <v>1.2084592145015111E-2</v>
      </c>
      <c r="AO10" s="67">
        <v>2.8645270470399324E-2</v>
      </c>
      <c r="AP10" s="67">
        <v>5.4229934924078091E-3</v>
      </c>
      <c r="AQ10" s="67">
        <v>1.6374269005847958E-2</v>
      </c>
      <c r="AR10" s="67">
        <v>1.1111111111111124E-3</v>
      </c>
      <c r="AS10" s="67">
        <v>2.2908373609366879E-2</v>
      </c>
      <c r="AT10" s="67">
        <v>3.5190615835777116E-2</v>
      </c>
      <c r="AU10" s="67">
        <v>1.1928429423459242E-2</v>
      </c>
      <c r="AV10" s="67">
        <v>2.1660649819494577E-2</v>
      </c>
      <c r="AW10" s="67">
        <v>6.877969507873094E-2</v>
      </c>
      <c r="AX10" s="67">
        <v>3.2706459525756334E-3</v>
      </c>
      <c r="AY10" s="67">
        <v>3.2706459525756334E-3</v>
      </c>
      <c r="AZ10" s="67">
        <v>6.6325789753171511</v>
      </c>
    </row>
    <row r="11" spans="1:52" x14ac:dyDescent="0.25">
      <c r="A11" s="48" t="s">
        <v>177</v>
      </c>
      <c r="B11">
        <v>2.6804123711340156E-2</v>
      </c>
      <c r="C11">
        <v>3.8379530916844283E-2</v>
      </c>
      <c r="D11">
        <v>2.8112449799196908E-2</v>
      </c>
      <c r="E11" s="67">
        <v>9.3296104427381343E-2</v>
      </c>
      <c r="F11">
        <v>0</v>
      </c>
      <c r="G11">
        <v>0</v>
      </c>
      <c r="H11">
        <v>0</v>
      </c>
      <c r="I11" s="67">
        <v>0</v>
      </c>
      <c r="J11">
        <v>0</v>
      </c>
      <c r="K11">
        <v>1.1061946902654852E-3</v>
      </c>
      <c r="L11">
        <v>4.6189376443418013E-3</v>
      </c>
      <c r="M11" s="67">
        <v>5.7251323346072863E-3</v>
      </c>
      <c r="N11">
        <v>0</v>
      </c>
      <c r="O11">
        <v>2.5284450063211127E-3</v>
      </c>
      <c r="P11">
        <v>0</v>
      </c>
      <c r="Q11" s="67">
        <v>2.5284450063211127E-3</v>
      </c>
      <c r="R11">
        <v>0</v>
      </c>
      <c r="S11">
        <v>0</v>
      </c>
      <c r="T11">
        <v>0</v>
      </c>
      <c r="U11" s="67">
        <v>0</v>
      </c>
      <c r="V11">
        <v>0</v>
      </c>
      <c r="W11">
        <v>2.0040080160320622E-3</v>
      </c>
      <c r="X11">
        <v>4.8245614035087675E-2</v>
      </c>
      <c r="Y11" s="67">
        <v>5.0249622051119734E-2</v>
      </c>
      <c r="Z11">
        <v>0</v>
      </c>
      <c r="AA11">
        <v>0</v>
      </c>
      <c r="AB11">
        <v>0</v>
      </c>
      <c r="AC11" s="67">
        <v>0</v>
      </c>
      <c r="AD11">
        <v>0</v>
      </c>
      <c r="AE11">
        <v>0</v>
      </c>
      <c r="AF11">
        <v>6.7476383265856954E-3</v>
      </c>
      <c r="AG11" s="67">
        <v>6.7476383265856954E-3</v>
      </c>
      <c r="AH11">
        <v>2.610966057441255E-3</v>
      </c>
      <c r="AI11">
        <v>1.2658227848101262E-2</v>
      </c>
      <c r="AJ11">
        <v>3.0030030030030004E-3</v>
      </c>
      <c r="AK11" s="67">
        <v>1.8272196908545518E-2</v>
      </c>
      <c r="AL11">
        <v>0.75337837837837829</v>
      </c>
      <c r="AM11">
        <v>0.67647058823529427</v>
      </c>
      <c r="AN11">
        <v>0.67069486404833845</v>
      </c>
      <c r="AO11" s="67">
        <v>2.1005438306620108</v>
      </c>
      <c r="AP11">
        <v>4.3383947939262318E-3</v>
      </c>
      <c r="AQ11">
        <v>8.1871345029239703E-3</v>
      </c>
      <c r="AR11">
        <v>1.1111111111110877E-3</v>
      </c>
      <c r="AS11" s="67">
        <v>1.3636640407961288E-2</v>
      </c>
      <c r="AT11">
        <v>3.9100684261974576E-3</v>
      </c>
      <c r="AU11">
        <v>1.9880715705765384E-3</v>
      </c>
      <c r="AV11">
        <v>3.6101083032490941E-3</v>
      </c>
      <c r="AW11" s="67">
        <v>9.5082483000230901E-3</v>
      </c>
      <c r="AX11">
        <v>2.4529844644317258E-3</v>
      </c>
      <c r="AY11" s="67">
        <v>2.4529844644317258E-3</v>
      </c>
      <c r="AZ11">
        <v>2.3029608428889876</v>
      </c>
    </row>
    <row r="12" spans="1:52" x14ac:dyDescent="0.25">
      <c r="A12" s="48" t="s">
        <v>175</v>
      </c>
      <c r="B12">
        <v>7.628865979381444E-2</v>
      </c>
      <c r="C12">
        <v>9.3816631130063929E-2</v>
      </c>
      <c r="D12">
        <v>9.0361445783132543E-2</v>
      </c>
      <c r="E12" s="67">
        <v>0.26046673670701093</v>
      </c>
      <c r="F12">
        <v>2.8301886792452793E-2</v>
      </c>
      <c r="G12">
        <v>3.4324942791761986E-2</v>
      </c>
      <c r="H12">
        <v>5.5045871559633176E-2</v>
      </c>
      <c r="I12" s="67">
        <v>0.11767270114384795</v>
      </c>
      <c r="J12">
        <v>1.6638935108153057E-3</v>
      </c>
      <c r="K12">
        <v>5.5309734513274336E-3</v>
      </c>
      <c r="L12">
        <v>3.4642032332563499E-3</v>
      </c>
      <c r="M12" s="67">
        <v>1.0659070195399089E-2</v>
      </c>
      <c r="N12">
        <v>4.29184549356223E-3</v>
      </c>
      <c r="O12">
        <v>8.8495575221238951E-2</v>
      </c>
      <c r="P12">
        <v>1.3024602026049204E-2</v>
      </c>
      <c r="Q12" s="67">
        <v>0.10581202274085039</v>
      </c>
      <c r="R12">
        <v>1.9047619047619043E-3</v>
      </c>
      <c r="S12">
        <v>1.0976948408342468E-3</v>
      </c>
      <c r="T12">
        <v>1.9011406844106436E-3</v>
      </c>
      <c r="U12" s="67">
        <v>4.9035974300067949E-3</v>
      </c>
      <c r="V12">
        <v>3.5087719298245615E-3</v>
      </c>
      <c r="W12">
        <v>2.0040080160320653E-3</v>
      </c>
      <c r="X12">
        <v>1.0233918128654968E-2</v>
      </c>
      <c r="Y12" s="67">
        <v>1.5746698074511595E-2</v>
      </c>
      <c r="Z12">
        <v>2.3866348448687387E-3</v>
      </c>
      <c r="AA12">
        <v>2.2831050228310484E-3</v>
      </c>
      <c r="AB12">
        <v>2.1208907741251323E-3</v>
      </c>
      <c r="AC12" s="67">
        <v>6.7906306418249194E-3</v>
      </c>
      <c r="AD12">
        <v>3.4836065573770475E-2</v>
      </c>
      <c r="AE12">
        <v>4.2279411764705829E-2</v>
      </c>
      <c r="AF12">
        <v>4.048582995951417E-2</v>
      </c>
      <c r="AG12" s="67">
        <v>0.11760130729799048</v>
      </c>
      <c r="AH12">
        <v>0.81723237597911236</v>
      </c>
      <c r="AI12">
        <v>0.76371308016877637</v>
      </c>
      <c r="AJ12">
        <v>0.79279279279279291</v>
      </c>
      <c r="AK12" s="67">
        <v>2.3737382489406817</v>
      </c>
      <c r="AL12">
        <v>5.7432432432432449E-2</v>
      </c>
      <c r="AM12">
        <v>6.3725490196078316E-2</v>
      </c>
      <c r="AN12">
        <v>5.1359516616314209E-2</v>
      </c>
      <c r="AO12" s="67">
        <v>0.17251743924482499</v>
      </c>
      <c r="AP12">
        <v>3.2537960954446858E-3</v>
      </c>
      <c r="AQ12">
        <v>4.6783625730994153E-3</v>
      </c>
      <c r="AR12">
        <v>2.2222222222222222E-3</v>
      </c>
      <c r="AS12" s="67">
        <v>1.0154380890766323E-2</v>
      </c>
      <c r="AT12">
        <v>5.8651026392961859E-3</v>
      </c>
      <c r="AU12">
        <v>7.9522862823061622E-3</v>
      </c>
      <c r="AV12">
        <v>1.3237063778580022E-2</v>
      </c>
      <c r="AW12" s="67">
        <v>2.705445270018237E-2</v>
      </c>
      <c r="AX12">
        <v>2.452984464431724E-3</v>
      </c>
      <c r="AY12" s="67">
        <v>2.452984464431724E-3</v>
      </c>
      <c r="AZ12">
        <v>3.2255702704723284</v>
      </c>
    </row>
    <row r="13" spans="1:52" x14ac:dyDescent="0.25">
      <c r="A13" s="48" t="s">
        <v>59</v>
      </c>
      <c r="B13">
        <v>0.13402061855670108</v>
      </c>
      <c r="C13">
        <v>5.5437100213219612E-2</v>
      </c>
      <c r="D13">
        <v>3.012048192771085E-2</v>
      </c>
      <c r="E13" s="67">
        <v>0.21957820069763154</v>
      </c>
      <c r="F13">
        <v>0</v>
      </c>
      <c r="G13">
        <v>0</v>
      </c>
      <c r="H13">
        <v>0</v>
      </c>
      <c r="I13" s="67">
        <v>0</v>
      </c>
      <c r="J13">
        <v>3.3277870216306162E-2</v>
      </c>
      <c r="K13">
        <v>0.11061946902654866</v>
      </c>
      <c r="L13">
        <v>0.10739030023094688</v>
      </c>
      <c r="M13" s="67">
        <v>0.25128763947380173</v>
      </c>
      <c r="N13">
        <v>4.0057224606580795E-2</v>
      </c>
      <c r="O13">
        <v>1.2642225031605746E-3</v>
      </c>
      <c r="P13">
        <v>3.7626628075253229E-2</v>
      </c>
      <c r="Q13" s="67">
        <v>7.8948075184994596E-2</v>
      </c>
      <c r="R13">
        <v>0.70285714285714296</v>
      </c>
      <c r="S13">
        <v>0.75521405049396262</v>
      </c>
      <c r="T13">
        <v>0.95437262357414443</v>
      </c>
      <c r="U13" s="67">
        <v>2.4124438169252502</v>
      </c>
      <c r="V13">
        <v>1.0526315789473648E-2</v>
      </c>
      <c r="W13">
        <v>2.0040080160320653E-3</v>
      </c>
      <c r="X13">
        <v>0.10526315789473688</v>
      </c>
      <c r="Y13" s="67">
        <v>0.11779348170024259</v>
      </c>
      <c r="Z13">
        <v>2.386634844868733E-3</v>
      </c>
      <c r="AA13">
        <v>6.8493150684931503E-3</v>
      </c>
      <c r="AB13">
        <v>0</v>
      </c>
      <c r="AC13" s="67">
        <v>9.2359499133618829E-3</v>
      </c>
      <c r="AD13">
        <v>3.2786885245901641E-2</v>
      </c>
      <c r="AE13">
        <v>1.8382352941176488E-3</v>
      </c>
      <c r="AF13">
        <v>6.7476383265856954E-3</v>
      </c>
      <c r="AG13" s="67">
        <v>4.1372758866604985E-2</v>
      </c>
      <c r="AH13">
        <v>0</v>
      </c>
      <c r="AI13">
        <v>1.687763713080169E-2</v>
      </c>
      <c r="AJ13">
        <v>0</v>
      </c>
      <c r="AK13" s="67">
        <v>1.687763713080169E-2</v>
      </c>
      <c r="AL13">
        <v>1.3513513513513474E-2</v>
      </c>
      <c r="AM13">
        <v>1.4705882352941043E-2</v>
      </c>
      <c r="AN13">
        <v>9.0634441087612486E-3</v>
      </c>
      <c r="AO13" s="67">
        <v>3.7282839975215767E-2</v>
      </c>
      <c r="AP13">
        <v>0</v>
      </c>
      <c r="AQ13">
        <v>1.1695906432748527E-3</v>
      </c>
      <c r="AR13">
        <v>0</v>
      </c>
      <c r="AS13" s="67">
        <v>1.1695906432748527E-3</v>
      </c>
      <c r="AT13">
        <v>9.7751710654936444E-3</v>
      </c>
      <c r="AU13">
        <v>5.9642147117296195E-3</v>
      </c>
      <c r="AV13">
        <v>4.8134777376654609E-3</v>
      </c>
      <c r="AW13" s="67">
        <v>2.0552863514888723E-2</v>
      </c>
      <c r="AX13">
        <v>6.5412919051512685E-3</v>
      </c>
      <c r="AY13" s="67">
        <v>6.5412919051512685E-3</v>
      </c>
      <c r="AZ13">
        <v>3.2130841459312194</v>
      </c>
    </row>
    <row r="14" spans="1:52" x14ac:dyDescent="0.25">
      <c r="A14" s="48" t="s">
        <v>36</v>
      </c>
      <c r="B14" s="67">
        <v>0</v>
      </c>
      <c r="C14" s="67">
        <v>0</v>
      </c>
      <c r="D14" s="67">
        <v>0</v>
      </c>
      <c r="E14" s="67">
        <v>0</v>
      </c>
      <c r="F14" s="67">
        <v>0</v>
      </c>
      <c r="G14" s="67">
        <v>0</v>
      </c>
      <c r="H14" s="67">
        <v>0</v>
      </c>
      <c r="I14" s="67">
        <v>0</v>
      </c>
      <c r="J14" s="67">
        <v>0</v>
      </c>
      <c r="K14" s="67">
        <v>0</v>
      </c>
      <c r="L14" s="67">
        <v>0</v>
      </c>
      <c r="M14" s="67">
        <v>0</v>
      </c>
      <c r="N14" s="67">
        <v>0.83690987124463534</v>
      </c>
      <c r="O14" s="67">
        <v>0.71049304677623282</v>
      </c>
      <c r="P14" s="67">
        <v>0.72793053545586106</v>
      </c>
      <c r="Q14" s="67">
        <v>2.2753334534767293</v>
      </c>
      <c r="R14" s="67">
        <v>0</v>
      </c>
      <c r="S14" s="67">
        <v>0</v>
      </c>
      <c r="T14" s="67">
        <v>0</v>
      </c>
      <c r="U14" s="67">
        <v>0</v>
      </c>
      <c r="V14" s="67">
        <v>0</v>
      </c>
      <c r="W14" s="67">
        <v>0</v>
      </c>
      <c r="X14" s="67">
        <v>0</v>
      </c>
      <c r="Y14" s="67">
        <v>0</v>
      </c>
      <c r="Z14" s="67">
        <v>0</v>
      </c>
      <c r="AA14" s="67">
        <v>0</v>
      </c>
      <c r="AB14" s="67">
        <v>0</v>
      </c>
      <c r="AC14" s="67">
        <v>0</v>
      </c>
      <c r="AD14" s="67">
        <v>0</v>
      </c>
      <c r="AE14" s="67">
        <v>0</v>
      </c>
      <c r="AF14" s="67">
        <v>0</v>
      </c>
      <c r="AG14" s="67">
        <v>0</v>
      </c>
      <c r="AH14" s="67">
        <v>0</v>
      </c>
      <c r="AI14" s="67">
        <v>0</v>
      </c>
      <c r="AJ14" s="67">
        <v>0</v>
      </c>
      <c r="AK14" s="67">
        <v>0</v>
      </c>
      <c r="AL14" s="67">
        <v>0</v>
      </c>
      <c r="AM14" s="67">
        <v>0</v>
      </c>
      <c r="AN14" s="67">
        <v>0</v>
      </c>
      <c r="AO14" s="67">
        <v>0</v>
      </c>
      <c r="AP14" s="67">
        <v>0</v>
      </c>
      <c r="AQ14" s="67">
        <v>0</v>
      </c>
      <c r="AR14" s="67">
        <v>0</v>
      </c>
      <c r="AS14" s="67">
        <v>0</v>
      </c>
      <c r="AT14" s="67">
        <v>0</v>
      </c>
      <c r="AU14" s="67">
        <v>0</v>
      </c>
      <c r="AV14" s="67">
        <v>0</v>
      </c>
      <c r="AW14" s="67">
        <v>0</v>
      </c>
      <c r="AX14" s="67">
        <v>0</v>
      </c>
      <c r="AY14" s="67">
        <v>0</v>
      </c>
      <c r="AZ14" s="67">
        <v>2.2753334534767293</v>
      </c>
    </row>
    <row r="15" spans="1:52" x14ac:dyDescent="0.25">
      <c r="A15" s="48" t="s">
        <v>176</v>
      </c>
      <c r="B15">
        <v>0.11958762886597943</v>
      </c>
      <c r="C15">
        <v>0.11727078891257994</v>
      </c>
      <c r="D15">
        <v>0.11244979919678716</v>
      </c>
      <c r="E15" s="67">
        <v>0.34930821697534653</v>
      </c>
      <c r="F15">
        <v>0</v>
      </c>
      <c r="G15">
        <v>0</v>
      </c>
      <c r="H15">
        <v>0</v>
      </c>
      <c r="I15" s="67">
        <v>0</v>
      </c>
      <c r="J15">
        <v>1.6638935108153057E-3</v>
      </c>
      <c r="K15">
        <v>3.3185840707964606E-3</v>
      </c>
      <c r="L15">
        <v>8.0831408775981529E-3</v>
      </c>
      <c r="M15" s="67">
        <v>1.3065618459209919E-2</v>
      </c>
      <c r="N15">
        <v>0</v>
      </c>
      <c r="O15">
        <v>3.4134007585335031E-2</v>
      </c>
      <c r="P15">
        <v>1.4471780028943542E-3</v>
      </c>
      <c r="Q15" s="67">
        <v>3.5581185588229383E-2</v>
      </c>
      <c r="R15">
        <v>1.9047619047619043E-3</v>
      </c>
      <c r="S15">
        <v>1.0976948408342468E-3</v>
      </c>
      <c r="T15">
        <v>0</v>
      </c>
      <c r="U15" s="67">
        <v>3.0024567455961514E-3</v>
      </c>
      <c r="V15">
        <v>0</v>
      </c>
      <c r="W15">
        <v>0</v>
      </c>
      <c r="X15">
        <v>2.9239766081871335E-3</v>
      </c>
      <c r="Y15" s="67">
        <v>2.9239766081871335E-3</v>
      </c>
      <c r="Z15">
        <v>9.5465393794749442E-3</v>
      </c>
      <c r="AA15">
        <v>2.2831050228310484E-3</v>
      </c>
      <c r="AB15">
        <v>4.2417815482502647E-3</v>
      </c>
      <c r="AC15" s="67">
        <v>1.6071425950556259E-2</v>
      </c>
      <c r="AD15">
        <v>0.84426229508196715</v>
      </c>
      <c r="AE15">
        <v>0.92647058823529427</v>
      </c>
      <c r="AF15">
        <v>0.74493927125506065</v>
      </c>
      <c r="AG15" s="67">
        <v>2.515672154572322</v>
      </c>
      <c r="AH15">
        <v>4.1775456919060081E-2</v>
      </c>
      <c r="AI15">
        <v>3.3755274261603387E-2</v>
      </c>
      <c r="AJ15">
        <v>2.7027027027027039E-2</v>
      </c>
      <c r="AK15" s="67">
        <v>0.10255775820769052</v>
      </c>
      <c r="AL15">
        <v>1.0135135135135136E-2</v>
      </c>
      <c r="AM15">
        <v>2.4509803921568638E-2</v>
      </c>
      <c r="AN15">
        <v>1.812688821752266E-2</v>
      </c>
      <c r="AO15" s="67">
        <v>5.2771827274226434E-2</v>
      </c>
      <c r="AP15">
        <v>0</v>
      </c>
      <c r="AQ15">
        <v>8.1871345029239789E-3</v>
      </c>
      <c r="AR15">
        <v>4.4444444444444444E-3</v>
      </c>
      <c r="AS15" s="67">
        <v>1.2631578947368424E-2</v>
      </c>
      <c r="AT15">
        <v>2.1505376344086016E-2</v>
      </c>
      <c r="AU15">
        <v>1.5904572564612324E-2</v>
      </c>
      <c r="AV15">
        <v>8.4235860409145585E-3</v>
      </c>
      <c r="AW15" s="67">
        <v>4.5833534949612897E-2</v>
      </c>
      <c r="AX15">
        <v>4.9059689288634516E-3</v>
      </c>
      <c r="AY15" s="67">
        <v>4.9059689288634516E-3</v>
      </c>
      <c r="AZ15">
        <v>3.154325703207209</v>
      </c>
    </row>
    <row r="16" spans="1:52" x14ac:dyDescent="0.25">
      <c r="A16" s="48" t="s">
        <v>174</v>
      </c>
      <c r="B16">
        <v>2.0618556701030907E-3</v>
      </c>
      <c r="C16">
        <v>1.066098081023454E-2</v>
      </c>
      <c r="D16">
        <v>4.0160642570281121E-3</v>
      </c>
      <c r="E16" s="67">
        <v>1.6738900737365742E-2</v>
      </c>
      <c r="F16">
        <v>0.95597484276729561</v>
      </c>
      <c r="G16">
        <v>0.94965675057208232</v>
      </c>
      <c r="H16">
        <v>0.92354740061162077</v>
      </c>
      <c r="I16" s="67">
        <v>2.8291789939509986</v>
      </c>
      <c r="J16">
        <v>0</v>
      </c>
      <c r="K16">
        <v>4.424778761061946E-3</v>
      </c>
      <c r="L16">
        <v>2.3094688221709015E-3</v>
      </c>
      <c r="M16" s="67">
        <v>6.7342475832328479E-3</v>
      </c>
      <c r="N16">
        <v>0</v>
      </c>
      <c r="O16">
        <v>1.5170670037926682E-2</v>
      </c>
      <c r="P16">
        <v>0</v>
      </c>
      <c r="Q16" s="67">
        <v>1.5170670037926682E-2</v>
      </c>
      <c r="R16">
        <v>0</v>
      </c>
      <c r="S16">
        <v>0</v>
      </c>
      <c r="T16">
        <v>0</v>
      </c>
      <c r="U16" s="67">
        <v>0</v>
      </c>
      <c r="V16">
        <v>0</v>
      </c>
      <c r="W16">
        <v>0</v>
      </c>
      <c r="X16">
        <v>7.3099415204678359E-3</v>
      </c>
      <c r="Y16" s="67">
        <v>7.3099415204678359E-3</v>
      </c>
      <c r="Z16">
        <v>0</v>
      </c>
      <c r="AA16">
        <v>0</v>
      </c>
      <c r="AB16">
        <v>0</v>
      </c>
      <c r="AC16" s="67">
        <v>0</v>
      </c>
      <c r="AD16">
        <v>0</v>
      </c>
      <c r="AE16">
        <v>0</v>
      </c>
      <c r="AF16">
        <v>1.3495276653171392E-3</v>
      </c>
      <c r="AG16" s="67">
        <v>1.3495276653171392E-3</v>
      </c>
      <c r="AH16">
        <v>3.6553524804177569E-2</v>
      </c>
      <c r="AI16">
        <v>0.1139240506329114</v>
      </c>
      <c r="AJ16">
        <v>0.1081081081081081</v>
      </c>
      <c r="AK16" s="67">
        <v>0.25858568354519706</v>
      </c>
      <c r="AL16">
        <v>3.378378378378376E-3</v>
      </c>
      <c r="AM16">
        <v>4.901960784313728E-3</v>
      </c>
      <c r="AN16">
        <v>6.0422960725075555E-3</v>
      </c>
      <c r="AO16" s="67">
        <v>1.4322635235199659E-2</v>
      </c>
      <c r="AP16">
        <v>1.0845986984815603E-3</v>
      </c>
      <c r="AQ16">
        <v>2.3391812865497076E-3</v>
      </c>
      <c r="AR16">
        <v>2.2222222222222222E-3</v>
      </c>
      <c r="AS16" s="67">
        <v>5.6460022072534902E-3</v>
      </c>
      <c r="AT16">
        <v>3.9100684261974576E-3</v>
      </c>
      <c r="AU16">
        <v>0</v>
      </c>
      <c r="AV16">
        <v>0</v>
      </c>
      <c r="AW16" s="67">
        <v>3.9100684261974576E-3</v>
      </c>
      <c r="AX16">
        <v>8.1766148814390747E-4</v>
      </c>
      <c r="AY16" s="67">
        <v>8.1766148814390747E-4</v>
      </c>
      <c r="AZ16">
        <v>3.1597643323973008</v>
      </c>
    </row>
    <row r="17" spans="1:55" x14ac:dyDescent="0.25">
      <c r="A17" s="48" t="s">
        <v>10</v>
      </c>
      <c r="B17" s="67">
        <v>0.4247422680412371</v>
      </c>
      <c r="C17" s="67">
        <v>0.5330490405117273</v>
      </c>
      <c r="D17" s="67">
        <v>0.51807228915662629</v>
      </c>
      <c r="E17" s="67">
        <v>1.4758635977095906</v>
      </c>
      <c r="F17" s="67">
        <v>1.2578616352201217E-2</v>
      </c>
      <c r="G17" s="67">
        <v>1.3729977116704829E-2</v>
      </c>
      <c r="H17" s="67">
        <v>1.834862385321084E-2</v>
      </c>
      <c r="I17" s="67">
        <v>4.4657217322116888E-2</v>
      </c>
      <c r="J17" s="67">
        <v>1.9966722129783742E-2</v>
      </c>
      <c r="K17" s="67">
        <v>4.5353982300885047E-2</v>
      </c>
      <c r="L17" s="67">
        <v>5.7736720554272529E-2</v>
      </c>
      <c r="M17" s="67">
        <v>0.12305742498494132</v>
      </c>
      <c r="N17" s="67">
        <v>5.4363376251788234E-2</v>
      </c>
      <c r="O17" s="67">
        <v>0.102402022756005</v>
      </c>
      <c r="P17" s="67">
        <v>0.12011577424023162</v>
      </c>
      <c r="Q17" s="67">
        <v>0.27688117324802486</v>
      </c>
      <c r="R17" s="67">
        <v>2.952380952380947E-2</v>
      </c>
      <c r="S17" s="67">
        <v>2.7442371020856209E-2</v>
      </c>
      <c r="T17" s="67">
        <v>1.3307984790874508E-2</v>
      </c>
      <c r="U17" s="67">
        <v>7.0274165335540192E-2</v>
      </c>
      <c r="V17" s="67">
        <v>2.1052631578947358E-2</v>
      </c>
      <c r="W17" s="67">
        <v>2.0040080160320223E-3</v>
      </c>
      <c r="X17" s="67">
        <v>5.8479532163742687E-2</v>
      </c>
      <c r="Y17" s="67">
        <v>8.1536171758722062E-2</v>
      </c>
      <c r="Z17" s="67">
        <v>7.1599045346062047E-3</v>
      </c>
      <c r="AA17" s="67">
        <v>6.8493150684931503E-3</v>
      </c>
      <c r="AB17" s="67">
        <v>7.4231177094379649E-3</v>
      </c>
      <c r="AC17" s="67">
        <v>2.1432337312537318E-2</v>
      </c>
      <c r="AD17" s="67">
        <v>5.7377049180327808E-2</v>
      </c>
      <c r="AE17" s="67">
        <v>1.1029411764705779E-2</v>
      </c>
      <c r="AF17" s="67">
        <v>8.3670715249662561E-2</v>
      </c>
      <c r="AG17" s="67">
        <v>0.15207717619469613</v>
      </c>
      <c r="AH17" s="67">
        <v>6.788511749347248E-2</v>
      </c>
      <c r="AI17" s="67">
        <v>3.3755274261603269E-2</v>
      </c>
      <c r="AJ17" s="67">
        <v>4.2042042042041809E-2</v>
      </c>
      <c r="AK17" s="67">
        <v>0.14368243379711756</v>
      </c>
      <c r="AL17" s="67">
        <v>0.15202702702702714</v>
      </c>
      <c r="AM17" s="67">
        <v>0.20098039215686289</v>
      </c>
      <c r="AN17" s="67">
        <v>0.22960725075528698</v>
      </c>
      <c r="AO17" s="67">
        <v>0.58261466993917699</v>
      </c>
      <c r="AP17" s="67">
        <v>5.2060737527114938E-2</v>
      </c>
      <c r="AQ17" s="67">
        <v>3.6257309941520453E-2</v>
      </c>
      <c r="AR17" s="67">
        <v>1.0000000000000066E-2</v>
      </c>
      <c r="AS17" s="67">
        <v>9.8318047468635456E-2</v>
      </c>
      <c r="AT17" s="67">
        <v>0.10459433040078196</v>
      </c>
      <c r="AU17" s="67">
        <v>3.9761431411530816E-2</v>
      </c>
      <c r="AV17" s="67">
        <v>5.4151624548736448E-2</v>
      </c>
      <c r="AW17" s="67">
        <v>0.19850738636104923</v>
      </c>
      <c r="AX17" s="67">
        <v>8.421913327882255E-2</v>
      </c>
      <c r="AY17" s="67">
        <v>8.421913327882255E-2</v>
      </c>
      <c r="AZ17" s="67">
        <v>3.3531209347109714</v>
      </c>
    </row>
    <row r="18" spans="1:55" x14ac:dyDescent="0.25">
      <c r="A18" s="48" t="s">
        <v>28</v>
      </c>
      <c r="B18">
        <v>1</v>
      </c>
      <c r="C18">
        <v>1</v>
      </c>
      <c r="D18">
        <v>1</v>
      </c>
      <c r="E18" s="67">
        <v>3</v>
      </c>
      <c r="F18">
        <v>1</v>
      </c>
      <c r="G18">
        <v>1</v>
      </c>
      <c r="H18">
        <v>0.99999999999999989</v>
      </c>
      <c r="I18" s="67">
        <v>2.9999999999999996</v>
      </c>
      <c r="J18">
        <v>1</v>
      </c>
      <c r="K18">
        <v>1</v>
      </c>
      <c r="L18">
        <v>1</v>
      </c>
      <c r="M18" s="67">
        <v>3</v>
      </c>
      <c r="N18">
        <v>0.99999999999999989</v>
      </c>
      <c r="O18">
        <v>1.0000000000000002</v>
      </c>
      <c r="P18">
        <v>1</v>
      </c>
      <c r="Q18" s="67">
        <v>3</v>
      </c>
      <c r="R18">
        <v>1</v>
      </c>
      <c r="S18">
        <v>1</v>
      </c>
      <c r="T18">
        <v>1</v>
      </c>
      <c r="U18" s="67">
        <v>3.0000000000000004</v>
      </c>
      <c r="V18">
        <v>0.99999999999999989</v>
      </c>
      <c r="W18">
        <v>1</v>
      </c>
      <c r="X18">
        <v>0.99999999999999978</v>
      </c>
      <c r="Y18" s="67">
        <v>3.0000000000000004</v>
      </c>
      <c r="Z18">
        <v>1</v>
      </c>
      <c r="AA18">
        <v>1</v>
      </c>
      <c r="AB18">
        <v>1</v>
      </c>
      <c r="AC18" s="67">
        <v>3.0000000000000004</v>
      </c>
      <c r="AD18">
        <v>0.99999999999999989</v>
      </c>
      <c r="AE18">
        <v>1</v>
      </c>
      <c r="AF18">
        <v>0.99999999999999989</v>
      </c>
      <c r="AG18" s="67">
        <v>2.9999999999999996</v>
      </c>
      <c r="AH18">
        <v>1</v>
      </c>
      <c r="AI18">
        <v>1</v>
      </c>
      <c r="AJ18">
        <v>0.99999999999999989</v>
      </c>
      <c r="AK18" s="67">
        <v>2.9999999999999996</v>
      </c>
      <c r="AL18">
        <v>1</v>
      </c>
      <c r="AM18">
        <v>1</v>
      </c>
      <c r="AN18">
        <v>0.99999999999999989</v>
      </c>
      <c r="AO18" s="67">
        <v>2.9999999999999996</v>
      </c>
      <c r="AP18">
        <v>1</v>
      </c>
      <c r="AQ18">
        <v>0.99999999999999989</v>
      </c>
      <c r="AR18">
        <v>1</v>
      </c>
      <c r="AS18" s="67">
        <v>3</v>
      </c>
      <c r="AT18">
        <v>1</v>
      </c>
      <c r="AU18">
        <v>1</v>
      </c>
      <c r="AV18">
        <v>1</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444</v>
      </c>
      <c r="C5" t="s">
        <v>445</v>
      </c>
      <c r="D5" t="s">
        <v>448</v>
      </c>
      <c r="F5" t="s">
        <v>425</v>
      </c>
      <c r="G5" t="s">
        <v>426</v>
      </c>
      <c r="H5" t="s">
        <v>450</v>
      </c>
      <c r="J5" t="s">
        <v>422</v>
      </c>
      <c r="K5" t="s">
        <v>423</v>
      </c>
      <c r="L5" t="s">
        <v>424</v>
      </c>
      <c r="N5" t="s">
        <v>435</v>
      </c>
      <c r="O5" t="s">
        <v>446</v>
      </c>
      <c r="P5" t="s">
        <v>447</v>
      </c>
      <c r="R5" t="s">
        <v>419</v>
      </c>
      <c r="S5" t="s">
        <v>420</v>
      </c>
      <c r="T5" t="s">
        <v>421</v>
      </c>
      <c r="V5" t="s">
        <v>455</v>
      </c>
      <c r="W5" t="s">
        <v>456</v>
      </c>
      <c r="X5" t="s">
        <v>457</v>
      </c>
      <c r="Z5" t="s">
        <v>431</v>
      </c>
      <c r="AA5" t="s">
        <v>440</v>
      </c>
      <c r="AB5" t="s">
        <v>441</v>
      </c>
      <c r="AD5" t="s">
        <v>433</v>
      </c>
      <c r="AE5" t="s">
        <v>451</v>
      </c>
      <c r="AF5" t="s">
        <v>452</v>
      </c>
      <c r="AH5" t="s">
        <v>434</v>
      </c>
      <c r="AI5" t="s">
        <v>442</v>
      </c>
      <c r="AJ5" t="s">
        <v>443</v>
      </c>
      <c r="AL5" t="s">
        <v>429</v>
      </c>
      <c r="AM5" t="s">
        <v>430</v>
      </c>
      <c r="AN5" t="s">
        <v>449</v>
      </c>
      <c r="AP5" t="s">
        <v>436</v>
      </c>
      <c r="AQ5" t="s">
        <v>437</v>
      </c>
      <c r="AR5" t="s">
        <v>439</v>
      </c>
      <c r="AT5" t="s">
        <v>432</v>
      </c>
      <c r="AU5" t="s">
        <v>453</v>
      </c>
      <c r="AV5" t="s">
        <v>454</v>
      </c>
      <c r="AX5" t="s">
        <v>470</v>
      </c>
    </row>
    <row r="6" spans="1:52" x14ac:dyDescent="0.25">
      <c r="A6" s="48" t="s">
        <v>38</v>
      </c>
      <c r="B6" s="67">
        <v>0</v>
      </c>
      <c r="C6" s="67">
        <v>0</v>
      </c>
      <c r="D6" s="67">
        <v>0</v>
      </c>
      <c r="E6" s="98">
        <v>0</v>
      </c>
      <c r="F6" s="67">
        <v>0</v>
      </c>
      <c r="G6" s="67">
        <v>0</v>
      </c>
      <c r="H6" s="67">
        <v>0</v>
      </c>
      <c r="I6" s="98">
        <v>0</v>
      </c>
      <c r="J6" s="67">
        <v>0</v>
      </c>
      <c r="K6" s="67">
        <v>0</v>
      </c>
      <c r="L6" s="67">
        <v>0</v>
      </c>
      <c r="M6" s="98">
        <v>0</v>
      </c>
      <c r="N6" s="67">
        <v>7.4943792155883066E-3</v>
      </c>
      <c r="O6" s="67">
        <v>0</v>
      </c>
      <c r="P6" s="67">
        <v>0</v>
      </c>
      <c r="Q6" s="98">
        <v>7.4943792155883066E-3</v>
      </c>
      <c r="R6" s="67">
        <v>0</v>
      </c>
      <c r="S6" s="67">
        <v>0</v>
      </c>
      <c r="T6" s="67">
        <v>0</v>
      </c>
      <c r="U6" s="98">
        <v>0</v>
      </c>
      <c r="V6" s="67">
        <v>0</v>
      </c>
      <c r="W6" s="67">
        <v>0</v>
      </c>
      <c r="X6" s="67">
        <v>1.2562814070351746E-3</v>
      </c>
      <c r="Y6" s="98">
        <v>1.2562814070351746E-3</v>
      </c>
      <c r="Z6" s="67">
        <v>0</v>
      </c>
      <c r="AA6" s="67">
        <v>0</v>
      </c>
      <c r="AB6" s="67">
        <v>0</v>
      </c>
      <c r="AC6" s="98">
        <v>0</v>
      </c>
      <c r="AD6" s="67">
        <v>0</v>
      </c>
      <c r="AE6" s="67">
        <v>0</v>
      </c>
      <c r="AF6" s="67">
        <v>0</v>
      </c>
      <c r="AG6" s="98">
        <v>0</v>
      </c>
      <c r="AH6" s="67">
        <v>0</v>
      </c>
      <c r="AI6" s="67">
        <v>0</v>
      </c>
      <c r="AJ6" s="67">
        <v>0</v>
      </c>
      <c r="AK6" s="98">
        <v>0</v>
      </c>
      <c r="AL6" s="67">
        <v>6.6666666666666688E-3</v>
      </c>
      <c r="AM6" s="67">
        <v>0</v>
      </c>
      <c r="AN6" s="67">
        <v>0</v>
      </c>
      <c r="AO6" s="98">
        <v>6.6666666666666688E-3</v>
      </c>
      <c r="AP6" s="67">
        <v>0.92131147540983604</v>
      </c>
      <c r="AQ6" s="67">
        <v>0.89731729879740962</v>
      </c>
      <c r="AR6" s="67">
        <v>0.89846743295019149</v>
      </c>
      <c r="AS6" s="98">
        <v>2.7170962071574372</v>
      </c>
      <c r="AT6" s="67">
        <v>0</v>
      </c>
      <c r="AU6" s="67">
        <v>0</v>
      </c>
      <c r="AV6" s="67">
        <v>0</v>
      </c>
      <c r="AW6" s="98">
        <v>0</v>
      </c>
      <c r="AX6" s="67">
        <v>0</v>
      </c>
      <c r="AY6" s="98">
        <v>0</v>
      </c>
      <c r="AZ6" s="67">
        <v>2.7325135344467273</v>
      </c>
    </row>
    <row r="7" spans="1:52" x14ac:dyDescent="0.25">
      <c r="A7" s="48" t="s">
        <v>34</v>
      </c>
      <c r="B7" s="67">
        <v>6.3025210084033615E-3</v>
      </c>
      <c r="C7" s="67">
        <v>2.9824561403508774E-2</v>
      </c>
      <c r="D7" s="67">
        <v>4.184100418410041E-2</v>
      </c>
      <c r="E7" s="98">
        <v>7.7968086596012537E-2</v>
      </c>
      <c r="F7" s="67">
        <v>1.6778523489932886E-3</v>
      </c>
      <c r="G7" s="67">
        <v>0</v>
      </c>
      <c r="H7" s="67">
        <v>0</v>
      </c>
      <c r="I7" s="98">
        <v>1.6778523489932886E-3</v>
      </c>
      <c r="J7" s="67">
        <v>0</v>
      </c>
      <c r="K7" s="67">
        <v>0</v>
      </c>
      <c r="L7" s="67">
        <v>1.0401497815685468E-3</v>
      </c>
      <c r="M7" s="98">
        <v>1.0401497815685468E-3</v>
      </c>
      <c r="N7" s="67">
        <v>7.4943792155883066E-3</v>
      </c>
      <c r="O7" s="67">
        <v>5.7142857142857143E-3</v>
      </c>
      <c r="P7" s="67">
        <v>3.2894736842105257E-3</v>
      </c>
      <c r="Q7" s="98">
        <v>1.6498138614084546E-2</v>
      </c>
      <c r="R7" s="67">
        <v>0</v>
      </c>
      <c r="S7" s="67">
        <v>0</v>
      </c>
      <c r="T7" s="67">
        <v>0</v>
      </c>
      <c r="U7" s="98">
        <v>0</v>
      </c>
      <c r="V7" s="67">
        <v>0</v>
      </c>
      <c r="W7" s="67">
        <v>0</v>
      </c>
      <c r="X7" s="67">
        <v>0</v>
      </c>
      <c r="Y7" s="98">
        <v>0</v>
      </c>
      <c r="Z7" s="67">
        <v>0</v>
      </c>
      <c r="AA7" s="67">
        <v>0</v>
      </c>
      <c r="AB7" s="67">
        <v>1.3280212483399714E-3</v>
      </c>
      <c r="AC7" s="98">
        <v>1.3280212483399714E-3</v>
      </c>
      <c r="AD7" s="67">
        <v>1.5082956259426829E-3</v>
      </c>
      <c r="AE7" s="67">
        <v>4.3668122270742338E-3</v>
      </c>
      <c r="AF7" s="67">
        <v>2.628120893561103E-3</v>
      </c>
      <c r="AG7" s="98">
        <v>8.5032287465780197E-3</v>
      </c>
      <c r="AH7" s="67">
        <v>2.2371364653243808E-3</v>
      </c>
      <c r="AI7" s="67">
        <v>1.2578616352201255E-2</v>
      </c>
      <c r="AJ7" s="67">
        <v>2.2883295194507983E-3</v>
      </c>
      <c r="AK7" s="98">
        <v>1.7104082336976432E-2</v>
      </c>
      <c r="AL7" s="67">
        <v>0</v>
      </c>
      <c r="AM7" s="67">
        <v>3.9215686274509777E-3</v>
      </c>
      <c r="AN7" s="67">
        <v>0</v>
      </c>
      <c r="AO7" s="98">
        <v>3.9215686274509777E-3</v>
      </c>
      <c r="AP7" s="67">
        <v>3.2786885245901639E-3</v>
      </c>
      <c r="AQ7" s="67">
        <v>1.5417823003391919E-3</v>
      </c>
      <c r="AR7" s="67">
        <v>1.9157088122605367E-3</v>
      </c>
      <c r="AS7" s="98">
        <v>6.736179637189893E-3</v>
      </c>
      <c r="AT7" s="67">
        <v>0.77614138438880698</v>
      </c>
      <c r="AU7" s="67">
        <v>0.50133689839572182</v>
      </c>
      <c r="AV7" s="67">
        <v>0.6651376146788992</v>
      </c>
      <c r="AW7" s="98">
        <v>1.942615897463428</v>
      </c>
      <c r="AX7" s="67">
        <v>0.38007380073800745</v>
      </c>
      <c r="AY7" s="98">
        <v>0.38007380073800745</v>
      </c>
      <c r="AZ7" s="67">
        <v>2.4574670061386295</v>
      </c>
    </row>
    <row r="8" spans="1:52" x14ac:dyDescent="0.25">
      <c r="A8" s="48" t="s">
        <v>35</v>
      </c>
      <c r="B8" s="67">
        <v>0</v>
      </c>
      <c r="C8" s="67">
        <v>0</v>
      </c>
      <c r="D8" s="67">
        <v>0</v>
      </c>
      <c r="E8" s="98">
        <v>0</v>
      </c>
      <c r="F8" s="67">
        <v>0</v>
      </c>
      <c r="G8" s="67">
        <v>0</v>
      </c>
      <c r="H8" s="67">
        <v>0</v>
      </c>
      <c r="I8" s="98">
        <v>0</v>
      </c>
      <c r="J8" s="67">
        <v>0</v>
      </c>
      <c r="K8" s="67">
        <v>0</v>
      </c>
      <c r="L8" s="67">
        <v>0</v>
      </c>
      <c r="M8" s="98">
        <v>0</v>
      </c>
      <c r="N8" s="67">
        <v>0</v>
      </c>
      <c r="O8" s="67">
        <v>0</v>
      </c>
      <c r="P8" s="67">
        <v>0</v>
      </c>
      <c r="Q8" s="98">
        <v>0</v>
      </c>
      <c r="R8" s="67">
        <v>0</v>
      </c>
      <c r="S8" s="67">
        <v>0</v>
      </c>
      <c r="T8" s="67">
        <v>0</v>
      </c>
      <c r="U8" s="98">
        <v>0</v>
      </c>
      <c r="V8" s="67">
        <v>0</v>
      </c>
      <c r="W8" s="67">
        <v>0</v>
      </c>
      <c r="X8" s="67">
        <v>0</v>
      </c>
      <c r="Y8" s="98">
        <v>0</v>
      </c>
      <c r="Z8" s="67">
        <v>0</v>
      </c>
      <c r="AA8" s="67">
        <v>0</v>
      </c>
      <c r="AB8" s="67">
        <v>0</v>
      </c>
      <c r="AC8" s="98">
        <v>0</v>
      </c>
      <c r="AD8" s="67">
        <v>0</v>
      </c>
      <c r="AE8" s="67">
        <v>0</v>
      </c>
      <c r="AF8" s="67">
        <v>0</v>
      </c>
      <c r="AG8" s="98">
        <v>0</v>
      </c>
      <c r="AH8" s="67">
        <v>0</v>
      </c>
      <c r="AI8" s="67">
        <v>0</v>
      </c>
      <c r="AJ8" s="67">
        <v>0</v>
      </c>
      <c r="AK8" s="98">
        <v>0</v>
      </c>
      <c r="AL8" s="67">
        <v>0</v>
      </c>
      <c r="AM8" s="67">
        <v>0</v>
      </c>
      <c r="AN8" s="67">
        <v>0</v>
      </c>
      <c r="AO8" s="98">
        <v>0</v>
      </c>
      <c r="AP8" s="67">
        <v>0</v>
      </c>
      <c r="AQ8" s="67">
        <v>0</v>
      </c>
      <c r="AR8" s="67">
        <v>0</v>
      </c>
      <c r="AS8" s="98">
        <v>0</v>
      </c>
      <c r="AT8" s="67">
        <v>2.9455081001472749E-3</v>
      </c>
      <c r="AU8" s="67">
        <v>8.0213903743315482E-3</v>
      </c>
      <c r="AV8" s="67">
        <v>2.5993883792048936E-2</v>
      </c>
      <c r="AW8" s="98">
        <v>3.6960782266527756E-2</v>
      </c>
      <c r="AX8" s="67">
        <v>6.2730627306273073E-2</v>
      </c>
      <c r="AY8" s="98">
        <v>6.2730627306273073E-2</v>
      </c>
      <c r="AZ8" s="67">
        <v>9.9691409572800829E-2</v>
      </c>
    </row>
    <row r="9" spans="1:52" x14ac:dyDescent="0.25">
      <c r="A9" s="48" t="s">
        <v>22</v>
      </c>
      <c r="B9" s="67">
        <v>5.4621848739495819E-2</v>
      </c>
      <c r="C9" s="67">
        <v>3.6842105263157905E-2</v>
      </c>
      <c r="D9" s="67">
        <v>2.5104602510460254E-2</v>
      </c>
      <c r="E9" s="98">
        <v>0.11656855651311399</v>
      </c>
      <c r="F9" s="67">
        <v>0</v>
      </c>
      <c r="G9" s="67">
        <v>0</v>
      </c>
      <c r="H9" s="67">
        <v>0</v>
      </c>
      <c r="I9" s="98">
        <v>0</v>
      </c>
      <c r="J9" s="67">
        <v>0</v>
      </c>
      <c r="K9" s="67">
        <v>0</v>
      </c>
      <c r="L9" s="67">
        <v>0</v>
      </c>
      <c r="M9" s="98">
        <v>0</v>
      </c>
      <c r="N9" s="67">
        <v>3.7471896077941541E-3</v>
      </c>
      <c r="O9" s="67">
        <v>1.4285714285714271E-3</v>
      </c>
      <c r="P9" s="67">
        <v>4.9342105263157901E-3</v>
      </c>
      <c r="Q9" s="98">
        <v>1.0109971562681373E-2</v>
      </c>
      <c r="R9" s="67">
        <v>0</v>
      </c>
      <c r="S9" s="67">
        <v>0</v>
      </c>
      <c r="T9" s="67">
        <v>0</v>
      </c>
      <c r="U9" s="98">
        <v>0</v>
      </c>
      <c r="V9" s="67">
        <v>0</v>
      </c>
      <c r="W9" s="67">
        <v>0</v>
      </c>
      <c r="X9" s="67">
        <v>1.2562814070351774E-3</v>
      </c>
      <c r="Y9" s="98">
        <v>1.2562814070351774E-3</v>
      </c>
      <c r="Z9" s="67">
        <v>0.9033280507131537</v>
      </c>
      <c r="AA9" s="67">
        <v>0.90757855822550826</v>
      </c>
      <c r="AB9" s="67">
        <v>0.90703851261620183</v>
      </c>
      <c r="AC9" s="98">
        <v>2.7179451215548638</v>
      </c>
      <c r="AD9" s="67">
        <v>3.0165912518853697E-3</v>
      </c>
      <c r="AE9" s="67">
        <v>2.1834061135371164E-2</v>
      </c>
      <c r="AF9" s="67">
        <v>1.3140604467805517E-2</v>
      </c>
      <c r="AG9" s="98">
        <v>3.799125685506205E-2</v>
      </c>
      <c r="AH9" s="67">
        <v>0</v>
      </c>
      <c r="AI9" s="67">
        <v>2.0964360587002089E-3</v>
      </c>
      <c r="AJ9" s="67">
        <v>0</v>
      </c>
      <c r="AK9" s="98">
        <v>2.0964360587002089E-3</v>
      </c>
      <c r="AL9" s="67">
        <v>0</v>
      </c>
      <c r="AM9" s="67">
        <v>0</v>
      </c>
      <c r="AN9" s="67">
        <v>0</v>
      </c>
      <c r="AO9" s="98">
        <v>0</v>
      </c>
      <c r="AP9" s="67">
        <v>0</v>
      </c>
      <c r="AQ9" s="67">
        <v>9.2506938020351498E-4</v>
      </c>
      <c r="AR9" s="67">
        <v>1.9157088122605339E-3</v>
      </c>
      <c r="AS9" s="98">
        <v>2.840778192464049E-3</v>
      </c>
      <c r="AT9" s="67">
        <v>5.0073637702503691E-2</v>
      </c>
      <c r="AU9" s="67">
        <v>2.1390374331550801E-2</v>
      </c>
      <c r="AV9" s="67">
        <v>2.140672782874618E-2</v>
      </c>
      <c r="AW9" s="98">
        <v>9.2870739862800672E-2</v>
      </c>
      <c r="AX9" s="67">
        <v>8.3025830258302596E-2</v>
      </c>
      <c r="AY9" s="98">
        <v>8.3025830258302596E-2</v>
      </c>
      <c r="AZ9" s="67">
        <v>3.064704972265023</v>
      </c>
    </row>
    <row r="10" spans="1:52" x14ac:dyDescent="0.25">
      <c r="A10" s="48" t="s">
        <v>23</v>
      </c>
      <c r="B10" s="67">
        <v>0.12184873949579833</v>
      </c>
      <c r="C10" s="67">
        <v>0.13157894736842107</v>
      </c>
      <c r="D10" s="67">
        <v>0.10460251046025107</v>
      </c>
      <c r="E10" s="98">
        <v>0.3580301973244705</v>
      </c>
      <c r="F10" s="67">
        <v>2.7964205816554837E-3</v>
      </c>
      <c r="G10" s="67">
        <v>0</v>
      </c>
      <c r="H10" s="67">
        <v>0</v>
      </c>
      <c r="I10" s="98">
        <v>2.7964205816554837E-3</v>
      </c>
      <c r="J10" s="67">
        <v>0.939453125</v>
      </c>
      <c r="K10" s="67">
        <v>0.91449275362318827</v>
      </c>
      <c r="L10" s="67">
        <v>0.90493030996463486</v>
      </c>
      <c r="M10" s="98">
        <v>2.7588761885878235</v>
      </c>
      <c r="N10" s="67">
        <v>7.3694728953285021E-2</v>
      </c>
      <c r="O10" s="67">
        <v>8.8571428571428523E-2</v>
      </c>
      <c r="P10" s="67">
        <v>0.12006578947368417</v>
      </c>
      <c r="Q10" s="98">
        <v>0.2823319469983977</v>
      </c>
      <c r="R10" s="67">
        <v>5.0251256281407024E-2</v>
      </c>
      <c r="S10" s="67">
        <v>6.0889929742388757E-2</v>
      </c>
      <c r="T10" s="67">
        <v>6.0661764705882346E-2</v>
      </c>
      <c r="U10" s="98">
        <v>0.17180295072967811</v>
      </c>
      <c r="V10" s="67">
        <v>0.97203947368421051</v>
      </c>
      <c r="W10" s="67">
        <v>0.97629629629629633</v>
      </c>
      <c r="X10" s="67">
        <v>0.95854271356783927</v>
      </c>
      <c r="Y10" s="98">
        <v>2.9068784835483461</v>
      </c>
      <c r="Z10" s="67">
        <v>1.9017432646592704E-2</v>
      </c>
      <c r="AA10" s="67">
        <v>4.2513863216266178E-2</v>
      </c>
      <c r="AB10" s="67">
        <v>2.9216467463479407E-2</v>
      </c>
      <c r="AC10" s="98">
        <v>9.0747763326338285E-2</v>
      </c>
      <c r="AD10" s="67">
        <v>6.0331825037707376E-3</v>
      </c>
      <c r="AE10" s="67">
        <v>1.4556040756914111E-2</v>
      </c>
      <c r="AF10" s="67">
        <v>1.9710906701708275E-2</v>
      </c>
      <c r="AG10" s="98">
        <v>4.0300129962393128E-2</v>
      </c>
      <c r="AH10" s="67">
        <v>2.2371364653243839E-3</v>
      </c>
      <c r="AI10" s="67">
        <v>1.8867924528301879E-2</v>
      </c>
      <c r="AJ10" s="67">
        <v>2.2883295194508015E-2</v>
      </c>
      <c r="AK10" s="98">
        <v>4.3988356188134278E-2</v>
      </c>
      <c r="AL10" s="67">
        <v>7.3333333333333361E-2</v>
      </c>
      <c r="AM10" s="67">
        <v>1.9607843137254912E-2</v>
      </c>
      <c r="AN10" s="67">
        <v>2.0576131687242796E-3</v>
      </c>
      <c r="AO10" s="98">
        <v>9.4998789639312561E-2</v>
      </c>
      <c r="AP10" s="67">
        <v>1.3114754098360659E-2</v>
      </c>
      <c r="AQ10" s="67">
        <v>1.5417823003391918E-2</v>
      </c>
      <c r="AR10" s="67">
        <v>3.8314176245210735E-3</v>
      </c>
      <c r="AS10" s="98">
        <v>3.2363994726273645E-2</v>
      </c>
      <c r="AT10" s="67">
        <v>3.2400589101620032E-2</v>
      </c>
      <c r="AU10" s="67">
        <v>0.29812834224598922</v>
      </c>
      <c r="AV10" s="67">
        <v>8.4097859327217139E-2</v>
      </c>
      <c r="AW10" s="98">
        <v>0.41462679067482638</v>
      </c>
      <c r="AX10" s="67">
        <v>7.3800738007380063E-3</v>
      </c>
      <c r="AY10" s="98">
        <v>7.3800738007380063E-3</v>
      </c>
      <c r="AZ10" s="67">
        <v>7.2051220860883873</v>
      </c>
    </row>
    <row r="11" spans="1:52" x14ac:dyDescent="0.25">
      <c r="A11" s="48" t="s">
        <v>177</v>
      </c>
      <c r="B11">
        <v>2.100840336134454E-2</v>
      </c>
      <c r="C11">
        <v>3.1578947368421012E-2</v>
      </c>
      <c r="D11">
        <v>4.1841004184100432E-3</v>
      </c>
      <c r="E11" s="98">
        <v>5.6771451148175597E-2</v>
      </c>
      <c r="F11">
        <v>0</v>
      </c>
      <c r="G11">
        <v>0</v>
      </c>
      <c r="H11">
        <v>1.9531249999999967E-3</v>
      </c>
      <c r="I11" s="98">
        <v>1.9531249999999967E-3</v>
      </c>
      <c r="J11">
        <v>0</v>
      </c>
      <c r="K11">
        <v>0</v>
      </c>
      <c r="L11">
        <v>4.1605991262741833E-4</v>
      </c>
      <c r="M11" s="98">
        <v>4.1605991262741833E-4</v>
      </c>
      <c r="N11">
        <v>7.4943792155883081E-4</v>
      </c>
      <c r="O11">
        <v>0</v>
      </c>
      <c r="P11">
        <v>0</v>
      </c>
      <c r="Q11" s="98">
        <v>7.4943792155883081E-4</v>
      </c>
      <c r="R11">
        <v>4.3696744592527904E-4</v>
      </c>
      <c r="S11">
        <v>0</v>
      </c>
      <c r="T11">
        <v>0</v>
      </c>
      <c r="U11" s="98">
        <v>4.3696744592527904E-4</v>
      </c>
      <c r="V11">
        <v>1.3157894736842101E-2</v>
      </c>
      <c r="W11">
        <v>1.4814814814814795E-3</v>
      </c>
      <c r="X11">
        <v>2.5125628140703518E-3</v>
      </c>
      <c r="Y11" s="98">
        <v>1.7151939032393933E-2</v>
      </c>
      <c r="Z11">
        <v>1.5847860538827272E-3</v>
      </c>
      <c r="AA11">
        <v>0</v>
      </c>
      <c r="AB11">
        <v>0</v>
      </c>
      <c r="AC11" s="98">
        <v>1.5847860538827272E-3</v>
      </c>
      <c r="AD11">
        <v>0</v>
      </c>
      <c r="AE11">
        <v>1.455604075691409E-3</v>
      </c>
      <c r="AF11">
        <v>0</v>
      </c>
      <c r="AG11" s="98">
        <v>1.455604075691409E-3</v>
      </c>
      <c r="AH11">
        <v>0</v>
      </c>
      <c r="AI11">
        <v>2.0964360587002063E-3</v>
      </c>
      <c r="AJ11">
        <v>2.2883295194508035E-3</v>
      </c>
      <c r="AK11" s="98">
        <v>4.3847655781510102E-3</v>
      </c>
      <c r="AL11">
        <v>0.70666666666666667</v>
      </c>
      <c r="AM11">
        <v>0.67450980392156856</v>
      </c>
      <c r="AN11">
        <v>0.98353909465020584</v>
      </c>
      <c r="AO11" s="98">
        <v>2.3647155652384413</v>
      </c>
      <c r="AP11">
        <v>1.1475409836065575E-2</v>
      </c>
      <c r="AQ11">
        <v>1.0792476102374342E-2</v>
      </c>
      <c r="AR11">
        <v>1.1494252873563216E-2</v>
      </c>
      <c r="AS11" s="98">
        <v>3.3762138812003135E-2</v>
      </c>
      <c r="AT11">
        <v>1.4727540500736359E-3</v>
      </c>
      <c r="AU11">
        <v>6.6844919786096246E-3</v>
      </c>
      <c r="AV11">
        <v>1.2232415902140675E-2</v>
      </c>
      <c r="AW11" s="98">
        <v>2.0389661930823935E-2</v>
      </c>
      <c r="AX11">
        <v>0</v>
      </c>
      <c r="AY11" s="98">
        <v>0</v>
      </c>
      <c r="AZ11">
        <v>2.5037715021496747</v>
      </c>
    </row>
    <row r="12" spans="1:52" x14ac:dyDescent="0.25">
      <c r="A12" s="48" t="s">
        <v>175</v>
      </c>
      <c r="B12">
        <v>7.1428571428571438E-2</v>
      </c>
      <c r="C12">
        <v>7.1929824561403483E-2</v>
      </c>
      <c r="D12">
        <v>4.3235704323570406E-2</v>
      </c>
      <c r="E12" s="98">
        <v>0.18659410031354531</v>
      </c>
      <c r="F12">
        <v>3.6353467561521247E-2</v>
      </c>
      <c r="G12">
        <v>4.2813455657492387E-2</v>
      </c>
      <c r="H12">
        <v>0.20898437499999983</v>
      </c>
      <c r="I12" s="98">
        <v>0.28815129821901347</v>
      </c>
      <c r="J12">
        <v>0</v>
      </c>
      <c r="K12">
        <v>0</v>
      </c>
      <c r="L12">
        <v>1.0401497815685445E-3</v>
      </c>
      <c r="M12" s="98">
        <v>1.0401497815685445E-3</v>
      </c>
      <c r="N12">
        <v>1.9985011241568824E-2</v>
      </c>
      <c r="O12">
        <v>5.7142857142857143E-3</v>
      </c>
      <c r="P12">
        <v>6.5789473684210514E-3</v>
      </c>
      <c r="Q12" s="98">
        <v>3.227824432427559E-2</v>
      </c>
      <c r="R12">
        <v>0</v>
      </c>
      <c r="S12">
        <v>1.1709601873536302E-3</v>
      </c>
      <c r="T12">
        <v>0</v>
      </c>
      <c r="U12" s="98">
        <v>1.1709601873536302E-3</v>
      </c>
      <c r="V12">
        <v>0</v>
      </c>
      <c r="W12">
        <v>0</v>
      </c>
      <c r="X12">
        <v>0</v>
      </c>
      <c r="Y12" s="98">
        <v>0</v>
      </c>
      <c r="Z12">
        <v>1.2678288431061804E-2</v>
      </c>
      <c r="AA12">
        <v>1.8484288354898314E-3</v>
      </c>
      <c r="AB12">
        <v>6.6401062416998665E-3</v>
      </c>
      <c r="AC12" s="98">
        <v>2.1166823508251501E-2</v>
      </c>
      <c r="AD12">
        <v>2.4132730015082957E-2</v>
      </c>
      <c r="AE12">
        <v>1.0189228529839877E-2</v>
      </c>
      <c r="AF12">
        <v>1.3140604467805517E-2</v>
      </c>
      <c r="AG12" s="98">
        <v>4.7462563012728352E-2</v>
      </c>
      <c r="AH12">
        <v>0.86800894854586119</v>
      </c>
      <c r="AI12">
        <v>0.76100628930817604</v>
      </c>
      <c r="AJ12">
        <v>0.73226544622425616</v>
      </c>
      <c r="AK12" s="98">
        <v>2.3612806840782934</v>
      </c>
      <c r="AL12">
        <v>6.6666666666666688E-3</v>
      </c>
      <c r="AM12">
        <v>7.0588235294117674E-2</v>
      </c>
      <c r="AN12">
        <v>6.1728395061728392E-3</v>
      </c>
      <c r="AO12" s="98">
        <v>8.3427741466957181E-2</v>
      </c>
      <c r="AP12">
        <v>3.2786885245901639E-3</v>
      </c>
      <c r="AQ12">
        <v>1.5417823003391897E-3</v>
      </c>
      <c r="AR12">
        <v>0</v>
      </c>
      <c r="AS12" s="98">
        <v>4.8204708249293534E-3</v>
      </c>
      <c r="AT12">
        <v>2.9455081001472749E-3</v>
      </c>
      <c r="AU12">
        <v>5.3475935828876985E-3</v>
      </c>
      <c r="AV12">
        <v>4.5871559633027499E-3</v>
      </c>
      <c r="AW12" s="98">
        <v>1.2880257646337722E-2</v>
      </c>
      <c r="AX12">
        <v>1.8450184501845035E-3</v>
      </c>
      <c r="AY12" s="98">
        <v>1.8450184501845035E-3</v>
      </c>
      <c r="AZ12">
        <v>3.0421183118134385</v>
      </c>
    </row>
    <row r="13" spans="1:52" x14ac:dyDescent="0.25">
      <c r="A13" s="48" t="s">
        <v>59</v>
      </c>
      <c r="B13">
        <v>1.4705882352941183E-2</v>
      </c>
      <c r="C13">
        <v>3.1578947368421061E-2</v>
      </c>
      <c r="D13">
        <v>3.6262203626220367E-2</v>
      </c>
      <c r="E13" s="98">
        <v>8.2547033347582621E-2</v>
      </c>
      <c r="F13">
        <v>0</v>
      </c>
      <c r="G13">
        <v>0</v>
      </c>
      <c r="H13">
        <v>1.9531249999999996E-3</v>
      </c>
      <c r="I13" s="98">
        <v>1.9531249999999996E-3</v>
      </c>
      <c r="J13">
        <v>3.90625E-2</v>
      </c>
      <c r="K13">
        <v>5.3623188405797099E-2</v>
      </c>
      <c r="L13">
        <v>4.4726440607447474E-2</v>
      </c>
      <c r="M13" s="98">
        <v>0.13741212901324457</v>
      </c>
      <c r="N13">
        <v>2.4981264051961022E-3</v>
      </c>
      <c r="O13">
        <v>3.9999999999999966E-2</v>
      </c>
      <c r="P13">
        <v>5.0986842105263157E-2</v>
      </c>
      <c r="Q13" s="98">
        <v>9.3484968510459232E-2</v>
      </c>
      <c r="R13">
        <v>0.92200131090233772</v>
      </c>
      <c r="S13">
        <v>0.90163934426229519</v>
      </c>
      <c r="T13">
        <v>0.92095588235294124</v>
      </c>
      <c r="U13" s="98">
        <v>2.744596537517574</v>
      </c>
      <c r="V13">
        <v>1.1513157894736836E-2</v>
      </c>
      <c r="W13">
        <v>1.037037037037037E-2</v>
      </c>
      <c r="X13">
        <v>2.6381909547738672E-2</v>
      </c>
      <c r="Y13" s="98">
        <v>4.8265437812845882E-2</v>
      </c>
      <c r="Z13">
        <v>1.5847860538827237E-3</v>
      </c>
      <c r="AA13">
        <v>7.3937153419593336E-3</v>
      </c>
      <c r="AB13">
        <v>5.3120849933598916E-3</v>
      </c>
      <c r="AC13" s="98">
        <v>1.4290586389201949E-2</v>
      </c>
      <c r="AD13">
        <v>0</v>
      </c>
      <c r="AE13">
        <v>5.8224163027656428E-3</v>
      </c>
      <c r="AF13">
        <v>1.4454664914586071E-2</v>
      </c>
      <c r="AG13" s="98">
        <v>2.0277081217351715E-2</v>
      </c>
      <c r="AH13">
        <v>8.9485458612975338E-3</v>
      </c>
      <c r="AI13">
        <v>8.3857442348008338E-3</v>
      </c>
      <c r="AJ13">
        <v>4.5766590389016018E-3</v>
      </c>
      <c r="AK13" s="98">
        <v>2.1910949134999969E-2</v>
      </c>
      <c r="AL13">
        <v>3.3333333333333383E-3</v>
      </c>
      <c r="AM13">
        <v>3.9215686274509777E-3</v>
      </c>
      <c r="AN13">
        <v>6.1728395061728348E-3</v>
      </c>
      <c r="AO13" s="98">
        <v>1.342774146695715E-2</v>
      </c>
      <c r="AP13">
        <v>3.2786885245901639E-3</v>
      </c>
      <c r="AQ13">
        <v>0</v>
      </c>
      <c r="AR13">
        <v>0</v>
      </c>
      <c r="AS13" s="98">
        <v>3.2786885245901639E-3</v>
      </c>
      <c r="AT13">
        <v>5.8910162002945498E-3</v>
      </c>
      <c r="AU13">
        <v>2.4064171122994648E-2</v>
      </c>
      <c r="AV13">
        <v>1.2232415902140675E-2</v>
      </c>
      <c r="AW13" s="98">
        <v>4.2187603225429873E-2</v>
      </c>
      <c r="AX13">
        <v>7.3800738007380063E-3</v>
      </c>
      <c r="AY13" s="98">
        <v>7.3800738007380063E-3</v>
      </c>
      <c r="AZ13">
        <v>3.2310119549609762</v>
      </c>
    </row>
    <row r="14" spans="1:52" x14ac:dyDescent="0.25">
      <c r="A14" s="48" t="s">
        <v>36</v>
      </c>
      <c r="B14" s="67">
        <v>0</v>
      </c>
      <c r="C14" s="67">
        <v>0</v>
      </c>
      <c r="D14" s="67">
        <v>0</v>
      </c>
      <c r="E14" s="98">
        <v>0</v>
      </c>
      <c r="F14" s="67">
        <v>0</v>
      </c>
      <c r="G14" s="67">
        <v>0</v>
      </c>
      <c r="H14" s="67">
        <v>0</v>
      </c>
      <c r="I14" s="98">
        <v>0</v>
      </c>
      <c r="J14" s="67">
        <v>0</v>
      </c>
      <c r="K14" s="67">
        <v>0</v>
      </c>
      <c r="L14" s="67">
        <v>0</v>
      </c>
      <c r="M14" s="98">
        <v>0</v>
      </c>
      <c r="N14" s="67">
        <v>0.59705221084186855</v>
      </c>
      <c r="O14" s="67">
        <v>0.66428571428571437</v>
      </c>
      <c r="P14" s="67">
        <v>0.66118421052631582</v>
      </c>
      <c r="Q14" s="98">
        <v>1.9225221356538986</v>
      </c>
      <c r="R14" s="67">
        <v>8.7393489185055816E-3</v>
      </c>
      <c r="S14" s="67">
        <v>1.1709601873536301E-2</v>
      </c>
      <c r="T14" s="67">
        <v>3.676470588235298E-3</v>
      </c>
      <c r="U14" s="98">
        <v>2.4125421380277182E-2</v>
      </c>
      <c r="V14" s="67">
        <v>0</v>
      </c>
      <c r="W14" s="67">
        <v>0</v>
      </c>
      <c r="X14" s="67">
        <v>0</v>
      </c>
      <c r="Y14" s="98">
        <v>0</v>
      </c>
      <c r="Z14" s="67">
        <v>0</v>
      </c>
      <c r="AA14" s="67">
        <v>0</v>
      </c>
      <c r="AB14" s="67">
        <v>0</v>
      </c>
      <c r="AC14" s="98">
        <v>0</v>
      </c>
      <c r="AD14" s="67">
        <v>0</v>
      </c>
      <c r="AE14" s="67">
        <v>0</v>
      </c>
      <c r="AF14" s="67">
        <v>0</v>
      </c>
      <c r="AG14" s="98">
        <v>0</v>
      </c>
      <c r="AH14" s="67">
        <v>0</v>
      </c>
      <c r="AI14" s="67">
        <v>0</v>
      </c>
      <c r="AJ14" s="67">
        <v>0</v>
      </c>
      <c r="AK14" s="98">
        <v>0</v>
      </c>
      <c r="AL14" s="67">
        <v>0</v>
      </c>
      <c r="AM14" s="67">
        <v>0</v>
      </c>
      <c r="AN14" s="67">
        <v>0</v>
      </c>
      <c r="AO14" s="98">
        <v>0</v>
      </c>
      <c r="AP14" s="67">
        <v>0</v>
      </c>
      <c r="AQ14" s="67">
        <v>0</v>
      </c>
      <c r="AR14" s="67">
        <v>0</v>
      </c>
      <c r="AS14" s="98">
        <v>0</v>
      </c>
      <c r="AT14" s="67">
        <v>0</v>
      </c>
      <c r="AU14" s="67">
        <v>0</v>
      </c>
      <c r="AV14" s="67">
        <v>0</v>
      </c>
      <c r="AW14" s="98">
        <v>0</v>
      </c>
      <c r="AX14" s="67">
        <v>0</v>
      </c>
      <c r="AY14" s="98">
        <v>0</v>
      </c>
      <c r="AZ14" s="67">
        <v>1.9466475570341757</v>
      </c>
    </row>
    <row r="15" spans="1:52" x14ac:dyDescent="0.25">
      <c r="A15" s="48" t="s">
        <v>176</v>
      </c>
      <c r="B15">
        <v>9.4537815126050473E-2</v>
      </c>
      <c r="C15">
        <v>8.9473684210526302E-2</v>
      </c>
      <c r="D15">
        <v>8.2287308228730816E-2</v>
      </c>
      <c r="E15" s="98">
        <v>0.2662988075653076</v>
      </c>
      <c r="F15">
        <v>0</v>
      </c>
      <c r="G15">
        <v>0</v>
      </c>
      <c r="H15">
        <v>7.8124999999999957E-3</v>
      </c>
      <c r="I15" s="98">
        <v>7.8124999999999957E-3</v>
      </c>
      <c r="J15">
        <v>0</v>
      </c>
      <c r="K15">
        <v>0</v>
      </c>
      <c r="L15">
        <v>0</v>
      </c>
      <c r="M15" s="98">
        <v>0</v>
      </c>
      <c r="N15">
        <v>0</v>
      </c>
      <c r="O15">
        <v>4.2857142857142868E-3</v>
      </c>
      <c r="P15">
        <v>1.6447368421052611E-3</v>
      </c>
      <c r="Q15" s="98">
        <v>5.9304511278195481E-3</v>
      </c>
      <c r="R15">
        <v>0</v>
      </c>
      <c r="S15">
        <v>0</v>
      </c>
      <c r="T15">
        <v>0</v>
      </c>
      <c r="U15" s="98">
        <v>0</v>
      </c>
      <c r="V15">
        <v>0</v>
      </c>
      <c r="W15">
        <v>0</v>
      </c>
      <c r="X15">
        <v>0</v>
      </c>
      <c r="Y15" s="98">
        <v>0</v>
      </c>
      <c r="Z15">
        <v>9.5087163232963484E-3</v>
      </c>
      <c r="AA15">
        <v>9.242144177449169E-3</v>
      </c>
      <c r="AB15">
        <v>1.3280212483399733E-2</v>
      </c>
      <c r="AC15" s="98">
        <v>3.2031072984145245E-2</v>
      </c>
      <c r="AD15">
        <v>0.92006033182503777</v>
      </c>
      <c r="AE15">
        <v>0.87918486171761312</v>
      </c>
      <c r="AF15">
        <v>0.85019710906701718</v>
      </c>
      <c r="AG15" s="98">
        <v>2.6494423026096681</v>
      </c>
      <c r="AH15">
        <v>3.8031319910514519E-2</v>
      </c>
      <c r="AI15">
        <v>3.3542976939203342E-2</v>
      </c>
      <c r="AJ15">
        <v>3.2036613272311221E-2</v>
      </c>
      <c r="AK15" s="98">
        <v>0.10361091012202908</v>
      </c>
      <c r="AL15">
        <v>0</v>
      </c>
      <c r="AM15">
        <v>4.7058823529411799E-2</v>
      </c>
      <c r="AN15">
        <v>2.0576131687242813E-3</v>
      </c>
      <c r="AO15" s="98">
        <v>4.9116436698136083E-2</v>
      </c>
      <c r="AP15">
        <v>0</v>
      </c>
      <c r="AQ15">
        <v>1.5417823003391919E-3</v>
      </c>
      <c r="AR15">
        <v>5.7471264367816109E-3</v>
      </c>
      <c r="AS15" s="98">
        <v>7.288908737120803E-3</v>
      </c>
      <c r="AT15">
        <v>2.0618556701030927E-2</v>
      </c>
      <c r="AU15">
        <v>3.4759358288770019E-2</v>
      </c>
      <c r="AV15">
        <v>1.9877675840978593E-2</v>
      </c>
      <c r="AW15" s="98">
        <v>7.525559083077954E-2</v>
      </c>
      <c r="AX15">
        <v>7.3800738007380063E-3</v>
      </c>
      <c r="AY15" s="98">
        <v>7.3800738007380063E-3</v>
      </c>
      <c r="AZ15">
        <v>3.2041670544757439</v>
      </c>
    </row>
    <row r="16" spans="1:52" x14ac:dyDescent="0.25">
      <c r="A16" s="48" t="s">
        <v>174</v>
      </c>
      <c r="B16">
        <v>2.5210084033613453E-2</v>
      </c>
      <c r="C16">
        <v>2.2807017543859651E-2</v>
      </c>
      <c r="D16">
        <v>1.1157601115760111E-2</v>
      </c>
      <c r="E16" s="98">
        <v>5.9174702693233217E-2</v>
      </c>
      <c r="F16">
        <v>0.95078299776286357</v>
      </c>
      <c r="G16">
        <v>0.92966360856269115</v>
      </c>
      <c r="H16">
        <v>0.76562500000000011</v>
      </c>
      <c r="I16" s="98">
        <v>2.6460716063255547</v>
      </c>
      <c r="J16">
        <v>1.9531250000000004E-3</v>
      </c>
      <c r="K16">
        <v>0</v>
      </c>
      <c r="L16">
        <v>0</v>
      </c>
      <c r="M16" s="98">
        <v>1.9531250000000004E-3</v>
      </c>
      <c r="N16">
        <v>0</v>
      </c>
      <c r="O16">
        <v>1.4285714285714271E-3</v>
      </c>
      <c r="P16">
        <v>0</v>
      </c>
      <c r="Q16" s="98">
        <v>1.4285714285714271E-3</v>
      </c>
      <c r="R16">
        <v>0</v>
      </c>
      <c r="S16">
        <v>0</v>
      </c>
      <c r="T16">
        <v>0</v>
      </c>
      <c r="U16" s="98">
        <v>0</v>
      </c>
      <c r="V16">
        <v>0</v>
      </c>
      <c r="W16">
        <v>0</v>
      </c>
      <c r="X16">
        <v>0</v>
      </c>
      <c r="Y16" s="98">
        <v>0</v>
      </c>
      <c r="Z16">
        <v>0</v>
      </c>
      <c r="AA16">
        <v>0</v>
      </c>
      <c r="AB16">
        <v>0</v>
      </c>
      <c r="AC16" s="98">
        <v>0</v>
      </c>
      <c r="AD16">
        <v>6.0331825037707376E-3</v>
      </c>
      <c r="AE16">
        <v>2.9112081513828214E-3</v>
      </c>
      <c r="AF16">
        <v>6.5703022339027584E-3</v>
      </c>
      <c r="AG16" s="98">
        <v>1.5514692889056318E-2</v>
      </c>
      <c r="AH16">
        <v>8.9485458612975338E-3</v>
      </c>
      <c r="AI16">
        <v>8.3857442348008362E-2</v>
      </c>
      <c r="AJ16">
        <v>0.13043478260869568</v>
      </c>
      <c r="AK16" s="98">
        <v>0.22324077081800159</v>
      </c>
      <c r="AL16">
        <v>0</v>
      </c>
      <c r="AM16">
        <v>3.9215686274509777E-3</v>
      </c>
      <c r="AN16">
        <v>0</v>
      </c>
      <c r="AO16" s="98">
        <v>3.9215686274509777E-3</v>
      </c>
      <c r="AP16">
        <v>3.2786885245901639E-3</v>
      </c>
      <c r="AQ16">
        <v>1.5417823003391919E-3</v>
      </c>
      <c r="AR16">
        <v>0</v>
      </c>
      <c r="AS16" s="98">
        <v>4.820470824929356E-3</v>
      </c>
      <c r="AT16">
        <v>1.3254786450662739E-2</v>
      </c>
      <c r="AU16">
        <v>2.6737967914438492E-3</v>
      </c>
      <c r="AV16">
        <v>7.6452599388379212E-3</v>
      </c>
      <c r="AW16" s="98">
        <v>2.357384318094451E-2</v>
      </c>
      <c r="AX16">
        <v>1.107011070110701E-2</v>
      </c>
      <c r="AY16" s="98">
        <v>1.107011070110701E-2</v>
      </c>
      <c r="AZ16">
        <v>2.9907694624888492</v>
      </c>
    </row>
    <row r="17" spans="1:55" x14ac:dyDescent="0.25">
      <c r="A17" s="48" t="s">
        <v>10</v>
      </c>
      <c r="B17" s="67">
        <v>0.59033613445378141</v>
      </c>
      <c r="C17" s="67">
        <v>0.55438596491228076</v>
      </c>
      <c r="D17" s="67">
        <v>0.6513249651324966</v>
      </c>
      <c r="E17" s="98">
        <v>1.7960470644985589</v>
      </c>
      <c r="F17" s="67">
        <v>8.3892617449664378E-3</v>
      </c>
      <c r="G17" s="67">
        <v>2.7522935779816533E-2</v>
      </c>
      <c r="H17" s="67">
        <v>1.3671874999999995E-2</v>
      </c>
      <c r="I17" s="98">
        <v>4.9584072524782967E-2</v>
      </c>
      <c r="J17" s="67">
        <v>1.953125E-2</v>
      </c>
      <c r="K17" s="67">
        <v>3.1884057971014484E-2</v>
      </c>
      <c r="L17" s="67">
        <v>4.7846889952153089E-2</v>
      </c>
      <c r="M17" s="98">
        <v>9.9262197923167567E-2</v>
      </c>
      <c r="N17" s="67">
        <v>0.28728453659755182</v>
      </c>
      <c r="O17" s="67">
        <v>0.18857142857142856</v>
      </c>
      <c r="P17" s="67">
        <v>0.15131578947368415</v>
      </c>
      <c r="Q17" s="98">
        <v>0.6271717546426645</v>
      </c>
      <c r="R17" s="67">
        <v>1.8571116451824337E-2</v>
      </c>
      <c r="S17" s="67">
        <v>2.4590163934426208E-2</v>
      </c>
      <c r="T17" s="67">
        <v>1.4705882352941159E-2</v>
      </c>
      <c r="U17" s="98">
        <v>5.7867162739191701E-2</v>
      </c>
      <c r="V17" s="67">
        <v>3.2894736842105244E-3</v>
      </c>
      <c r="W17" s="67">
        <v>1.185185185185185E-2</v>
      </c>
      <c r="X17" s="67">
        <v>1.0050251256281407E-2</v>
      </c>
      <c r="Y17" s="98">
        <v>2.5191576792343781E-2</v>
      </c>
      <c r="Z17" s="67">
        <v>5.2297939778129909E-2</v>
      </c>
      <c r="AA17" s="67">
        <v>3.142329020332716E-2</v>
      </c>
      <c r="AB17" s="67">
        <v>3.7184594953519216E-2</v>
      </c>
      <c r="AC17" s="98">
        <v>0.12090582493497629</v>
      </c>
      <c r="AD17" s="67">
        <v>3.9215686274509803E-2</v>
      </c>
      <c r="AE17" s="67">
        <v>5.9679767103347769E-2</v>
      </c>
      <c r="AF17" s="67">
        <v>8.0157687253613635E-2</v>
      </c>
      <c r="AG17" s="98">
        <v>0.17905314063147121</v>
      </c>
      <c r="AH17" s="67">
        <v>7.158836689038027E-2</v>
      </c>
      <c r="AI17" s="67">
        <v>7.7568134171907721E-2</v>
      </c>
      <c r="AJ17" s="67">
        <v>7.3226544622425629E-2</v>
      </c>
      <c r="AK17" s="98">
        <v>0.22238304568471362</v>
      </c>
      <c r="AL17" s="67">
        <v>0.20333333333333325</v>
      </c>
      <c r="AM17" s="67">
        <v>0.17647058823529421</v>
      </c>
      <c r="AN17" s="67">
        <v>0</v>
      </c>
      <c r="AO17" s="98">
        <v>0.37980392156862747</v>
      </c>
      <c r="AP17" s="67">
        <v>4.098360655737706E-2</v>
      </c>
      <c r="AQ17" s="67">
        <v>6.9380203515263625E-2</v>
      </c>
      <c r="AR17" s="67">
        <v>7.662835249042145E-2</v>
      </c>
      <c r="AS17" s="98">
        <v>0.18699216256306211</v>
      </c>
      <c r="AT17" s="67">
        <v>9.4256259204712797E-2</v>
      </c>
      <c r="AU17" s="67">
        <v>9.7593582887700578E-2</v>
      </c>
      <c r="AV17" s="67">
        <v>0.146788990825688</v>
      </c>
      <c r="AW17" s="98">
        <v>0.33863883291810137</v>
      </c>
      <c r="AX17" s="67">
        <v>0.43911439114391143</v>
      </c>
      <c r="AY17" s="98">
        <v>0.43911439114391143</v>
      </c>
      <c r="AZ17" s="67">
        <v>4.5220151485655729</v>
      </c>
    </row>
    <row r="18" spans="1:55" x14ac:dyDescent="0.25">
      <c r="A18" s="48" t="s">
        <v>28</v>
      </c>
      <c r="B18">
        <v>1</v>
      </c>
      <c r="C18">
        <v>1</v>
      </c>
      <c r="D18">
        <v>1</v>
      </c>
      <c r="E18" s="67">
        <v>3</v>
      </c>
      <c r="F18">
        <v>1</v>
      </c>
      <c r="G18">
        <v>1</v>
      </c>
      <c r="H18">
        <v>1</v>
      </c>
      <c r="I18" s="67">
        <v>3</v>
      </c>
      <c r="J18">
        <v>1</v>
      </c>
      <c r="K18">
        <v>0.99999999999999978</v>
      </c>
      <c r="L18">
        <v>0.99999999999999989</v>
      </c>
      <c r="M18" s="67">
        <v>3</v>
      </c>
      <c r="N18">
        <v>0.99999999999999989</v>
      </c>
      <c r="O18">
        <v>1</v>
      </c>
      <c r="P18">
        <v>1</v>
      </c>
      <c r="Q18" s="67">
        <v>3</v>
      </c>
      <c r="R18">
        <v>0.99999999999999989</v>
      </c>
      <c r="S18">
        <v>1</v>
      </c>
      <c r="T18">
        <v>1</v>
      </c>
      <c r="U18" s="67">
        <v>3</v>
      </c>
      <c r="V18">
        <v>1</v>
      </c>
      <c r="W18">
        <v>1</v>
      </c>
      <c r="X18">
        <v>1</v>
      </c>
      <c r="Y18" s="67">
        <v>2.9999999999999996</v>
      </c>
      <c r="Z18">
        <v>0.99999999999999978</v>
      </c>
      <c r="AA18">
        <v>0.99999999999999989</v>
      </c>
      <c r="AB18">
        <v>0.99999999999999989</v>
      </c>
      <c r="AC18" s="67">
        <v>3</v>
      </c>
      <c r="AD18">
        <v>1</v>
      </c>
      <c r="AE18">
        <v>1</v>
      </c>
      <c r="AF18">
        <v>1</v>
      </c>
      <c r="AG18" s="67">
        <v>3</v>
      </c>
      <c r="AH18">
        <v>0.99999999999999989</v>
      </c>
      <c r="AI18">
        <v>1</v>
      </c>
      <c r="AJ18">
        <v>0.99999999999999989</v>
      </c>
      <c r="AK18" s="67">
        <v>2.9999999999999996</v>
      </c>
      <c r="AL18">
        <v>1</v>
      </c>
      <c r="AM18">
        <v>1</v>
      </c>
      <c r="AN18">
        <v>1.0000000000000002</v>
      </c>
      <c r="AO18" s="67">
        <v>3.0000000000000004</v>
      </c>
      <c r="AP18">
        <v>0.99999999999999978</v>
      </c>
      <c r="AQ18">
        <v>0.99999999999999978</v>
      </c>
      <c r="AR18">
        <v>1</v>
      </c>
      <c r="AS18" s="67">
        <v>2.9999999999999996</v>
      </c>
      <c r="AT18">
        <v>0.99999999999999989</v>
      </c>
      <c r="AU18">
        <v>0.99999999999999978</v>
      </c>
      <c r="AV18">
        <v>0.99999999999999989</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9" bestFit="1" customWidth="1"/>
    <col min="5" max="5" width="11.42578125" bestFit="1" customWidth="1"/>
    <col min="6" max="8" width="11.85546875" bestFit="1" customWidth="1"/>
    <col min="9" max="9" width="13.7109375" bestFit="1" customWidth="1"/>
    <col min="10" max="12" width="8" bestFit="1" customWidth="1"/>
    <col min="13" max="13" width="9.85546875" bestFit="1" customWidth="1"/>
    <col min="14" max="16" width="8.140625" bestFit="1" customWidth="1"/>
    <col min="17" max="17" width="10" bestFit="1" customWidth="1"/>
    <col min="18" max="20" width="7.7109375" bestFit="1" customWidth="1"/>
    <col min="21" max="21" width="9.5703125" bestFit="1" customWidth="1"/>
    <col min="22" max="24" width="15.5703125" bestFit="1" customWidth="1"/>
    <col min="25" max="25" width="17" bestFit="1" customWidth="1"/>
    <col min="26" max="28" width="7.140625" bestFit="1" customWidth="1"/>
    <col min="29" max="29" width="9" bestFit="1" customWidth="1"/>
    <col min="30" max="32" width="11.85546875" bestFit="1" customWidth="1"/>
    <col min="33" max="33" width="13.7109375" bestFit="1" customWidth="1"/>
    <col min="34" max="36" width="13" bestFit="1" customWidth="1"/>
    <col min="37" max="37" width="14.85546875" bestFit="1" customWidth="1"/>
    <col min="38" max="40" width="11.42578125" bestFit="1" customWidth="1"/>
    <col min="41" max="41" width="13.28515625" bestFit="1" customWidth="1"/>
    <col min="42" max="44" width="8.5703125" bestFit="1" customWidth="1"/>
    <col min="45" max="45" width="10.42578125" bestFit="1" customWidth="1"/>
    <col min="46" max="48" width="13.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495</v>
      </c>
      <c r="C5" t="s">
        <v>508</v>
      </c>
      <c r="D5" t="s">
        <v>509</v>
      </c>
      <c r="F5" t="s">
        <v>485</v>
      </c>
      <c r="G5" t="s">
        <v>501</v>
      </c>
      <c r="H5" t="s">
        <v>513</v>
      </c>
      <c r="J5" t="s">
        <v>484</v>
      </c>
      <c r="K5" t="s">
        <v>498</v>
      </c>
      <c r="L5" t="s">
        <v>510</v>
      </c>
      <c r="N5" t="s">
        <v>493</v>
      </c>
      <c r="O5" t="s">
        <v>494</v>
      </c>
      <c r="P5" t="s">
        <v>507</v>
      </c>
      <c r="R5" t="s">
        <v>491</v>
      </c>
      <c r="S5" t="s">
        <v>492</v>
      </c>
      <c r="T5" t="s">
        <v>504</v>
      </c>
      <c r="V5" t="s">
        <v>496</v>
      </c>
      <c r="W5" t="s">
        <v>505</v>
      </c>
      <c r="X5" t="s">
        <v>506</v>
      </c>
      <c r="Z5" t="s">
        <v>489</v>
      </c>
      <c r="AA5" t="s">
        <v>499</v>
      </c>
      <c r="AB5" t="s">
        <v>518</v>
      </c>
      <c r="AD5" t="s">
        <v>487</v>
      </c>
      <c r="AE5" t="s">
        <v>502</v>
      </c>
      <c r="AF5" t="s">
        <v>512</v>
      </c>
      <c r="AH5" t="s">
        <v>486</v>
      </c>
      <c r="AI5" t="s">
        <v>503</v>
      </c>
      <c r="AJ5" t="s">
        <v>517</v>
      </c>
      <c r="AL5" t="s">
        <v>488</v>
      </c>
      <c r="AM5" t="s">
        <v>500</v>
      </c>
      <c r="AN5" t="s">
        <v>511</v>
      </c>
      <c r="AP5" t="s">
        <v>519</v>
      </c>
      <c r="AQ5" t="s">
        <v>520</v>
      </c>
      <c r="AR5" t="s">
        <v>521</v>
      </c>
      <c r="AT5" t="s">
        <v>490</v>
      </c>
      <c r="AU5" t="s">
        <v>515</v>
      </c>
      <c r="AV5" t="s">
        <v>516</v>
      </c>
      <c r="AX5" t="s">
        <v>497</v>
      </c>
    </row>
    <row r="6" spans="1:52" x14ac:dyDescent="0.25">
      <c r="A6" s="48" t="s">
        <v>38</v>
      </c>
      <c r="B6" s="98">
        <v>0</v>
      </c>
      <c r="C6" s="98">
        <v>0</v>
      </c>
      <c r="D6" s="98">
        <v>0</v>
      </c>
      <c r="E6" s="98">
        <v>0</v>
      </c>
      <c r="F6" s="98">
        <v>0</v>
      </c>
      <c r="G6" s="98">
        <v>0</v>
      </c>
      <c r="H6" s="98">
        <v>0</v>
      </c>
      <c r="I6" s="98">
        <v>0</v>
      </c>
      <c r="J6" s="98">
        <v>0</v>
      </c>
      <c r="K6" s="98">
        <v>0</v>
      </c>
      <c r="L6" s="98">
        <v>0</v>
      </c>
      <c r="M6" s="98">
        <v>0</v>
      </c>
      <c r="N6" s="98">
        <v>0</v>
      </c>
      <c r="O6" s="98">
        <v>0</v>
      </c>
      <c r="P6" s="98">
        <v>2.6737967914438497E-3</v>
      </c>
      <c r="Q6" s="98">
        <v>2.6737967914438497E-3</v>
      </c>
      <c r="R6" s="98">
        <v>0</v>
      </c>
      <c r="S6" s="98">
        <v>0</v>
      </c>
      <c r="T6" s="98">
        <v>0</v>
      </c>
      <c r="U6" s="98">
        <v>0</v>
      </c>
      <c r="V6" s="98">
        <v>0</v>
      </c>
      <c r="W6" s="98">
        <v>0</v>
      </c>
      <c r="X6" s="98">
        <v>0</v>
      </c>
      <c r="Y6" s="98">
        <v>0</v>
      </c>
      <c r="Z6" s="98">
        <v>0</v>
      </c>
      <c r="AA6" s="98">
        <v>0</v>
      </c>
      <c r="AB6" s="98">
        <v>0</v>
      </c>
      <c r="AC6" s="98">
        <v>0</v>
      </c>
      <c r="AD6" s="98">
        <v>0</v>
      </c>
      <c r="AE6" s="98">
        <v>0</v>
      </c>
      <c r="AF6" s="98">
        <v>0</v>
      </c>
      <c r="AG6" s="98">
        <v>0</v>
      </c>
      <c r="AH6" s="98">
        <v>0</v>
      </c>
      <c r="AI6" s="98">
        <v>0</v>
      </c>
      <c r="AJ6" s="98">
        <v>0</v>
      </c>
      <c r="AK6" s="98">
        <v>0</v>
      </c>
      <c r="AL6" s="98">
        <v>0</v>
      </c>
      <c r="AM6" s="98">
        <v>0</v>
      </c>
      <c r="AN6" s="98">
        <v>0</v>
      </c>
      <c r="AO6" s="98">
        <v>0</v>
      </c>
      <c r="AP6" s="98">
        <v>0.86358099878197314</v>
      </c>
      <c r="AQ6" s="98">
        <v>0.84946236559139787</v>
      </c>
      <c r="AR6" s="98">
        <v>0.87736900780379035</v>
      </c>
      <c r="AS6" s="98">
        <v>2.5904123721771612</v>
      </c>
      <c r="AT6" s="98">
        <v>3.2175032175032162E-2</v>
      </c>
      <c r="AU6" s="98">
        <v>0</v>
      </c>
      <c r="AV6" s="98">
        <v>0</v>
      </c>
      <c r="AW6" s="98">
        <v>3.2175032175032162E-2</v>
      </c>
      <c r="AX6" s="98">
        <v>0</v>
      </c>
      <c r="AY6" s="98">
        <v>0</v>
      </c>
      <c r="AZ6" s="98">
        <v>2.6252612011436374</v>
      </c>
    </row>
    <row r="7" spans="1:52" x14ac:dyDescent="0.25">
      <c r="A7" s="48" t="s">
        <v>34</v>
      </c>
      <c r="B7" s="98">
        <v>2.8625954198473282E-2</v>
      </c>
      <c r="C7" s="98">
        <v>4.2276422764227641E-2</v>
      </c>
      <c r="D7" s="98">
        <v>3.9246467817896397E-2</v>
      </c>
      <c r="E7" s="98">
        <v>0.11014884478059732</v>
      </c>
      <c r="F7" s="98">
        <v>2.0703933747411979E-3</v>
      </c>
      <c r="G7" s="98">
        <v>0</v>
      </c>
      <c r="H7" s="98">
        <v>0</v>
      </c>
      <c r="I7" s="98">
        <v>2.0703933747411979E-3</v>
      </c>
      <c r="J7" s="98">
        <v>2.4721878862793575E-3</v>
      </c>
      <c r="K7" s="98">
        <v>2.7247956403269745E-3</v>
      </c>
      <c r="L7" s="98">
        <v>0</v>
      </c>
      <c r="M7" s="98">
        <v>5.196983526606332E-3</v>
      </c>
      <c r="N7" s="98">
        <v>2.0231213872832374E-2</v>
      </c>
      <c r="O7" s="98">
        <v>1.9199999999999995E-2</v>
      </c>
      <c r="P7" s="98">
        <v>1.3368983957219251E-2</v>
      </c>
      <c r="Q7" s="98">
        <v>5.2800197830051618E-2</v>
      </c>
      <c r="R7" s="98">
        <v>1.3192612137203151E-3</v>
      </c>
      <c r="S7" s="98">
        <v>0</v>
      </c>
      <c r="T7" s="98">
        <v>0</v>
      </c>
      <c r="U7" s="98">
        <v>1.3192612137203151E-3</v>
      </c>
      <c r="V7" s="98">
        <v>0</v>
      </c>
      <c r="W7" s="98">
        <v>0</v>
      </c>
      <c r="X7" s="98">
        <v>0</v>
      </c>
      <c r="Y7" s="98">
        <v>0</v>
      </c>
      <c r="Z7" s="98">
        <v>0</v>
      </c>
      <c r="AA7" s="98">
        <v>1.2453300124532992E-3</v>
      </c>
      <c r="AB7" s="98">
        <v>0</v>
      </c>
      <c r="AC7" s="98">
        <v>1.2453300124532992E-3</v>
      </c>
      <c r="AD7" s="98">
        <v>4.3290043290043273E-3</v>
      </c>
      <c r="AE7" s="98">
        <v>1.6420361247947437E-3</v>
      </c>
      <c r="AF7" s="98">
        <v>8.5995085995085978E-3</v>
      </c>
      <c r="AG7" s="98">
        <v>1.4570549053307669E-2</v>
      </c>
      <c r="AH7" s="98">
        <v>6.3694267515923518E-3</v>
      </c>
      <c r="AI7" s="98">
        <v>6.7114093959731551E-3</v>
      </c>
      <c r="AJ7" s="98">
        <v>5.0761421319796933E-3</v>
      </c>
      <c r="AK7" s="98">
        <v>1.81569782795452E-2</v>
      </c>
      <c r="AL7" s="98">
        <v>0</v>
      </c>
      <c r="AM7" s="98">
        <v>0</v>
      </c>
      <c r="AN7" s="98">
        <v>0</v>
      </c>
      <c r="AO7" s="98">
        <v>0</v>
      </c>
      <c r="AP7" s="98">
        <v>2.4360535931790489E-3</v>
      </c>
      <c r="AQ7" s="98">
        <v>0</v>
      </c>
      <c r="AR7" s="98">
        <v>4.459308807134894E-3</v>
      </c>
      <c r="AS7" s="98">
        <v>6.895362400313943E-3</v>
      </c>
      <c r="AT7" s="98">
        <v>0.8571428571428571</v>
      </c>
      <c r="AU7" s="98">
        <v>0.8075471698113208</v>
      </c>
      <c r="AV7" s="98">
        <v>0.84666666666666657</v>
      </c>
      <c r="AW7" s="98">
        <v>2.5113566936208445</v>
      </c>
      <c r="AX7" s="98">
        <v>0.50878594249201281</v>
      </c>
      <c r="AY7" s="98">
        <v>0.50878594249201281</v>
      </c>
      <c r="AZ7" s="98">
        <v>3.2325465365841941</v>
      </c>
    </row>
    <row r="8" spans="1:52" x14ac:dyDescent="0.25">
      <c r="A8" s="48" t="s">
        <v>35</v>
      </c>
      <c r="B8" s="98">
        <v>0</v>
      </c>
      <c r="C8" s="98">
        <v>0</v>
      </c>
      <c r="D8" s="98">
        <v>0</v>
      </c>
      <c r="E8" s="98">
        <v>0</v>
      </c>
      <c r="F8" s="98">
        <v>0</v>
      </c>
      <c r="G8" s="98">
        <v>0</v>
      </c>
      <c r="H8" s="98">
        <v>0</v>
      </c>
      <c r="I8" s="98">
        <v>0</v>
      </c>
      <c r="J8" s="98">
        <v>0</v>
      </c>
      <c r="K8" s="98">
        <v>0</v>
      </c>
      <c r="L8" s="98">
        <v>0</v>
      </c>
      <c r="M8" s="98">
        <v>0</v>
      </c>
      <c r="N8" s="98">
        <v>0</v>
      </c>
      <c r="O8" s="98">
        <v>0</v>
      </c>
      <c r="P8" s="98">
        <v>0</v>
      </c>
      <c r="Q8" s="98">
        <v>0</v>
      </c>
      <c r="R8" s="98">
        <v>0</v>
      </c>
      <c r="S8" s="98">
        <v>0</v>
      </c>
      <c r="T8" s="98">
        <v>0</v>
      </c>
      <c r="U8" s="98">
        <v>0</v>
      </c>
      <c r="V8" s="98">
        <v>0</v>
      </c>
      <c r="W8" s="98">
        <v>0</v>
      </c>
      <c r="X8" s="98">
        <v>0</v>
      </c>
      <c r="Y8" s="98">
        <v>0</v>
      </c>
      <c r="Z8" s="98">
        <v>0</v>
      </c>
      <c r="AA8" s="98">
        <v>0</v>
      </c>
      <c r="AB8" s="98">
        <v>0</v>
      </c>
      <c r="AC8" s="98">
        <v>0</v>
      </c>
      <c r="AD8" s="98">
        <v>0</v>
      </c>
      <c r="AE8" s="98">
        <v>0</v>
      </c>
      <c r="AF8" s="98">
        <v>0</v>
      </c>
      <c r="AG8" s="98">
        <v>0</v>
      </c>
      <c r="AH8" s="98">
        <v>0</v>
      </c>
      <c r="AI8" s="98">
        <v>0</v>
      </c>
      <c r="AJ8" s="98">
        <v>0</v>
      </c>
      <c r="AK8" s="98">
        <v>0</v>
      </c>
      <c r="AL8" s="98">
        <v>0</v>
      </c>
      <c r="AM8" s="98">
        <v>0</v>
      </c>
      <c r="AN8" s="98">
        <v>0</v>
      </c>
      <c r="AO8" s="98">
        <v>0</v>
      </c>
      <c r="AP8" s="98">
        <v>0</v>
      </c>
      <c r="AQ8" s="98">
        <v>0</v>
      </c>
      <c r="AR8" s="98">
        <v>0</v>
      </c>
      <c r="AS8" s="98">
        <v>0</v>
      </c>
      <c r="AT8" s="98">
        <v>5.1480051480051444E-3</v>
      </c>
      <c r="AU8" s="98">
        <v>1.257861635220124E-3</v>
      </c>
      <c r="AV8" s="98">
        <v>6.6666666666666628E-3</v>
      </c>
      <c r="AW8" s="98">
        <v>1.307253344989193E-2</v>
      </c>
      <c r="AX8" s="98">
        <v>0.10516506922257723</v>
      </c>
      <c r="AY8" s="98">
        <v>0.10516506922257723</v>
      </c>
      <c r="AZ8" s="98">
        <v>0.11823760267246916</v>
      </c>
    </row>
    <row r="9" spans="1:52" x14ac:dyDescent="0.25">
      <c r="A9" s="48" t="s">
        <v>22</v>
      </c>
      <c r="B9" s="98">
        <v>1.1450381679389311E-2</v>
      </c>
      <c r="C9" s="98">
        <v>1.7886178861788619E-2</v>
      </c>
      <c r="D9" s="98">
        <v>1.5698587127158558E-2</v>
      </c>
      <c r="E9" s="98">
        <v>4.5035147668336488E-2</v>
      </c>
      <c r="F9" s="98">
        <v>0</v>
      </c>
      <c r="G9" s="98">
        <v>0</v>
      </c>
      <c r="H9" s="98">
        <v>0</v>
      </c>
      <c r="I9" s="98">
        <v>0</v>
      </c>
      <c r="J9" s="98">
        <v>1.2360939431396772E-3</v>
      </c>
      <c r="K9" s="98">
        <v>1.3623978201634857E-3</v>
      </c>
      <c r="L9" s="98">
        <v>1.5898251192368821E-3</v>
      </c>
      <c r="M9" s="98">
        <v>4.1883168825400455E-3</v>
      </c>
      <c r="N9" s="98">
        <v>2.8901734104046241E-3</v>
      </c>
      <c r="O9" s="98">
        <v>4.799999999999997E-3</v>
      </c>
      <c r="P9" s="98">
        <v>4.0106951871657732E-3</v>
      </c>
      <c r="Q9" s="98">
        <v>1.1700868597570396E-2</v>
      </c>
      <c r="R9" s="98">
        <v>1.3192612137203151E-3</v>
      </c>
      <c r="S9" s="98">
        <v>3.9421813403416536E-3</v>
      </c>
      <c r="T9" s="98">
        <v>0</v>
      </c>
      <c r="U9" s="98">
        <v>5.2614425540619689E-3</v>
      </c>
      <c r="V9" s="98">
        <v>0</v>
      </c>
      <c r="W9" s="98">
        <v>0</v>
      </c>
      <c r="X9" s="98">
        <v>0</v>
      </c>
      <c r="Y9" s="98">
        <v>0</v>
      </c>
      <c r="Z9" s="98">
        <v>0.95053475935828868</v>
      </c>
      <c r="AA9" s="98">
        <v>0.89663760896637623</v>
      </c>
      <c r="AB9" s="98">
        <v>0.92753623188405776</v>
      </c>
      <c r="AC9" s="98">
        <v>2.7747086002087227</v>
      </c>
      <c r="AD9" s="98">
        <v>5.772005772005772E-3</v>
      </c>
      <c r="AE9" s="98">
        <v>0</v>
      </c>
      <c r="AF9" s="98">
        <v>1.8427518427518427E-2</v>
      </c>
      <c r="AG9" s="98">
        <v>2.4199524199524199E-2</v>
      </c>
      <c r="AH9" s="98">
        <v>6.3694267515923518E-3</v>
      </c>
      <c r="AI9" s="98">
        <v>0</v>
      </c>
      <c r="AJ9" s="98">
        <v>1.6920473773265631E-3</v>
      </c>
      <c r="AK9" s="98">
        <v>8.0614741289189145E-3</v>
      </c>
      <c r="AL9" s="98">
        <v>0</v>
      </c>
      <c r="AM9" s="98">
        <v>0</v>
      </c>
      <c r="AN9" s="98">
        <v>0</v>
      </c>
      <c r="AO9" s="98">
        <v>0</v>
      </c>
      <c r="AP9" s="98">
        <v>4.8721071863580979E-3</v>
      </c>
      <c r="AQ9" s="98">
        <v>0</v>
      </c>
      <c r="AR9" s="98">
        <v>1.1148272017837222E-3</v>
      </c>
      <c r="AS9" s="98">
        <v>5.9869343881418201E-3</v>
      </c>
      <c r="AT9" s="98">
        <v>1.9305019305019298E-2</v>
      </c>
      <c r="AU9" s="98">
        <v>2.7672955974842765E-2</v>
      </c>
      <c r="AV9" s="98">
        <v>2.4444444444444435E-2</v>
      </c>
      <c r="AW9" s="98">
        <v>7.1422419724306491E-2</v>
      </c>
      <c r="AX9" s="98">
        <v>2.5292864749733756E-2</v>
      </c>
      <c r="AY9" s="98">
        <v>2.5292864749733756E-2</v>
      </c>
      <c r="AZ9" s="98">
        <v>2.9758575931018569</v>
      </c>
    </row>
    <row r="10" spans="1:52" x14ac:dyDescent="0.25">
      <c r="A10" s="48" t="s">
        <v>23</v>
      </c>
      <c r="B10" s="98">
        <v>5.3435114503816744E-2</v>
      </c>
      <c r="C10" s="98">
        <v>0.11869918699186988</v>
      </c>
      <c r="D10" s="98">
        <v>0.20251177394034539</v>
      </c>
      <c r="E10" s="98">
        <v>0.37464607543603201</v>
      </c>
      <c r="F10" s="98">
        <v>2.0703933747411979E-3</v>
      </c>
      <c r="G10" s="98">
        <v>0</v>
      </c>
      <c r="H10" s="98">
        <v>1.7921146953405029E-3</v>
      </c>
      <c r="I10" s="98">
        <v>3.8625080700817006E-3</v>
      </c>
      <c r="J10" s="98">
        <v>0.8862793572311497</v>
      </c>
      <c r="K10" s="98">
        <v>0.82016348773841974</v>
      </c>
      <c r="L10" s="98">
        <v>0.82988871224165339</v>
      </c>
      <c r="M10" s="98">
        <v>2.5363315572112226</v>
      </c>
      <c r="N10" s="98">
        <v>7.3699421965317896E-2</v>
      </c>
      <c r="O10" s="98">
        <v>4.9599999999999998E-2</v>
      </c>
      <c r="P10" s="98">
        <v>9.3582887700534759E-2</v>
      </c>
      <c r="Q10" s="98">
        <v>0.21688230966585265</v>
      </c>
      <c r="R10" s="98">
        <v>0.11741424802110818</v>
      </c>
      <c r="S10" s="98">
        <v>0.126149802890933</v>
      </c>
      <c r="T10" s="98">
        <v>0.15309842041312272</v>
      </c>
      <c r="U10" s="98">
        <v>0.39666247132516391</v>
      </c>
      <c r="V10" s="98">
        <v>0.96142433234421376</v>
      </c>
      <c r="W10" s="98">
        <v>0.97222222222222221</v>
      </c>
      <c r="X10" s="98">
        <v>1</v>
      </c>
      <c r="Y10" s="98">
        <v>2.9336465545664359</v>
      </c>
      <c r="Z10" s="98">
        <v>1.2032085561497326E-2</v>
      </c>
      <c r="AA10" s="98">
        <v>2.9887920298879218E-2</v>
      </c>
      <c r="AB10" s="98">
        <v>1.3175230566534911E-2</v>
      </c>
      <c r="AC10" s="98">
        <v>5.5095236426911456E-2</v>
      </c>
      <c r="AD10" s="98">
        <v>7.2150072150072167E-3</v>
      </c>
      <c r="AE10" s="98">
        <v>4.9261083743842348E-3</v>
      </c>
      <c r="AF10" s="98">
        <v>2.2113022113022109E-2</v>
      </c>
      <c r="AG10" s="98">
        <v>3.4254137702413562E-2</v>
      </c>
      <c r="AH10" s="98">
        <v>2.3354564755838639E-2</v>
      </c>
      <c r="AI10" s="98">
        <v>8.3892617449664465E-3</v>
      </c>
      <c r="AJ10" s="98">
        <v>1.1844331641285956E-2</v>
      </c>
      <c r="AK10" s="98">
        <v>4.3588158142091042E-2</v>
      </c>
      <c r="AL10" s="98">
        <v>5.8252427184466028E-2</v>
      </c>
      <c r="AM10" s="98">
        <v>4.947916666666663E-2</v>
      </c>
      <c r="AN10" s="98">
        <v>1.0282776349614397E-2</v>
      </c>
      <c r="AO10" s="98">
        <v>0.11801437020074705</v>
      </c>
      <c r="AP10" s="98">
        <v>2.0706455542021919E-2</v>
      </c>
      <c r="AQ10" s="98">
        <v>1.9115890083632021E-2</v>
      </c>
      <c r="AR10" s="98">
        <v>1.4492753623188406E-2</v>
      </c>
      <c r="AS10" s="98">
        <v>5.4315099248842348E-2</v>
      </c>
      <c r="AT10" s="98">
        <v>2.5740025740025731E-2</v>
      </c>
      <c r="AU10" s="98">
        <v>2.2641509433962259E-2</v>
      </c>
      <c r="AV10" s="98">
        <v>2.1111111111111105E-2</v>
      </c>
      <c r="AW10" s="98">
        <v>6.9492646285099102E-2</v>
      </c>
      <c r="AX10" s="98">
        <v>3.9936102236421706E-3</v>
      </c>
      <c r="AY10" s="98">
        <v>3.9936102236421706E-3</v>
      </c>
      <c r="AZ10" s="98">
        <v>6.8407847345045347</v>
      </c>
    </row>
    <row r="11" spans="1:52" x14ac:dyDescent="0.25">
      <c r="A11" s="48" t="s">
        <v>177</v>
      </c>
      <c r="B11" s="98">
        <v>1.1450381679389315E-2</v>
      </c>
      <c r="C11" s="98">
        <v>9.756097560975608E-3</v>
      </c>
      <c r="D11" s="98">
        <v>9.4191522762951327E-3</v>
      </c>
      <c r="E11" s="98">
        <v>3.0625631516660055E-2</v>
      </c>
      <c r="F11" s="98">
        <v>0</v>
      </c>
      <c r="G11" s="98">
        <v>0</v>
      </c>
      <c r="H11" s="98">
        <v>0</v>
      </c>
      <c r="I11" s="98">
        <v>0</v>
      </c>
      <c r="J11" s="98">
        <v>1.2360939431396772E-3</v>
      </c>
      <c r="K11" s="98">
        <v>1.3623978201634857E-3</v>
      </c>
      <c r="L11" s="98">
        <v>3.1796502384737677E-3</v>
      </c>
      <c r="M11" s="98">
        <v>5.778142001776931E-3</v>
      </c>
      <c r="N11" s="98">
        <v>1.4450867052023136E-3</v>
      </c>
      <c r="O11" s="98">
        <v>0</v>
      </c>
      <c r="P11" s="98">
        <v>1.3368983957219233E-3</v>
      </c>
      <c r="Q11" s="98">
        <v>2.7819851009242367E-3</v>
      </c>
      <c r="R11" s="98">
        <v>2.6385224274406332E-3</v>
      </c>
      <c r="S11" s="98">
        <v>0</v>
      </c>
      <c r="T11" s="98">
        <v>1.215066828675576E-3</v>
      </c>
      <c r="U11" s="98">
        <v>3.8535892561162091E-3</v>
      </c>
      <c r="V11" s="98">
        <v>1.4836795252225531E-3</v>
      </c>
      <c r="W11" s="98">
        <v>0</v>
      </c>
      <c r="X11" s="98">
        <v>0</v>
      </c>
      <c r="Y11" s="98">
        <v>1.4836795252225531E-3</v>
      </c>
      <c r="Z11" s="98">
        <v>1.3368983957219233E-3</v>
      </c>
      <c r="AA11" s="98">
        <v>1.2453300124532992E-3</v>
      </c>
      <c r="AB11" s="98">
        <v>2.6350461133069817E-3</v>
      </c>
      <c r="AC11" s="98">
        <v>5.2172745214822038E-3</v>
      </c>
      <c r="AD11" s="98">
        <v>1.4430014430014415E-3</v>
      </c>
      <c r="AE11" s="98">
        <v>0</v>
      </c>
      <c r="AF11" s="98">
        <v>3.685503685503683E-3</v>
      </c>
      <c r="AG11" s="98">
        <v>5.1285051285051243E-3</v>
      </c>
      <c r="AH11" s="98">
        <v>2.1231422505307825E-3</v>
      </c>
      <c r="AI11" s="98">
        <v>1.6778523489932868E-3</v>
      </c>
      <c r="AJ11" s="98">
        <v>3.3840947546531297E-3</v>
      </c>
      <c r="AK11" s="98">
        <v>7.1850893541771993E-3</v>
      </c>
      <c r="AL11" s="98">
        <v>0.82200647249190939</v>
      </c>
      <c r="AM11" s="98">
        <v>0.89843750000000022</v>
      </c>
      <c r="AN11" s="98">
        <v>0.98457583547557836</v>
      </c>
      <c r="AO11" s="98">
        <v>2.7050198079674881</v>
      </c>
      <c r="AP11" s="98">
        <v>8.5261875761266735E-3</v>
      </c>
      <c r="AQ11" s="98">
        <v>9.557945041816009E-3</v>
      </c>
      <c r="AR11" s="98">
        <v>7.803790412486065E-3</v>
      </c>
      <c r="AS11" s="98">
        <v>2.5887923030428747E-2</v>
      </c>
      <c r="AT11" s="98">
        <v>2.5740025740025722E-3</v>
      </c>
      <c r="AU11" s="98">
        <v>5.0314465408805012E-3</v>
      </c>
      <c r="AV11" s="98">
        <v>0</v>
      </c>
      <c r="AW11" s="98">
        <v>7.6054491148830738E-3</v>
      </c>
      <c r="AX11" s="98">
        <v>0</v>
      </c>
      <c r="AY11" s="98">
        <v>0</v>
      </c>
      <c r="AZ11" s="98">
        <v>2.8005670765176642</v>
      </c>
    </row>
    <row r="12" spans="1:52" x14ac:dyDescent="0.25">
      <c r="A12" s="48" t="s">
        <v>175</v>
      </c>
      <c r="B12" s="98">
        <v>4.3893129770992363E-2</v>
      </c>
      <c r="C12" s="98">
        <v>9.7560975609756101E-2</v>
      </c>
      <c r="D12" s="98">
        <v>7.6923076923076802E-2</v>
      </c>
      <c r="E12" s="98">
        <v>0.21837718230382525</v>
      </c>
      <c r="F12" s="98">
        <v>4.3478260869565209E-2</v>
      </c>
      <c r="G12" s="98">
        <v>2.1390374331550804E-2</v>
      </c>
      <c r="H12" s="98">
        <v>2.3297491039426511E-2</v>
      </c>
      <c r="I12" s="98">
        <v>8.8166126240542528E-2</v>
      </c>
      <c r="J12" s="98">
        <v>0</v>
      </c>
      <c r="K12" s="98">
        <v>1.3623978201634857E-3</v>
      </c>
      <c r="L12" s="98">
        <v>3.1796502384737677E-3</v>
      </c>
      <c r="M12" s="98">
        <v>4.542048058637253E-3</v>
      </c>
      <c r="N12" s="98">
        <v>1.4450867052023125E-2</v>
      </c>
      <c r="O12" s="98">
        <v>1.2799999999999999E-2</v>
      </c>
      <c r="P12" s="98">
        <v>1.3368983957219251E-2</v>
      </c>
      <c r="Q12" s="98">
        <v>4.0619851009242376E-2</v>
      </c>
      <c r="R12" s="98">
        <v>1.3192612137203151E-3</v>
      </c>
      <c r="S12" s="98">
        <v>1.3140604467805502E-3</v>
      </c>
      <c r="T12" s="98">
        <v>0</v>
      </c>
      <c r="U12" s="98">
        <v>2.633321660500865E-3</v>
      </c>
      <c r="V12" s="98">
        <v>0</v>
      </c>
      <c r="W12" s="98">
        <v>1.388888888888887E-3</v>
      </c>
      <c r="X12" s="98">
        <v>0</v>
      </c>
      <c r="Y12" s="98">
        <v>1.388888888888887E-3</v>
      </c>
      <c r="Z12" s="98">
        <v>1.3368983957219233E-3</v>
      </c>
      <c r="AA12" s="98">
        <v>4.9813200498132022E-3</v>
      </c>
      <c r="AB12" s="98">
        <v>5.2700922266139634E-3</v>
      </c>
      <c r="AC12" s="98">
        <v>1.1588310672149089E-2</v>
      </c>
      <c r="AD12" s="98">
        <v>1.4430014430014383E-2</v>
      </c>
      <c r="AE12" s="98">
        <v>2.4630541871921187E-2</v>
      </c>
      <c r="AF12" s="98">
        <v>3.3169533169533118E-2</v>
      </c>
      <c r="AG12" s="98">
        <v>7.2230089471468695E-2</v>
      </c>
      <c r="AH12" s="98">
        <v>0.60934182590233565</v>
      </c>
      <c r="AI12" s="98">
        <v>0.74328859060402686</v>
      </c>
      <c r="AJ12" s="98">
        <v>0.52284263959390853</v>
      </c>
      <c r="AK12" s="98">
        <v>1.875473056100271</v>
      </c>
      <c r="AL12" s="98">
        <v>0</v>
      </c>
      <c r="AM12" s="98">
        <v>0</v>
      </c>
      <c r="AN12" s="98">
        <v>5.1413881748071984E-3</v>
      </c>
      <c r="AO12" s="98">
        <v>5.1413881748071984E-3</v>
      </c>
      <c r="AP12" s="98">
        <v>8.5261875761266735E-3</v>
      </c>
      <c r="AQ12" s="98">
        <v>7.1684587813620063E-3</v>
      </c>
      <c r="AR12" s="98">
        <v>5.5741360089186179E-3</v>
      </c>
      <c r="AS12" s="98">
        <v>2.12687823664073E-2</v>
      </c>
      <c r="AT12" s="98">
        <v>2.5740025740025722E-3</v>
      </c>
      <c r="AU12" s="98">
        <v>1.132075471698113E-2</v>
      </c>
      <c r="AV12" s="98">
        <v>9.999999999999995E-3</v>
      </c>
      <c r="AW12" s="98">
        <v>2.3894757290983698E-2</v>
      </c>
      <c r="AX12" s="98">
        <v>0</v>
      </c>
      <c r="AY12" s="98">
        <v>0</v>
      </c>
      <c r="AZ12" s="98">
        <v>2.3653238022377234</v>
      </c>
    </row>
    <row r="13" spans="1:52" x14ac:dyDescent="0.25">
      <c r="A13" s="48" t="s">
        <v>59</v>
      </c>
      <c r="B13" s="98">
        <v>2.4809160305343459E-2</v>
      </c>
      <c r="C13" s="98">
        <v>8.1300813008130079E-2</v>
      </c>
      <c r="D13" s="98">
        <v>0.17739403453689173</v>
      </c>
      <c r="E13" s="98">
        <v>0.28350400785036528</v>
      </c>
      <c r="F13" s="98">
        <v>4.1407867494824002E-3</v>
      </c>
      <c r="G13" s="98">
        <v>0</v>
      </c>
      <c r="H13" s="98">
        <v>1.7921146953404988E-3</v>
      </c>
      <c r="I13" s="98">
        <v>5.932901444822899E-3</v>
      </c>
      <c r="J13" s="98">
        <v>6.0568603213844253E-2</v>
      </c>
      <c r="K13" s="98">
        <v>0.14577656675749312</v>
      </c>
      <c r="L13" s="98">
        <v>9.5389507154213043E-2</v>
      </c>
      <c r="M13" s="98">
        <v>0.30173467712555041</v>
      </c>
      <c r="N13" s="98">
        <v>7.9479768786127183E-2</v>
      </c>
      <c r="O13" s="98">
        <v>1.7600000000000001E-2</v>
      </c>
      <c r="P13" s="98">
        <v>4.0106951871657748E-2</v>
      </c>
      <c r="Q13" s="98">
        <v>0.13718672065778492</v>
      </c>
      <c r="R13" s="98">
        <v>0.83377308707124009</v>
      </c>
      <c r="S13" s="98">
        <v>0.83442838370565053</v>
      </c>
      <c r="T13" s="98">
        <v>0.81166464155528562</v>
      </c>
      <c r="U13" s="98">
        <v>2.4798661123321764</v>
      </c>
      <c r="V13" s="98">
        <v>2.2255192878338277E-2</v>
      </c>
      <c r="W13" s="98">
        <v>1.1111111111111108E-2</v>
      </c>
      <c r="X13" s="98">
        <v>0</v>
      </c>
      <c r="Y13" s="98">
        <v>3.3366303989449383E-2</v>
      </c>
      <c r="Z13" s="98">
        <v>2.6737967914438497E-3</v>
      </c>
      <c r="AA13" s="98">
        <v>7.4719800747198063E-3</v>
      </c>
      <c r="AB13" s="98">
        <v>6.5876152832674553E-3</v>
      </c>
      <c r="AC13" s="98">
        <v>1.6733392149431113E-2</v>
      </c>
      <c r="AD13" s="98">
        <v>1.4430014430014415E-3</v>
      </c>
      <c r="AE13" s="98">
        <v>8.2101806239737295E-3</v>
      </c>
      <c r="AF13" s="98">
        <v>4.9140049140049121E-3</v>
      </c>
      <c r="AG13" s="98">
        <v>1.4567186980980085E-2</v>
      </c>
      <c r="AH13" s="98">
        <v>4.2462845010615693E-3</v>
      </c>
      <c r="AI13" s="98">
        <v>6.7114093959731551E-3</v>
      </c>
      <c r="AJ13" s="98">
        <v>3.3840947546531297E-3</v>
      </c>
      <c r="AK13" s="98">
        <v>1.4341788651687854E-2</v>
      </c>
      <c r="AL13" s="98">
        <v>0</v>
      </c>
      <c r="AM13" s="98">
        <v>0</v>
      </c>
      <c r="AN13" s="98">
        <v>0</v>
      </c>
      <c r="AO13" s="98">
        <v>0</v>
      </c>
      <c r="AP13" s="98">
        <v>2.1924482338611447E-2</v>
      </c>
      <c r="AQ13" s="98">
        <v>0</v>
      </c>
      <c r="AR13" s="98">
        <v>7.803790412486065E-3</v>
      </c>
      <c r="AS13" s="98">
        <v>2.9728272751097511E-2</v>
      </c>
      <c r="AT13" s="98">
        <v>0</v>
      </c>
      <c r="AU13" s="98">
        <v>2.5157232704402506E-3</v>
      </c>
      <c r="AV13" s="98">
        <v>2.2222222222222209E-3</v>
      </c>
      <c r="AW13" s="98">
        <v>4.7379454926624719E-3</v>
      </c>
      <c r="AX13" s="98">
        <v>0</v>
      </c>
      <c r="AY13" s="98">
        <v>0</v>
      </c>
      <c r="AZ13" s="98">
        <v>3.3216993094260081</v>
      </c>
    </row>
    <row r="14" spans="1:52" x14ac:dyDescent="0.25">
      <c r="A14" s="48" t="s">
        <v>36</v>
      </c>
      <c r="B14" s="98">
        <v>0</v>
      </c>
      <c r="C14" s="98">
        <v>0</v>
      </c>
      <c r="D14" s="98">
        <v>0</v>
      </c>
      <c r="E14" s="98">
        <v>0</v>
      </c>
      <c r="F14" s="98">
        <v>0</v>
      </c>
      <c r="G14" s="98">
        <v>0</v>
      </c>
      <c r="H14" s="98">
        <v>0</v>
      </c>
      <c r="I14" s="98">
        <v>0</v>
      </c>
      <c r="J14" s="98">
        <v>0</v>
      </c>
      <c r="K14" s="98">
        <v>0</v>
      </c>
      <c r="L14" s="98">
        <v>0</v>
      </c>
      <c r="M14" s="98">
        <v>0</v>
      </c>
      <c r="N14" s="98">
        <v>0.51445086705202314</v>
      </c>
      <c r="O14" s="98">
        <v>0.63040000000000007</v>
      </c>
      <c r="P14" s="98">
        <v>0.5895721925133689</v>
      </c>
      <c r="Q14" s="98">
        <v>1.7344230595653922</v>
      </c>
      <c r="R14" s="98">
        <v>0</v>
      </c>
      <c r="S14" s="98">
        <v>0</v>
      </c>
      <c r="T14" s="98">
        <v>0</v>
      </c>
      <c r="U14" s="98">
        <v>0</v>
      </c>
      <c r="V14" s="98">
        <v>0</v>
      </c>
      <c r="W14" s="98">
        <v>0</v>
      </c>
      <c r="X14" s="98">
        <v>0</v>
      </c>
      <c r="Y14" s="98">
        <v>0</v>
      </c>
      <c r="Z14" s="98">
        <v>0</v>
      </c>
      <c r="AA14" s="98">
        <v>0</v>
      </c>
      <c r="AB14" s="98">
        <v>0</v>
      </c>
      <c r="AC14" s="98">
        <v>0</v>
      </c>
      <c r="AD14" s="98">
        <v>0</v>
      </c>
      <c r="AE14" s="98">
        <v>0</v>
      </c>
      <c r="AF14" s="98">
        <v>0</v>
      </c>
      <c r="AG14" s="98">
        <v>0</v>
      </c>
      <c r="AH14" s="98">
        <v>0</v>
      </c>
      <c r="AI14" s="98">
        <v>0</v>
      </c>
      <c r="AJ14" s="98">
        <v>0</v>
      </c>
      <c r="AK14" s="98">
        <v>0</v>
      </c>
      <c r="AL14" s="98">
        <v>0</v>
      </c>
      <c r="AM14" s="98">
        <v>0</v>
      </c>
      <c r="AN14" s="98">
        <v>0</v>
      </c>
      <c r="AO14" s="98">
        <v>0</v>
      </c>
      <c r="AP14" s="98">
        <v>0</v>
      </c>
      <c r="AQ14" s="98">
        <v>0</v>
      </c>
      <c r="AR14" s="98">
        <v>0</v>
      </c>
      <c r="AS14" s="98">
        <v>0</v>
      </c>
      <c r="AT14" s="98">
        <v>0</v>
      </c>
      <c r="AU14" s="98">
        <v>0</v>
      </c>
      <c r="AV14" s="98">
        <v>0</v>
      </c>
      <c r="AW14" s="98">
        <v>0</v>
      </c>
      <c r="AX14" s="98">
        <v>0</v>
      </c>
      <c r="AY14" s="98">
        <v>0</v>
      </c>
      <c r="AZ14" s="98">
        <v>1.7344230595653922</v>
      </c>
    </row>
    <row r="15" spans="1:52" x14ac:dyDescent="0.25">
      <c r="A15" s="48" t="s">
        <v>176</v>
      </c>
      <c r="B15" s="98">
        <v>0.16984732824427479</v>
      </c>
      <c r="C15" s="98">
        <v>0.15284552845528454</v>
      </c>
      <c r="D15" s="98">
        <v>0.11616954474097331</v>
      </c>
      <c r="E15" s="98">
        <v>0.43886240144053262</v>
      </c>
      <c r="F15" s="98">
        <v>2.0703933747411979E-3</v>
      </c>
      <c r="G15" s="98">
        <v>0</v>
      </c>
      <c r="H15" s="98">
        <v>1.9713261648745515E-2</v>
      </c>
      <c r="I15" s="98">
        <v>2.1783655023486712E-2</v>
      </c>
      <c r="J15" s="98">
        <v>2.4721878862793575E-3</v>
      </c>
      <c r="K15" s="98">
        <v>0</v>
      </c>
      <c r="L15" s="98">
        <v>1.5898251192368821E-3</v>
      </c>
      <c r="M15" s="98">
        <v>4.06201300551624E-3</v>
      </c>
      <c r="N15" s="98">
        <v>1.1560693641618497E-2</v>
      </c>
      <c r="O15" s="98">
        <v>4.799999999999997E-3</v>
      </c>
      <c r="P15" s="98">
        <v>8.0213903743315516E-3</v>
      </c>
      <c r="Q15" s="98">
        <v>2.4382084015950045E-2</v>
      </c>
      <c r="R15" s="98">
        <v>1.3192612137203181E-3</v>
      </c>
      <c r="S15" s="98">
        <v>1.3140604467805532E-3</v>
      </c>
      <c r="T15" s="98">
        <v>2.4301336573511545E-3</v>
      </c>
      <c r="U15" s="98">
        <v>5.0634553178520256E-3</v>
      </c>
      <c r="V15" s="98">
        <v>1.4836795252225531E-3</v>
      </c>
      <c r="W15" s="98">
        <v>1.388888888888887E-3</v>
      </c>
      <c r="X15" s="98">
        <v>0</v>
      </c>
      <c r="Y15" s="98">
        <v>2.8725684141114403E-3</v>
      </c>
      <c r="Z15" s="98">
        <v>1.60427807486631E-2</v>
      </c>
      <c r="AA15" s="98">
        <v>2.6151930261519317E-2</v>
      </c>
      <c r="AB15" s="98">
        <v>1.9762845849802365E-2</v>
      </c>
      <c r="AC15" s="98">
        <v>6.1957556859984789E-2</v>
      </c>
      <c r="AD15" s="98">
        <v>0.91630591630591651</v>
      </c>
      <c r="AE15" s="98">
        <v>0.91461412151067323</v>
      </c>
      <c r="AF15" s="98">
        <v>0.80466830466830463</v>
      </c>
      <c r="AG15" s="98">
        <v>2.6355883424848945</v>
      </c>
      <c r="AH15" s="98">
        <v>1.0615711252653925E-2</v>
      </c>
      <c r="AI15" s="98">
        <v>3.3557046979865786E-2</v>
      </c>
      <c r="AJ15" s="98">
        <v>7.1065989847715727E-2</v>
      </c>
      <c r="AK15" s="98">
        <v>0.11523874808023543</v>
      </c>
      <c r="AL15" s="98">
        <v>6.4724919093851066E-3</v>
      </c>
      <c r="AM15" s="98">
        <v>2.6041666666666618E-3</v>
      </c>
      <c r="AN15" s="98">
        <v>0</v>
      </c>
      <c r="AO15" s="98">
        <v>9.0766585760517684E-3</v>
      </c>
      <c r="AP15" s="98">
        <v>2.4360535931790489E-3</v>
      </c>
      <c r="AQ15" s="98">
        <v>5.9737156511350071E-3</v>
      </c>
      <c r="AR15" s="98">
        <v>0</v>
      </c>
      <c r="AS15" s="98">
        <v>8.4097692443140561E-3</v>
      </c>
      <c r="AT15" s="98">
        <v>6.4350064350064328E-3</v>
      </c>
      <c r="AU15" s="98">
        <v>7.5471698113207487E-3</v>
      </c>
      <c r="AV15" s="98">
        <v>5.555555555555554E-3</v>
      </c>
      <c r="AW15" s="98">
        <v>1.9537731801882736E-2</v>
      </c>
      <c r="AX15" s="98">
        <v>5.3248136315228959E-3</v>
      </c>
      <c r="AY15" s="98">
        <v>5.3248136315228959E-3</v>
      </c>
      <c r="AZ15" s="98">
        <v>3.3521597978963356</v>
      </c>
    </row>
    <row r="16" spans="1:52" x14ac:dyDescent="0.25">
      <c r="A16" s="48" t="s">
        <v>174</v>
      </c>
      <c r="B16" s="98">
        <v>2.6717557251908396E-2</v>
      </c>
      <c r="C16" s="98">
        <v>7.4796747967479635E-2</v>
      </c>
      <c r="D16" s="98">
        <v>1.8838304552590258E-2</v>
      </c>
      <c r="E16" s="98">
        <v>0.12035260977197829</v>
      </c>
      <c r="F16" s="98">
        <v>0.94409937888198736</v>
      </c>
      <c r="G16" s="98">
        <v>0.97147950089126556</v>
      </c>
      <c r="H16" s="98">
        <v>0.93548387096774188</v>
      </c>
      <c r="I16" s="98">
        <v>2.8510627507409949</v>
      </c>
      <c r="J16" s="98">
        <v>1.2360939431396772E-3</v>
      </c>
      <c r="K16" s="98">
        <v>0</v>
      </c>
      <c r="L16" s="98">
        <v>1.1128775834658189E-2</v>
      </c>
      <c r="M16" s="98">
        <v>1.2364869777797865E-2</v>
      </c>
      <c r="N16" s="98">
        <v>0</v>
      </c>
      <c r="O16" s="98">
        <v>0</v>
      </c>
      <c r="P16" s="98">
        <v>0</v>
      </c>
      <c r="Q16" s="98">
        <v>0</v>
      </c>
      <c r="R16" s="98">
        <v>0</v>
      </c>
      <c r="S16" s="98">
        <v>0</v>
      </c>
      <c r="T16" s="98">
        <v>0</v>
      </c>
      <c r="U16" s="98">
        <v>0</v>
      </c>
      <c r="V16" s="98">
        <v>0</v>
      </c>
      <c r="W16" s="98">
        <v>0</v>
      </c>
      <c r="X16" s="98">
        <v>0</v>
      </c>
      <c r="Y16" s="98">
        <v>0</v>
      </c>
      <c r="Z16" s="98">
        <v>0</v>
      </c>
      <c r="AA16" s="98">
        <v>0</v>
      </c>
      <c r="AB16" s="98">
        <v>0</v>
      </c>
      <c r="AC16" s="98">
        <v>0</v>
      </c>
      <c r="AD16" s="98">
        <v>5.772005772005772E-3</v>
      </c>
      <c r="AE16" s="98">
        <v>0</v>
      </c>
      <c r="AF16" s="98">
        <v>3.685503685503683E-3</v>
      </c>
      <c r="AG16" s="98">
        <v>9.457509457509455E-3</v>
      </c>
      <c r="AH16" s="98">
        <v>0.2760084925690019</v>
      </c>
      <c r="AI16" s="98">
        <v>0.14261744966442957</v>
      </c>
      <c r="AJ16" s="98">
        <v>0.31979695431472072</v>
      </c>
      <c r="AK16" s="98">
        <v>0.73842289654815219</v>
      </c>
      <c r="AL16" s="98">
        <v>0</v>
      </c>
      <c r="AM16" s="98">
        <v>0</v>
      </c>
      <c r="AN16" s="98">
        <v>0</v>
      </c>
      <c r="AO16" s="98">
        <v>0</v>
      </c>
      <c r="AP16" s="98">
        <v>6.0901339829476184E-3</v>
      </c>
      <c r="AQ16" s="98">
        <v>3.5842293906810018E-3</v>
      </c>
      <c r="AR16" s="98">
        <v>1.1148272017837222E-3</v>
      </c>
      <c r="AS16" s="98">
        <v>1.0789190575412342E-2</v>
      </c>
      <c r="AT16" s="98">
        <v>1.2870012870012848E-3</v>
      </c>
      <c r="AU16" s="98">
        <v>0</v>
      </c>
      <c r="AV16" s="98">
        <v>3.3333333333333305E-3</v>
      </c>
      <c r="AW16" s="98">
        <v>4.6203346203346155E-3</v>
      </c>
      <c r="AX16" s="98">
        <v>0</v>
      </c>
      <c r="AY16" s="98">
        <v>0</v>
      </c>
      <c r="AZ16" s="98">
        <v>3.74707016149218</v>
      </c>
    </row>
    <row r="17" spans="1:55" x14ac:dyDescent="0.25">
      <c r="A17" s="48" t="s">
        <v>10</v>
      </c>
      <c r="B17" s="98">
        <v>0.62977099236641232</v>
      </c>
      <c r="C17" s="98">
        <v>0.40487804878048778</v>
      </c>
      <c r="D17" s="98">
        <v>0.3437990580847724</v>
      </c>
      <c r="E17" s="98">
        <v>1.3784480992316723</v>
      </c>
      <c r="F17" s="98">
        <v>2.0703933747411979E-3</v>
      </c>
      <c r="G17" s="98">
        <v>7.1301247771835986E-3</v>
      </c>
      <c r="H17" s="98">
        <v>1.7921146953405014E-2</v>
      </c>
      <c r="I17" s="98">
        <v>2.7121665105329811E-2</v>
      </c>
      <c r="J17" s="98">
        <v>4.4499381953028418E-2</v>
      </c>
      <c r="K17" s="98">
        <v>2.7247956403269751E-2</v>
      </c>
      <c r="L17" s="98">
        <v>5.4054054054054057E-2</v>
      </c>
      <c r="M17" s="98">
        <v>0.12580139241035221</v>
      </c>
      <c r="N17" s="98">
        <v>0.28179190751445093</v>
      </c>
      <c r="O17" s="98">
        <v>0.26079999999999992</v>
      </c>
      <c r="P17" s="98">
        <v>0.23395721925133692</v>
      </c>
      <c r="Q17" s="98">
        <v>0.7765491267657878</v>
      </c>
      <c r="R17" s="98">
        <v>4.0897097625329823E-2</v>
      </c>
      <c r="S17" s="98">
        <v>3.2851511169513799E-2</v>
      </c>
      <c r="T17" s="98">
        <v>3.1591737545565018E-2</v>
      </c>
      <c r="U17" s="98">
        <v>0.10534034634040865</v>
      </c>
      <c r="V17" s="98">
        <v>1.3353115727002958E-2</v>
      </c>
      <c r="W17" s="98">
        <v>1.3888888888888888E-2</v>
      </c>
      <c r="X17" s="98">
        <v>0</v>
      </c>
      <c r="Y17" s="98">
        <v>2.7242004615891845E-2</v>
      </c>
      <c r="Z17" s="98">
        <v>1.6042780748663093E-2</v>
      </c>
      <c r="AA17" s="98">
        <v>3.2378580323785794E-2</v>
      </c>
      <c r="AB17" s="98">
        <v>2.5032938076416322E-2</v>
      </c>
      <c r="AC17" s="98">
        <v>7.3454299148865212E-2</v>
      </c>
      <c r="AD17" s="98">
        <v>4.3290043290043302E-2</v>
      </c>
      <c r="AE17" s="98">
        <v>4.597701149425288E-2</v>
      </c>
      <c r="AF17" s="98">
        <v>0.10073710073710072</v>
      </c>
      <c r="AG17" s="98">
        <v>0.19000415552139691</v>
      </c>
      <c r="AH17" s="98">
        <v>6.157112526539274E-2</v>
      </c>
      <c r="AI17" s="98">
        <v>5.7046979865771806E-2</v>
      </c>
      <c r="AJ17" s="98">
        <v>6.0913705583756313E-2</v>
      </c>
      <c r="AK17" s="98">
        <v>0.17953181071492086</v>
      </c>
      <c r="AL17" s="98">
        <v>0.11326860841423951</v>
      </c>
      <c r="AM17" s="98">
        <v>4.9479166666666421E-2</v>
      </c>
      <c r="AN17" s="98">
        <v>0</v>
      </c>
      <c r="AO17" s="98">
        <v>0.16274777508090593</v>
      </c>
      <c r="AP17" s="98">
        <v>6.0901339829476243E-2</v>
      </c>
      <c r="AQ17" s="98">
        <v>0.10513739545997608</v>
      </c>
      <c r="AR17" s="98">
        <v>8.0267558528428096E-2</v>
      </c>
      <c r="AS17" s="98">
        <v>0.24630629381788041</v>
      </c>
      <c r="AT17" s="98">
        <v>4.7619047619047589E-2</v>
      </c>
      <c r="AU17" s="98">
        <v>0.11446540880503139</v>
      </c>
      <c r="AV17" s="98">
        <v>7.999999999999996E-2</v>
      </c>
      <c r="AW17" s="98">
        <v>0.24208445642407894</v>
      </c>
      <c r="AX17" s="98">
        <v>0.3514376996805112</v>
      </c>
      <c r="AY17" s="98">
        <v>0.3514376996805112</v>
      </c>
      <c r="AZ17" s="98">
        <v>3.8860691248580017</v>
      </c>
    </row>
    <row r="18" spans="1:55" x14ac:dyDescent="0.25">
      <c r="A18" s="48" t="s">
        <v>28</v>
      </c>
      <c r="B18">
        <v>1</v>
      </c>
      <c r="C18">
        <v>0.99999999999999978</v>
      </c>
      <c r="D18">
        <v>1</v>
      </c>
      <c r="E18" s="67">
        <v>2.9999999999999996</v>
      </c>
      <c r="F18">
        <v>0.99999999999999978</v>
      </c>
      <c r="G18">
        <v>0.99999999999999989</v>
      </c>
      <c r="H18">
        <v>0.99999999999999989</v>
      </c>
      <c r="I18" s="67">
        <v>2.9999999999999996</v>
      </c>
      <c r="J18">
        <v>1.0000000000000002</v>
      </c>
      <c r="K18">
        <v>1</v>
      </c>
      <c r="L18">
        <v>1</v>
      </c>
      <c r="M18" s="67">
        <v>3.0000000000000004</v>
      </c>
      <c r="N18">
        <v>1</v>
      </c>
      <c r="O18">
        <v>1</v>
      </c>
      <c r="P18">
        <v>1</v>
      </c>
      <c r="Q18" s="67">
        <v>3</v>
      </c>
      <c r="R18">
        <v>0.99999999999999989</v>
      </c>
      <c r="S18">
        <v>1</v>
      </c>
      <c r="T18">
        <v>1</v>
      </c>
      <c r="U18" s="67">
        <v>3.0000000000000004</v>
      </c>
      <c r="V18">
        <v>1.0000000000000002</v>
      </c>
      <c r="W18">
        <v>0.99999999999999989</v>
      </c>
      <c r="X18">
        <v>1</v>
      </c>
      <c r="Y18" s="67">
        <v>3</v>
      </c>
      <c r="Z18">
        <v>0.99999999999999989</v>
      </c>
      <c r="AA18">
        <v>1.0000000000000002</v>
      </c>
      <c r="AB18">
        <v>0.99999999999999978</v>
      </c>
      <c r="AC18" s="67">
        <v>2.9999999999999996</v>
      </c>
      <c r="AD18">
        <v>1.0000000000000002</v>
      </c>
      <c r="AE18">
        <v>1</v>
      </c>
      <c r="AF18">
        <v>0.99999999999999989</v>
      </c>
      <c r="AG18" s="67">
        <v>3</v>
      </c>
      <c r="AH18">
        <v>1</v>
      </c>
      <c r="AI18">
        <v>1.0000000000000002</v>
      </c>
      <c r="AJ18">
        <v>0.99999999999999978</v>
      </c>
      <c r="AK18" s="67">
        <v>2.9999999999999996</v>
      </c>
      <c r="AL18">
        <v>1</v>
      </c>
      <c r="AM18">
        <v>0.99999999999999989</v>
      </c>
      <c r="AN18">
        <v>1</v>
      </c>
      <c r="AO18" s="67">
        <v>3</v>
      </c>
      <c r="AP18">
        <v>0.99999999999999978</v>
      </c>
      <c r="AQ18">
        <v>1</v>
      </c>
      <c r="AR18">
        <v>0.99999999999999978</v>
      </c>
      <c r="AS18" s="67">
        <v>2.9999999999999996</v>
      </c>
      <c r="AT18">
        <v>0.99999999999999978</v>
      </c>
      <c r="AU18">
        <v>1</v>
      </c>
      <c r="AV18">
        <v>0.99999999999999989</v>
      </c>
      <c r="AW18" s="67">
        <v>2.9999999999999991</v>
      </c>
      <c r="AX18">
        <v>1.0000000000000002</v>
      </c>
      <c r="AY18" s="67">
        <v>1.0000000000000002</v>
      </c>
      <c r="AZ18">
        <v>37.000000000000007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T18"/>
  <sheetViews>
    <sheetView topLeftCell="D1" workbookViewId="0">
      <selection activeCell="AU20" sqref="AU20:BB25"/>
    </sheetView>
  </sheetViews>
  <sheetFormatPr baseColWidth="10" defaultRowHeight="15" x14ac:dyDescent="0.25"/>
  <cols>
    <col min="1" max="1" width="54.85546875" bestFit="1" customWidth="1"/>
    <col min="2" max="2" width="23.85546875" bestFit="1" customWidth="1"/>
    <col min="3" max="3" width="24" bestFit="1" customWidth="1"/>
    <col min="4" max="4" width="21.5703125" bestFit="1" customWidth="1"/>
    <col min="5" max="5" width="24" bestFit="1" customWidth="1"/>
    <col min="6" max="6" width="17.5703125" bestFit="1" customWidth="1"/>
    <col min="7" max="7" width="20" bestFit="1" customWidth="1"/>
    <col min="8" max="8" width="17.5703125" bestFit="1" customWidth="1"/>
    <col min="9" max="9" width="20" bestFit="1" customWidth="1"/>
    <col min="10" max="10" width="20.140625" bestFit="1" customWidth="1"/>
    <col min="11" max="11" width="23.140625" bestFit="1" customWidth="1"/>
    <col min="12" max="12" width="17.140625" bestFit="1" customWidth="1"/>
    <col min="13" max="13" width="20" bestFit="1" customWidth="1"/>
    <col min="14" max="14" width="20.140625" bestFit="1" customWidth="1"/>
    <col min="15" max="15" width="23.140625" bestFit="1" customWidth="1"/>
    <col min="16" max="16" width="17.140625" bestFit="1" customWidth="1"/>
    <col min="17" max="17" width="20" bestFit="1" customWidth="1"/>
    <col min="18" max="18" width="17.5703125" bestFit="1" customWidth="1"/>
    <col min="19" max="19" width="20" bestFit="1" customWidth="1"/>
    <col min="20" max="20" width="17.5703125" bestFit="1" customWidth="1"/>
    <col min="21" max="21" width="20" bestFit="1" customWidth="1"/>
    <col min="22" max="22" width="17.5703125" bestFit="1" customWidth="1"/>
    <col min="23" max="23" width="20" bestFit="1" customWidth="1"/>
    <col min="24" max="24" width="23.28515625" bestFit="1" customWidth="1"/>
    <col min="25" max="25" width="26.140625" bestFit="1" customWidth="1"/>
    <col min="26" max="26" width="17.140625" bestFit="1" customWidth="1"/>
    <col min="27" max="27" width="20" bestFit="1" customWidth="1"/>
    <col min="28" max="28" width="17.140625" bestFit="1" customWidth="1"/>
    <col min="29" max="29" width="20" bestFit="1" customWidth="1"/>
    <col min="30" max="30" width="17.140625" bestFit="1" customWidth="1"/>
    <col min="31" max="31" width="20" bestFit="1" customWidth="1"/>
    <col min="32" max="32" width="17.140625" bestFit="1" customWidth="1"/>
    <col min="33" max="33" width="20" bestFit="1" customWidth="1"/>
    <col min="34" max="34" width="17.140625" bestFit="1" customWidth="1"/>
    <col min="35" max="35" width="20" bestFit="1" customWidth="1"/>
    <col min="36" max="36" width="17.5703125" bestFit="1" customWidth="1"/>
    <col min="37" max="37" width="20" bestFit="1" customWidth="1"/>
    <col min="38" max="38" width="17.5703125" bestFit="1" customWidth="1"/>
    <col min="39" max="39" width="20" bestFit="1" customWidth="1"/>
    <col min="40" max="40" width="20.140625" bestFit="1" customWidth="1"/>
    <col min="41" max="41" width="23.140625" bestFit="1" customWidth="1"/>
    <col min="42" max="42" width="20.140625" bestFit="1" customWidth="1"/>
    <col min="43" max="43" width="23.140625" bestFit="1" customWidth="1"/>
    <col min="44" max="44" width="20.140625" bestFit="1" customWidth="1"/>
    <col min="45" max="45" width="23.140625" bestFit="1" customWidth="1"/>
    <col min="46" max="46" width="12.57031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236</v>
      </c>
      <c r="C4" t="s">
        <v>251</v>
      </c>
      <c r="D4" t="s">
        <v>238</v>
      </c>
      <c r="E4" t="s">
        <v>252</v>
      </c>
      <c r="F4" t="s">
        <v>244</v>
      </c>
      <c r="G4" t="s">
        <v>253</v>
      </c>
      <c r="H4" t="s">
        <v>246</v>
      </c>
      <c r="I4" t="s">
        <v>254</v>
      </c>
      <c r="J4" t="s">
        <v>307</v>
      </c>
      <c r="K4" t="s">
        <v>324</v>
      </c>
      <c r="L4" t="s">
        <v>309</v>
      </c>
      <c r="M4" t="s">
        <v>325</v>
      </c>
      <c r="N4" t="s">
        <v>305</v>
      </c>
      <c r="O4" t="s">
        <v>323</v>
      </c>
      <c r="P4" t="s">
        <v>303</v>
      </c>
      <c r="Q4" t="s">
        <v>322</v>
      </c>
      <c r="R4" t="s">
        <v>263</v>
      </c>
      <c r="S4" t="s">
        <v>311</v>
      </c>
      <c r="T4" t="s">
        <v>267</v>
      </c>
      <c r="U4" t="s">
        <v>312</v>
      </c>
      <c r="V4" t="s">
        <v>261</v>
      </c>
      <c r="W4" t="s">
        <v>310</v>
      </c>
      <c r="X4" t="s">
        <v>293</v>
      </c>
      <c r="Y4" t="s">
        <v>317</v>
      </c>
      <c r="Z4" t="s">
        <v>301</v>
      </c>
      <c r="AA4" t="s">
        <v>321</v>
      </c>
      <c r="AB4" t="s">
        <v>298</v>
      </c>
      <c r="AC4" t="s">
        <v>320</v>
      </c>
      <c r="AD4" t="s">
        <v>290</v>
      </c>
      <c r="AE4" t="s">
        <v>318</v>
      </c>
      <c r="AF4" t="s">
        <v>295</v>
      </c>
      <c r="AG4" t="s">
        <v>319</v>
      </c>
      <c r="AH4" t="s">
        <v>284</v>
      </c>
      <c r="AI4" t="s">
        <v>316</v>
      </c>
      <c r="AJ4" t="s">
        <v>248</v>
      </c>
      <c r="AK4" t="s">
        <v>255</v>
      </c>
      <c r="AL4" t="s">
        <v>250</v>
      </c>
      <c r="AM4" t="s">
        <v>256</v>
      </c>
      <c r="AN4" t="s">
        <v>271</v>
      </c>
      <c r="AO4" t="s">
        <v>313</v>
      </c>
      <c r="AP4" t="s">
        <v>276</v>
      </c>
      <c r="AQ4" t="s">
        <v>315</v>
      </c>
      <c r="AR4" t="s">
        <v>274</v>
      </c>
      <c r="AS4" t="s">
        <v>314</v>
      </c>
      <c r="AT4" t="s">
        <v>28</v>
      </c>
    </row>
    <row r="5" spans="1:72" x14ac:dyDescent="0.25">
      <c r="A5" s="47" t="s">
        <v>27</v>
      </c>
      <c r="B5" t="s">
        <v>235</v>
      </c>
      <c r="D5" t="s">
        <v>237</v>
      </c>
      <c r="F5" t="s">
        <v>243</v>
      </c>
      <c r="H5" t="s">
        <v>245</v>
      </c>
      <c r="J5" t="s">
        <v>306</v>
      </c>
      <c r="L5" t="s">
        <v>308</v>
      </c>
      <c r="N5" t="s">
        <v>304</v>
      </c>
      <c r="P5" t="s">
        <v>302</v>
      </c>
      <c r="R5" t="s">
        <v>262</v>
      </c>
      <c r="T5" t="s">
        <v>266</v>
      </c>
      <c r="V5" t="s">
        <v>260</v>
      </c>
      <c r="X5" t="s">
        <v>292</v>
      </c>
      <c r="Z5" t="s">
        <v>300</v>
      </c>
      <c r="AB5" t="s">
        <v>297</v>
      </c>
      <c r="AD5" t="s">
        <v>289</v>
      </c>
      <c r="AF5" t="s">
        <v>294</v>
      </c>
      <c r="AH5" t="s">
        <v>283</v>
      </c>
      <c r="AJ5" t="s">
        <v>247</v>
      </c>
      <c r="AL5" t="s">
        <v>249</v>
      </c>
      <c r="AN5" t="s">
        <v>270</v>
      </c>
      <c r="AP5" t="s">
        <v>275</v>
      </c>
      <c r="AR5" t="s">
        <v>273</v>
      </c>
    </row>
    <row r="6" spans="1:72" s="90" customFormat="1" x14ac:dyDescent="0.25">
      <c r="A6" s="92" t="s">
        <v>38</v>
      </c>
      <c r="B6" s="90">
        <v>7.0052539404553442E-3</v>
      </c>
      <c r="C6" s="90">
        <v>7.0052539404553442E-3</v>
      </c>
      <c r="D6" s="90">
        <v>0</v>
      </c>
      <c r="E6" s="90">
        <v>0</v>
      </c>
      <c r="F6" s="90">
        <v>3.9682539682539732E-3</v>
      </c>
      <c r="G6" s="90">
        <v>3.9682539682539732E-3</v>
      </c>
      <c r="H6" s="90">
        <v>1.0736196319018404E-2</v>
      </c>
      <c r="I6" s="90">
        <v>1.0736196319018404E-2</v>
      </c>
      <c r="J6" s="90">
        <v>0</v>
      </c>
      <c r="K6" s="90">
        <v>0</v>
      </c>
      <c r="L6" s="90">
        <v>0</v>
      </c>
      <c r="M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s="90">
        <v>0</v>
      </c>
      <c r="AJ6" s="90">
        <v>0</v>
      </c>
      <c r="AK6" s="90">
        <v>0</v>
      </c>
      <c r="AL6" s="90">
        <v>0</v>
      </c>
      <c r="AM6" s="90">
        <v>0</v>
      </c>
      <c r="AN6" s="90">
        <v>0</v>
      </c>
      <c r="AO6" s="90">
        <v>0</v>
      </c>
      <c r="AP6" s="90">
        <v>0</v>
      </c>
      <c r="AQ6" s="90">
        <v>0</v>
      </c>
      <c r="AR6" s="90">
        <v>0</v>
      </c>
      <c r="AS6" s="90">
        <v>0</v>
      </c>
      <c r="AT6" s="90">
        <v>2.1709704227727722E-2</v>
      </c>
      <c r="AU6"/>
      <c r="AV6"/>
      <c r="AW6"/>
      <c r="AX6"/>
      <c r="AY6"/>
      <c r="AZ6"/>
      <c r="BA6"/>
      <c r="BB6"/>
      <c r="BC6"/>
      <c r="BD6"/>
      <c r="BE6"/>
      <c r="BF6"/>
      <c r="BG6"/>
      <c r="BH6"/>
      <c r="BI6"/>
      <c r="BJ6"/>
      <c r="BK6"/>
      <c r="BL6"/>
      <c r="BM6"/>
      <c r="BN6"/>
      <c r="BO6"/>
      <c r="BP6"/>
      <c r="BQ6"/>
      <c r="BR6"/>
      <c r="BS6"/>
      <c r="BT6"/>
    </row>
    <row r="7" spans="1:72" s="90" customFormat="1" x14ac:dyDescent="0.25">
      <c r="A7" s="92" t="s">
        <v>34</v>
      </c>
      <c r="B7" s="90">
        <v>1.9264448336252196E-2</v>
      </c>
      <c r="C7" s="90">
        <v>1.9264448336252196E-2</v>
      </c>
      <c r="D7" s="90">
        <v>1.9531249999999976E-3</v>
      </c>
      <c r="E7" s="90">
        <v>1.9531249999999976E-3</v>
      </c>
      <c r="F7" s="90">
        <v>0</v>
      </c>
      <c r="G7" s="90">
        <v>0</v>
      </c>
      <c r="H7" s="90">
        <v>1.5337423312883414E-3</v>
      </c>
      <c r="I7" s="90">
        <v>1.5337423312883414E-3</v>
      </c>
      <c r="J7" s="90">
        <v>0</v>
      </c>
      <c r="K7" s="90">
        <v>0</v>
      </c>
      <c r="L7" s="90">
        <v>0</v>
      </c>
      <c r="M7" s="90">
        <v>0</v>
      </c>
      <c r="N7" s="90">
        <v>0</v>
      </c>
      <c r="O7" s="90">
        <v>0</v>
      </c>
      <c r="P7" s="90">
        <v>0</v>
      </c>
      <c r="Q7" s="90">
        <v>0</v>
      </c>
      <c r="R7" s="90">
        <v>1.3513513513513504E-2</v>
      </c>
      <c r="S7" s="90">
        <v>1.3513513513513504E-2</v>
      </c>
      <c r="T7" s="90">
        <v>1.7684887459807081E-2</v>
      </c>
      <c r="U7" s="90">
        <v>1.7684887459807081E-2</v>
      </c>
      <c r="V7" s="90">
        <v>8.1967213114754137E-3</v>
      </c>
      <c r="W7" s="90">
        <v>8.1967213114754137E-3</v>
      </c>
      <c r="X7" s="90">
        <v>0</v>
      </c>
      <c r="Y7" s="90">
        <v>0</v>
      </c>
      <c r="Z7" s="90">
        <v>0</v>
      </c>
      <c r="AA7" s="90">
        <v>0</v>
      </c>
      <c r="AB7" s="90">
        <v>1.9943019943019946E-2</v>
      </c>
      <c r="AC7" s="90">
        <v>1.9943019943019946E-2</v>
      </c>
      <c r="AD7" s="90">
        <v>9.7087378640776743E-3</v>
      </c>
      <c r="AE7" s="90">
        <v>9.7087378640776743E-3</v>
      </c>
      <c r="AF7" s="90">
        <v>0</v>
      </c>
      <c r="AG7" s="90">
        <v>0</v>
      </c>
      <c r="AH7" s="90">
        <v>0</v>
      </c>
      <c r="AI7" s="90">
        <v>0</v>
      </c>
      <c r="AJ7" s="90">
        <v>0</v>
      </c>
      <c r="AK7" s="90">
        <v>0</v>
      </c>
      <c r="AL7" s="90">
        <v>3.2258064516129073E-2</v>
      </c>
      <c r="AM7" s="90">
        <v>3.2258064516129073E-2</v>
      </c>
      <c r="AN7" s="90">
        <v>4.8780487804878057E-3</v>
      </c>
      <c r="AO7" s="90">
        <v>4.8780487804878057E-3</v>
      </c>
      <c r="AP7" s="90">
        <v>1.0245901639344268E-2</v>
      </c>
      <c r="AQ7" s="90">
        <v>1.0245901639344268E-2</v>
      </c>
      <c r="AR7" s="90">
        <v>0</v>
      </c>
      <c r="AS7" s="90">
        <v>0</v>
      </c>
      <c r="AT7" s="90">
        <v>0.13918021069539532</v>
      </c>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s="90">
        <v>0</v>
      </c>
      <c r="AJ8" s="90">
        <v>1.3513513513513523E-2</v>
      </c>
      <c r="AK8" s="90">
        <v>1.3513513513513523E-2</v>
      </c>
      <c r="AL8" s="90">
        <v>0</v>
      </c>
      <c r="AM8" s="90">
        <v>0</v>
      </c>
      <c r="AN8" s="90">
        <v>0</v>
      </c>
      <c r="AO8" s="90">
        <v>0</v>
      </c>
      <c r="AP8" s="90">
        <v>0</v>
      </c>
      <c r="AQ8" s="90">
        <v>0</v>
      </c>
      <c r="AR8" s="90">
        <v>0</v>
      </c>
      <c r="AS8" s="90">
        <v>0</v>
      </c>
      <c r="AT8" s="90">
        <v>1.3513513513513523E-2</v>
      </c>
      <c r="AU8"/>
      <c r="AV8"/>
      <c r="AW8"/>
      <c r="AX8"/>
      <c r="AY8"/>
      <c r="AZ8"/>
      <c r="BA8"/>
      <c r="BB8"/>
      <c r="BC8"/>
      <c r="BD8"/>
      <c r="BE8"/>
      <c r="BF8"/>
      <c r="BG8"/>
      <c r="BH8"/>
      <c r="BI8"/>
      <c r="BJ8"/>
      <c r="BK8"/>
      <c r="BL8"/>
      <c r="BM8"/>
      <c r="BN8"/>
      <c r="BO8"/>
      <c r="BP8"/>
      <c r="BQ8"/>
      <c r="BR8"/>
      <c r="BS8"/>
      <c r="BT8"/>
    </row>
    <row r="9" spans="1:72" s="90" customFormat="1" x14ac:dyDescent="0.25">
      <c r="A9" s="92" t="s">
        <v>22</v>
      </c>
      <c r="B9" s="90">
        <v>2.2767075306479864E-2</v>
      </c>
      <c r="C9" s="90">
        <v>2.2767075306479864E-2</v>
      </c>
      <c r="D9" s="90">
        <v>1.9531250000000004E-3</v>
      </c>
      <c r="E9" s="90">
        <v>1.9531250000000004E-3</v>
      </c>
      <c r="F9" s="90">
        <v>3.9682539682539646E-3</v>
      </c>
      <c r="G9" s="90">
        <v>3.9682539682539646E-3</v>
      </c>
      <c r="H9" s="90">
        <v>1.5337423312883414E-3</v>
      </c>
      <c r="I9" s="90">
        <v>1.5337423312883414E-3</v>
      </c>
      <c r="J9" s="90">
        <v>0</v>
      </c>
      <c r="K9" s="90">
        <v>0</v>
      </c>
      <c r="L9" s="90">
        <v>0</v>
      </c>
      <c r="M9" s="90">
        <v>0</v>
      </c>
      <c r="N9" s="90">
        <v>0</v>
      </c>
      <c r="O9" s="90">
        <v>0</v>
      </c>
      <c r="P9" s="90">
        <v>0</v>
      </c>
      <c r="Q9" s="90">
        <v>0</v>
      </c>
      <c r="R9" s="90">
        <v>0</v>
      </c>
      <c r="S9" s="90">
        <v>0</v>
      </c>
      <c r="T9" s="90">
        <v>1.1254019292604505E-2</v>
      </c>
      <c r="U9" s="90">
        <v>1.1254019292604505E-2</v>
      </c>
      <c r="V9" s="90">
        <v>0.19262295081967207</v>
      </c>
      <c r="W9" s="90">
        <v>0.19262295081967207</v>
      </c>
      <c r="X9" s="90">
        <v>4.2553191489361701E-2</v>
      </c>
      <c r="Y9" s="90">
        <v>4.2553191489361701E-2</v>
      </c>
      <c r="Z9" s="90">
        <v>0</v>
      </c>
      <c r="AA9" s="90">
        <v>0</v>
      </c>
      <c r="AB9" s="90">
        <v>0</v>
      </c>
      <c r="AC9" s="90">
        <v>0</v>
      </c>
      <c r="AD9" s="90">
        <v>0</v>
      </c>
      <c r="AE9" s="90">
        <v>0</v>
      </c>
      <c r="AF9" s="90">
        <v>9.9009900990099011E-3</v>
      </c>
      <c r="AG9" s="90">
        <v>9.9009900990099011E-3</v>
      </c>
      <c r="AH9" s="90">
        <v>0.73529411764705899</v>
      </c>
      <c r="AI9" s="90">
        <v>0.73529411764705899</v>
      </c>
      <c r="AJ9" s="90">
        <v>0</v>
      </c>
      <c r="AK9" s="90">
        <v>0</v>
      </c>
      <c r="AL9" s="90">
        <v>0</v>
      </c>
      <c r="AM9" s="90">
        <v>0</v>
      </c>
      <c r="AN9" s="90">
        <v>1.9512195121951219E-2</v>
      </c>
      <c r="AO9" s="90">
        <v>1.9512195121951219E-2</v>
      </c>
      <c r="AP9" s="90">
        <v>2.0491803278688508E-3</v>
      </c>
      <c r="AQ9" s="90">
        <v>2.0491803278688508E-3</v>
      </c>
      <c r="AR9" s="90">
        <v>0</v>
      </c>
      <c r="AS9" s="90">
        <v>0</v>
      </c>
      <c r="AT9" s="90">
        <v>1.0434088414035494</v>
      </c>
      <c r="AU9"/>
      <c r="AV9"/>
      <c r="AW9"/>
      <c r="AX9"/>
      <c r="AY9"/>
      <c r="AZ9"/>
      <c r="BA9"/>
      <c r="BB9"/>
      <c r="BC9"/>
      <c r="BD9"/>
      <c r="BE9"/>
      <c r="BF9"/>
      <c r="BG9"/>
      <c r="BH9"/>
      <c r="BI9"/>
      <c r="BJ9"/>
      <c r="BK9"/>
      <c r="BL9"/>
      <c r="BM9"/>
      <c r="BN9"/>
      <c r="BO9"/>
      <c r="BP9"/>
      <c r="BQ9"/>
      <c r="BR9"/>
      <c r="BS9"/>
      <c r="BT9"/>
    </row>
    <row r="10" spans="1:72" s="90" customFormat="1" x14ac:dyDescent="0.25">
      <c r="A10" s="92" t="s">
        <v>23</v>
      </c>
      <c r="B10" s="90">
        <v>0.1225919439579685</v>
      </c>
      <c r="C10" s="90">
        <v>0.1225919439579685</v>
      </c>
      <c r="D10" s="90">
        <v>0.28515624999999989</v>
      </c>
      <c r="E10" s="90">
        <v>0.28515624999999989</v>
      </c>
      <c r="F10" s="90">
        <v>0.7777777777777779</v>
      </c>
      <c r="G10" s="90">
        <v>0.7777777777777779</v>
      </c>
      <c r="H10" s="90">
        <v>0.19018404907975447</v>
      </c>
      <c r="I10" s="90">
        <v>0.19018404907975447</v>
      </c>
      <c r="J10" s="90">
        <v>0.15789473684210534</v>
      </c>
      <c r="K10" s="90">
        <v>0.15789473684210534</v>
      </c>
      <c r="L10" s="90">
        <v>0.83886255924170616</v>
      </c>
      <c r="M10" s="90">
        <v>0.83886255924170616</v>
      </c>
      <c r="N10" s="90">
        <v>0.10000000000000012</v>
      </c>
      <c r="O10" s="90">
        <v>0.10000000000000012</v>
      </c>
      <c r="P10" s="90">
        <v>0.25675675675675669</v>
      </c>
      <c r="Q10" s="90">
        <v>0.25675675675675669</v>
      </c>
      <c r="R10" s="90">
        <v>1.3513513513513523E-2</v>
      </c>
      <c r="S10" s="90">
        <v>1.3513513513513523E-2</v>
      </c>
      <c r="T10" s="90">
        <v>0.26205787781350492</v>
      </c>
      <c r="U10" s="90">
        <v>0.26205787781350492</v>
      </c>
      <c r="V10" s="90">
        <v>6.5573770491803324E-2</v>
      </c>
      <c r="W10" s="90">
        <v>6.5573770491803324E-2</v>
      </c>
      <c r="X10" s="90">
        <v>0.19148936170212766</v>
      </c>
      <c r="Y10" s="90">
        <v>0.19148936170212766</v>
      </c>
      <c r="Z10" s="90">
        <v>0</v>
      </c>
      <c r="AA10" s="90">
        <v>0</v>
      </c>
      <c r="AB10" s="90">
        <v>0.4586894586894586</v>
      </c>
      <c r="AC10" s="90">
        <v>0.4586894586894586</v>
      </c>
      <c r="AD10" s="90">
        <v>0</v>
      </c>
      <c r="AE10" s="90">
        <v>0</v>
      </c>
      <c r="AF10" s="90">
        <v>3.9603960396039598E-2</v>
      </c>
      <c r="AG10" s="90">
        <v>3.9603960396039598E-2</v>
      </c>
      <c r="AH10" s="90">
        <v>0.11764705882352941</v>
      </c>
      <c r="AI10" s="90">
        <v>0.11764705882352941</v>
      </c>
      <c r="AJ10" s="90">
        <v>0</v>
      </c>
      <c r="AK10" s="90">
        <v>0</v>
      </c>
      <c r="AL10" s="90">
        <v>0</v>
      </c>
      <c r="AM10" s="90">
        <v>0</v>
      </c>
      <c r="AN10" s="90">
        <v>3.9024390243902439E-2</v>
      </c>
      <c r="AO10" s="90">
        <v>3.9024390243902439E-2</v>
      </c>
      <c r="AP10" s="90">
        <v>0.33606557377049184</v>
      </c>
      <c r="AQ10" s="90">
        <v>0.33606557377049184</v>
      </c>
      <c r="AR10" s="90">
        <v>0.5842105263157894</v>
      </c>
      <c r="AS10" s="90">
        <v>0.5842105263157894</v>
      </c>
      <c r="AT10" s="90">
        <v>4.8370995654162297</v>
      </c>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8.4063047285464071E-2</v>
      </c>
      <c r="C11" s="90">
        <v>8.4063047285464071E-2</v>
      </c>
      <c r="D11" s="90">
        <v>1.9531249999999976E-3</v>
      </c>
      <c r="E11" s="90">
        <v>1.9531249999999976E-3</v>
      </c>
      <c r="F11" s="90">
        <v>3.9682539682538856E-3</v>
      </c>
      <c r="G11" s="90">
        <v>3.9682539682538856E-3</v>
      </c>
      <c r="H11" s="90">
        <v>3.0674846625766863E-3</v>
      </c>
      <c r="I11" s="90">
        <v>3.0674846625766863E-3</v>
      </c>
      <c r="J11" s="90">
        <v>5.2631578947368363E-2</v>
      </c>
      <c r="K11" s="90">
        <v>5.2631578947368363E-2</v>
      </c>
      <c r="L11" s="90">
        <v>0</v>
      </c>
      <c r="M11" s="90">
        <v>0</v>
      </c>
      <c r="N11" s="90">
        <v>0</v>
      </c>
      <c r="O11" s="90">
        <v>0</v>
      </c>
      <c r="P11" s="90">
        <v>0</v>
      </c>
      <c r="Q11" s="90">
        <v>0</v>
      </c>
      <c r="R11" s="90">
        <v>0</v>
      </c>
      <c r="S11" s="90">
        <v>0</v>
      </c>
      <c r="T11" s="90">
        <v>6.4308681672025731E-3</v>
      </c>
      <c r="U11" s="90">
        <v>6.4308681672025731E-3</v>
      </c>
      <c r="V11" s="90">
        <v>3.2786885245901544E-2</v>
      </c>
      <c r="W11" s="90">
        <v>3.2786885245901544E-2</v>
      </c>
      <c r="X11" s="90">
        <v>0</v>
      </c>
      <c r="Y11" s="90">
        <v>0</v>
      </c>
      <c r="Z11" s="90">
        <v>0</v>
      </c>
      <c r="AA11" s="90">
        <v>0</v>
      </c>
      <c r="AB11" s="90">
        <v>2.5641025641025605E-2</v>
      </c>
      <c r="AC11" s="90">
        <v>2.5641025641025605E-2</v>
      </c>
      <c r="AD11" s="90">
        <v>0</v>
      </c>
      <c r="AE11" s="90">
        <v>0</v>
      </c>
      <c r="AF11" s="90">
        <v>2.9702970297029688E-2</v>
      </c>
      <c r="AG11" s="90">
        <v>2.9702970297029688E-2</v>
      </c>
      <c r="AH11" s="90">
        <v>0</v>
      </c>
      <c r="AI11" s="90">
        <v>0</v>
      </c>
      <c r="AJ11" s="90">
        <v>4.0540540540540619E-2</v>
      </c>
      <c r="AK11" s="90">
        <v>4.0540540540540619E-2</v>
      </c>
      <c r="AL11" s="90">
        <v>0.61290322580645185</v>
      </c>
      <c r="AM11" s="90">
        <v>0.61290322580645185</v>
      </c>
      <c r="AN11" s="90">
        <v>0.13658536585365841</v>
      </c>
      <c r="AO11" s="90">
        <v>0.13658536585365841</v>
      </c>
      <c r="AP11" s="90">
        <v>6.1475409836065573E-3</v>
      </c>
      <c r="AQ11" s="90">
        <v>6.1475409836065573E-3</v>
      </c>
      <c r="AR11" s="90">
        <v>0</v>
      </c>
      <c r="AS11" s="90">
        <v>0</v>
      </c>
      <c r="AT11" s="90">
        <v>1.0364219123990797</v>
      </c>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0.24343257443082306</v>
      </c>
      <c r="C12" s="90">
        <v>0.24343257443082306</v>
      </c>
      <c r="D12" s="90">
        <v>1.9531249999999976E-3</v>
      </c>
      <c r="E12" s="90">
        <v>1.9531249999999976E-3</v>
      </c>
      <c r="F12" s="90">
        <v>1.9841269841269851E-2</v>
      </c>
      <c r="G12" s="90">
        <v>1.9841269841269851E-2</v>
      </c>
      <c r="H12" s="90">
        <v>4.6012269938650275E-3</v>
      </c>
      <c r="I12" s="90">
        <v>4.6012269938650275E-3</v>
      </c>
      <c r="J12" s="90">
        <v>5.2631578947368363E-2</v>
      </c>
      <c r="K12" s="90">
        <v>5.2631578947368363E-2</v>
      </c>
      <c r="L12" s="90">
        <v>0</v>
      </c>
      <c r="M12" s="90">
        <v>0</v>
      </c>
      <c r="N12" s="90">
        <v>0</v>
      </c>
      <c r="O12" s="90">
        <v>0</v>
      </c>
      <c r="P12" s="90">
        <v>1.3513513513513502E-2</v>
      </c>
      <c r="Q12" s="90">
        <v>1.3513513513513502E-2</v>
      </c>
      <c r="R12" s="90">
        <v>9.4594594594594086E-2</v>
      </c>
      <c r="S12" s="90">
        <v>9.4594594594594086E-2</v>
      </c>
      <c r="T12" s="90">
        <v>0.15594855305466226</v>
      </c>
      <c r="U12" s="90">
        <v>0.15594855305466226</v>
      </c>
      <c r="V12" s="90">
        <v>0.1024590163934427</v>
      </c>
      <c r="W12" s="90">
        <v>0.1024590163934427</v>
      </c>
      <c r="X12" s="90">
        <v>0.10638297872340427</v>
      </c>
      <c r="Y12" s="90">
        <v>0.10638297872340427</v>
      </c>
      <c r="Z12" s="90">
        <v>5.4945054945054937E-2</v>
      </c>
      <c r="AA12" s="90">
        <v>5.4945054945054937E-2</v>
      </c>
      <c r="AB12" s="90">
        <v>2.2792022792022713E-2</v>
      </c>
      <c r="AC12" s="90">
        <v>2.2792022792022713E-2</v>
      </c>
      <c r="AD12" s="90">
        <v>0.52427184466019428</v>
      </c>
      <c r="AE12" s="90">
        <v>0.52427184466019428</v>
      </c>
      <c r="AF12" s="90">
        <v>8.9108910891089105E-2</v>
      </c>
      <c r="AG12" s="90">
        <v>8.9108910891089105E-2</v>
      </c>
      <c r="AH12" s="90">
        <v>2.9411764705882359E-2</v>
      </c>
      <c r="AI12" s="90">
        <v>2.9411764705882359E-2</v>
      </c>
      <c r="AJ12" s="90">
        <v>0.2297297297297301</v>
      </c>
      <c r="AK12" s="90">
        <v>0.2297297297297301</v>
      </c>
      <c r="AL12" s="90">
        <v>0.12903225806451624</v>
      </c>
      <c r="AM12" s="90">
        <v>0.12903225806451624</v>
      </c>
      <c r="AN12" s="90">
        <v>0.17073170731707321</v>
      </c>
      <c r="AO12" s="90">
        <v>0.17073170731707321</v>
      </c>
      <c r="AP12" s="90">
        <v>4.9180327868852486E-2</v>
      </c>
      <c r="AQ12" s="90">
        <v>4.9180327868852486E-2</v>
      </c>
      <c r="AR12" s="90">
        <v>1.0526315789473682E-2</v>
      </c>
      <c r="AS12" s="90">
        <v>1.0526315789473682E-2</v>
      </c>
      <c r="AT12" s="90">
        <v>2.105088368256832</v>
      </c>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6.6549912434325773E-2</v>
      </c>
      <c r="C13" s="90">
        <v>6.6549912434325773E-2</v>
      </c>
      <c r="D13" s="90">
        <v>0.513671875</v>
      </c>
      <c r="E13" s="90">
        <v>0.513671875</v>
      </c>
      <c r="F13" s="90">
        <v>9.1269841269841195E-2</v>
      </c>
      <c r="G13" s="90">
        <v>9.1269841269841195E-2</v>
      </c>
      <c r="H13" s="90">
        <v>0.68251533742331305</v>
      </c>
      <c r="I13" s="90">
        <v>0.68251533742331305</v>
      </c>
      <c r="J13" s="90">
        <v>0</v>
      </c>
      <c r="K13" s="90">
        <v>0</v>
      </c>
      <c r="L13" s="90">
        <v>6.6350710900473883E-2</v>
      </c>
      <c r="M13" s="90">
        <v>6.6350710900473883E-2</v>
      </c>
      <c r="N13" s="90">
        <v>0.70000000000000007</v>
      </c>
      <c r="O13" s="90">
        <v>0.70000000000000007</v>
      </c>
      <c r="P13" s="90">
        <v>0.14864864864864871</v>
      </c>
      <c r="Q13" s="90">
        <v>0.14864864864864871</v>
      </c>
      <c r="R13" s="90">
        <v>0</v>
      </c>
      <c r="S13" s="90">
        <v>0</v>
      </c>
      <c r="T13" s="90">
        <v>0.12700964630225084</v>
      </c>
      <c r="U13" s="90">
        <v>0.12700964630225084</v>
      </c>
      <c r="V13" s="90">
        <v>0.13934426229508207</v>
      </c>
      <c r="W13" s="90">
        <v>0.13934426229508207</v>
      </c>
      <c r="X13" s="90">
        <v>0.29787234042553196</v>
      </c>
      <c r="Y13" s="90">
        <v>0.29787234042553196</v>
      </c>
      <c r="Z13" s="90">
        <v>0</v>
      </c>
      <c r="AA13" s="90">
        <v>0</v>
      </c>
      <c r="AB13" s="90">
        <v>0.21367521367521372</v>
      </c>
      <c r="AC13" s="90">
        <v>0.21367521367521372</v>
      </c>
      <c r="AD13" s="90">
        <v>9.7087378640776743E-3</v>
      </c>
      <c r="AE13" s="90">
        <v>9.7087378640776743E-3</v>
      </c>
      <c r="AF13" s="90">
        <v>0</v>
      </c>
      <c r="AG13" s="90">
        <v>0</v>
      </c>
      <c r="AH13" s="90">
        <v>2.9411764705882318E-2</v>
      </c>
      <c r="AI13" s="90">
        <v>2.9411764705882318E-2</v>
      </c>
      <c r="AJ13" s="90">
        <v>0.13513513513513492</v>
      </c>
      <c r="AK13" s="90">
        <v>0.13513513513513492</v>
      </c>
      <c r="AL13" s="90">
        <v>3.2258064516129094E-2</v>
      </c>
      <c r="AM13" s="90">
        <v>3.2258064516129094E-2</v>
      </c>
      <c r="AN13" s="90">
        <v>2.9268292682926828E-2</v>
      </c>
      <c r="AO13" s="90">
        <v>2.9268292682926828E-2</v>
      </c>
      <c r="AP13" s="90">
        <v>0.10040983606557384</v>
      </c>
      <c r="AQ13" s="90">
        <v>0.10040983606557384</v>
      </c>
      <c r="AR13" s="90">
        <v>0.25789473684210512</v>
      </c>
      <c r="AS13" s="90">
        <v>0.25789473684210512</v>
      </c>
      <c r="AT13" s="90">
        <v>3.640994356186511</v>
      </c>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7.0052539404553502E-3</v>
      </c>
      <c r="C14" s="90">
        <v>7.0052539404553502E-3</v>
      </c>
      <c r="D14" s="90">
        <v>6.4453125000000014E-2</v>
      </c>
      <c r="E14" s="90">
        <v>6.4453125000000014E-2</v>
      </c>
      <c r="F14" s="90">
        <v>0</v>
      </c>
      <c r="G14" s="90">
        <v>0</v>
      </c>
      <c r="H14" s="90">
        <v>2.3006134969325152E-2</v>
      </c>
      <c r="I14" s="90">
        <v>2.3006134969325152E-2</v>
      </c>
      <c r="J14" s="90">
        <v>0</v>
      </c>
      <c r="K14" s="90">
        <v>0</v>
      </c>
      <c r="L14" s="90">
        <v>0</v>
      </c>
      <c r="M14" s="90">
        <v>0</v>
      </c>
      <c r="N14" s="90">
        <v>9.9999999999999895E-2</v>
      </c>
      <c r="O14" s="90">
        <v>9.9999999999999895E-2</v>
      </c>
      <c r="P14" s="90">
        <v>0.35135135135135148</v>
      </c>
      <c r="Q14" s="90">
        <v>0.35135135135135148</v>
      </c>
      <c r="R14" s="90">
        <v>0</v>
      </c>
      <c r="S14" s="90">
        <v>0</v>
      </c>
      <c r="T14" s="90">
        <v>1.6077170418006437E-2</v>
      </c>
      <c r="U14" s="90">
        <v>1.6077170418006437E-2</v>
      </c>
      <c r="V14" s="90">
        <v>0</v>
      </c>
      <c r="W14" s="90">
        <v>0</v>
      </c>
      <c r="X14" s="90">
        <v>0</v>
      </c>
      <c r="Y14" s="90">
        <v>0</v>
      </c>
      <c r="Z14" s="90">
        <v>0</v>
      </c>
      <c r="AA14" s="90">
        <v>0</v>
      </c>
      <c r="AB14" s="90">
        <v>0</v>
      </c>
      <c r="AC14" s="90">
        <v>0</v>
      </c>
      <c r="AD14" s="90">
        <v>0</v>
      </c>
      <c r="AE14" s="90">
        <v>0</v>
      </c>
      <c r="AF14" s="90">
        <v>0</v>
      </c>
      <c r="AG14" s="90">
        <v>0</v>
      </c>
      <c r="AH14" s="90">
        <v>0</v>
      </c>
      <c r="AI14" s="90">
        <v>0</v>
      </c>
      <c r="AJ14" s="90">
        <v>8.1081081081080961E-2</v>
      </c>
      <c r="AK14" s="90">
        <v>8.1081081081080961E-2</v>
      </c>
      <c r="AL14" s="90">
        <v>0</v>
      </c>
      <c r="AM14" s="90">
        <v>0</v>
      </c>
      <c r="AN14" s="90">
        <v>0</v>
      </c>
      <c r="AO14" s="90">
        <v>0</v>
      </c>
      <c r="AP14" s="90">
        <v>0</v>
      </c>
      <c r="AQ14" s="90">
        <v>0</v>
      </c>
      <c r="AR14" s="90">
        <v>0</v>
      </c>
      <c r="AS14" s="90">
        <v>0</v>
      </c>
      <c r="AT14" s="90">
        <v>0.64297411676021921</v>
      </c>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0.10858143607705788</v>
      </c>
      <c r="C15" s="90">
        <v>0.10858143607705788</v>
      </c>
      <c r="D15" s="90">
        <v>1.9531250000000004E-3</v>
      </c>
      <c r="E15" s="90">
        <v>1.9531250000000004E-3</v>
      </c>
      <c r="F15" s="90">
        <v>3.9682539682539706E-3</v>
      </c>
      <c r="G15" s="90">
        <v>3.9682539682539706E-3</v>
      </c>
      <c r="H15" s="90">
        <v>0</v>
      </c>
      <c r="I15" s="90">
        <v>0</v>
      </c>
      <c r="J15" s="90">
        <v>0.10526315789473685</v>
      </c>
      <c r="K15" s="90">
        <v>0.10526315789473685</v>
      </c>
      <c r="L15" s="90">
        <v>0</v>
      </c>
      <c r="M15" s="90">
        <v>0</v>
      </c>
      <c r="N15" s="90">
        <v>0</v>
      </c>
      <c r="O15" s="90">
        <v>0</v>
      </c>
      <c r="P15" s="90">
        <v>0</v>
      </c>
      <c r="Q15" s="90">
        <v>0</v>
      </c>
      <c r="R15" s="90">
        <v>0</v>
      </c>
      <c r="S15" s="90">
        <v>0</v>
      </c>
      <c r="T15" s="90">
        <v>0.10610932475884251</v>
      </c>
      <c r="U15" s="90">
        <v>0.10610932475884251</v>
      </c>
      <c r="V15" s="90">
        <v>0.24180327868852469</v>
      </c>
      <c r="W15" s="90">
        <v>0.24180327868852469</v>
      </c>
      <c r="X15" s="90">
        <v>0.21276595744680854</v>
      </c>
      <c r="Y15" s="90">
        <v>0.21276595744680854</v>
      </c>
      <c r="Z15" s="90">
        <v>0</v>
      </c>
      <c r="AA15" s="90">
        <v>0</v>
      </c>
      <c r="AB15" s="90">
        <v>7.9772079772079701E-2</v>
      </c>
      <c r="AC15" s="90">
        <v>7.9772079772079701E-2</v>
      </c>
      <c r="AD15" s="90">
        <v>5.8252427184466035E-2</v>
      </c>
      <c r="AE15" s="90">
        <v>5.8252427184466035E-2</v>
      </c>
      <c r="AF15" s="90">
        <v>0.77227722772277241</v>
      </c>
      <c r="AG15" s="90">
        <v>0.77227722772277241</v>
      </c>
      <c r="AH15" s="90">
        <v>2.9411764705882318E-2</v>
      </c>
      <c r="AI15" s="90">
        <v>2.9411764705882318E-2</v>
      </c>
      <c r="AJ15" s="90">
        <v>1.3513513513513552E-2</v>
      </c>
      <c r="AK15" s="90">
        <v>1.3513513513513552E-2</v>
      </c>
      <c r="AL15" s="90">
        <v>0</v>
      </c>
      <c r="AM15" s="90">
        <v>0</v>
      </c>
      <c r="AN15" s="90">
        <v>0.14634146341463417</v>
      </c>
      <c r="AO15" s="90">
        <v>0.14634146341463417</v>
      </c>
      <c r="AP15" s="90">
        <v>0.18237704918032796</v>
      </c>
      <c r="AQ15" s="90">
        <v>0.18237704918032796</v>
      </c>
      <c r="AR15" s="90">
        <v>4.7368421052631567E-2</v>
      </c>
      <c r="AS15" s="90">
        <v>4.7368421052631567E-2</v>
      </c>
      <c r="AT15" s="90">
        <v>2.109758480380532</v>
      </c>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8.5814360770577816E-2</v>
      </c>
      <c r="C16" s="90">
        <v>8.5814360770577816E-2</v>
      </c>
      <c r="D16" s="90">
        <v>0</v>
      </c>
      <c r="E16" s="90">
        <v>0</v>
      </c>
      <c r="F16" s="90">
        <v>1.1904761904761911E-2</v>
      </c>
      <c r="G16" s="90">
        <v>1.1904761904761911E-2</v>
      </c>
      <c r="H16" s="90">
        <v>0</v>
      </c>
      <c r="I16" s="90">
        <v>0</v>
      </c>
      <c r="J16" s="90">
        <v>5.2631578947368439E-2</v>
      </c>
      <c r="K16" s="90">
        <v>5.2631578947368439E-2</v>
      </c>
      <c r="L16" s="90">
        <v>0</v>
      </c>
      <c r="M16" s="90">
        <v>0</v>
      </c>
      <c r="N16" s="90">
        <v>0</v>
      </c>
      <c r="O16" s="90">
        <v>0</v>
      </c>
      <c r="P16" s="90">
        <v>0</v>
      </c>
      <c r="Q16" s="90">
        <v>0</v>
      </c>
      <c r="R16" s="90">
        <v>0.81081081081081141</v>
      </c>
      <c r="S16" s="90">
        <v>0.81081081081081141</v>
      </c>
      <c r="T16" s="90">
        <v>8.0385852090032128E-2</v>
      </c>
      <c r="U16" s="90">
        <v>8.0385852090032128E-2</v>
      </c>
      <c r="V16" s="90">
        <v>2.8688524590163952E-2</v>
      </c>
      <c r="W16" s="90">
        <v>2.8688524590163952E-2</v>
      </c>
      <c r="X16" s="90">
        <v>8.5106382978723402E-2</v>
      </c>
      <c r="Y16" s="90">
        <v>8.5106382978723402E-2</v>
      </c>
      <c r="Z16" s="90">
        <v>0.94505494505494503</v>
      </c>
      <c r="AA16" s="90">
        <v>0.94505494505494503</v>
      </c>
      <c r="AB16" s="90">
        <v>1.1396011396011395E-2</v>
      </c>
      <c r="AC16" s="90">
        <v>1.1396011396011395E-2</v>
      </c>
      <c r="AD16" s="90">
        <v>0.33009708737864085</v>
      </c>
      <c r="AE16" s="90">
        <v>0.33009708737864085</v>
      </c>
      <c r="AF16" s="90">
        <v>0</v>
      </c>
      <c r="AG16" s="90">
        <v>0</v>
      </c>
      <c r="AH16" s="90">
        <v>0</v>
      </c>
      <c r="AI16" s="90">
        <v>0</v>
      </c>
      <c r="AJ16" s="90">
        <v>9.459459459459478E-2</v>
      </c>
      <c r="AK16" s="90">
        <v>9.459459459459478E-2</v>
      </c>
      <c r="AL16" s="90">
        <v>0</v>
      </c>
      <c r="AM16" s="90">
        <v>0</v>
      </c>
      <c r="AN16" s="90">
        <v>3.9024390243902439E-2</v>
      </c>
      <c r="AO16" s="90">
        <v>3.9024390243902439E-2</v>
      </c>
      <c r="AP16" s="90">
        <v>8.8114754098360712E-2</v>
      </c>
      <c r="AQ16" s="90">
        <v>8.8114754098360712E-2</v>
      </c>
      <c r="AR16" s="90">
        <v>1.0526315789473681E-2</v>
      </c>
      <c r="AS16" s="90">
        <v>1.0526315789473681E-2</v>
      </c>
      <c r="AT16" s="90">
        <v>2.6741503706483676</v>
      </c>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0.23292469352014014</v>
      </c>
      <c r="C17" s="90">
        <v>0.23292469352014014</v>
      </c>
      <c r="D17" s="90">
        <v>0.126953125</v>
      </c>
      <c r="E17" s="90">
        <v>0.126953125</v>
      </c>
      <c r="F17" s="90">
        <v>8.3333333333333287E-2</v>
      </c>
      <c r="G17" s="90">
        <v>8.3333333333333287E-2</v>
      </c>
      <c r="H17" s="90">
        <v>8.2822085889570421E-2</v>
      </c>
      <c r="I17" s="90">
        <v>8.2822085889570421E-2</v>
      </c>
      <c r="J17" s="90">
        <v>0.57894736842105265</v>
      </c>
      <c r="K17" s="90">
        <v>0.57894736842105265</v>
      </c>
      <c r="L17" s="90">
        <v>9.4786729857819926E-2</v>
      </c>
      <c r="M17" s="90">
        <v>9.4786729857819926E-2</v>
      </c>
      <c r="N17" s="90">
        <v>9.9999999999999895E-2</v>
      </c>
      <c r="O17" s="90">
        <v>9.9999999999999895E-2</v>
      </c>
      <c r="P17" s="90">
        <v>0.22972972972972974</v>
      </c>
      <c r="Q17" s="90">
        <v>0.22972972972972974</v>
      </c>
      <c r="R17" s="90">
        <v>6.7567567567567613E-2</v>
      </c>
      <c r="S17" s="90">
        <v>6.7567567567567613E-2</v>
      </c>
      <c r="T17" s="90">
        <v>0.21704180064308679</v>
      </c>
      <c r="U17" s="90">
        <v>0.21704180064308679</v>
      </c>
      <c r="V17" s="90">
        <v>0.1885245901639343</v>
      </c>
      <c r="W17" s="90">
        <v>0.1885245901639343</v>
      </c>
      <c r="X17" s="90">
        <v>6.382978723404252E-2</v>
      </c>
      <c r="Y17" s="90">
        <v>6.382978723404252E-2</v>
      </c>
      <c r="Z17" s="90">
        <v>0</v>
      </c>
      <c r="AA17" s="90">
        <v>0</v>
      </c>
      <c r="AB17" s="90">
        <v>0.16809116809116828</v>
      </c>
      <c r="AC17" s="90">
        <v>0.16809116809116828</v>
      </c>
      <c r="AD17" s="90">
        <v>6.7961165048543715E-2</v>
      </c>
      <c r="AE17" s="90">
        <v>6.7961165048543715E-2</v>
      </c>
      <c r="AF17" s="90">
        <v>5.9405940594059396E-2</v>
      </c>
      <c r="AG17" s="90">
        <v>5.9405940594059396E-2</v>
      </c>
      <c r="AH17" s="90">
        <v>5.8823529411764705E-2</v>
      </c>
      <c r="AI17" s="90">
        <v>5.8823529411764705E-2</v>
      </c>
      <c r="AJ17" s="90">
        <v>0.3918918918918915</v>
      </c>
      <c r="AK17" s="90">
        <v>0.3918918918918915</v>
      </c>
      <c r="AL17" s="90">
        <v>0.19354838709677372</v>
      </c>
      <c r="AM17" s="90">
        <v>0.19354838709677372</v>
      </c>
      <c r="AN17" s="90">
        <v>0.41463414634146351</v>
      </c>
      <c r="AO17" s="90">
        <v>0.41463414634146351</v>
      </c>
      <c r="AP17" s="90">
        <v>0.22540983606557363</v>
      </c>
      <c r="AQ17" s="90">
        <v>0.22540983606557363</v>
      </c>
      <c r="AR17" s="90">
        <v>8.9473684210526455E-2</v>
      </c>
      <c r="AS17" s="90">
        <v>8.9473684210526455E-2</v>
      </c>
      <c r="AT17" s="90">
        <v>3.7357005601120417</v>
      </c>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0.99999999999999989</v>
      </c>
      <c r="C18">
        <v>0.99999999999999989</v>
      </c>
      <c r="D18">
        <v>0.99999999999999989</v>
      </c>
      <c r="E18">
        <v>0.99999999999999989</v>
      </c>
      <c r="F18">
        <v>0.99999999999999978</v>
      </c>
      <c r="G18">
        <v>0.99999999999999978</v>
      </c>
      <c r="H18">
        <v>0.99999999999999989</v>
      </c>
      <c r="I18">
        <v>0.99999999999999989</v>
      </c>
      <c r="J18">
        <v>1</v>
      </c>
      <c r="K18">
        <v>1</v>
      </c>
      <c r="L18">
        <v>0.99999999999999989</v>
      </c>
      <c r="M18">
        <v>0.99999999999999989</v>
      </c>
      <c r="N18">
        <v>0.99999999999999989</v>
      </c>
      <c r="O18">
        <v>0.99999999999999989</v>
      </c>
      <c r="P18">
        <v>1.0000000000000002</v>
      </c>
      <c r="Q18">
        <v>1.0000000000000002</v>
      </c>
      <c r="R18">
        <v>1.0000000000000002</v>
      </c>
      <c r="S18">
        <v>1.0000000000000002</v>
      </c>
      <c r="T18">
        <v>0.99999999999999989</v>
      </c>
      <c r="U18">
        <v>0.99999999999999989</v>
      </c>
      <c r="V18">
        <v>1</v>
      </c>
      <c r="W18">
        <v>1</v>
      </c>
      <c r="X18">
        <v>1</v>
      </c>
      <c r="Y18">
        <v>1</v>
      </c>
      <c r="Z18">
        <v>1</v>
      </c>
      <c r="AA18">
        <v>1</v>
      </c>
      <c r="AB18">
        <v>1</v>
      </c>
      <c r="AC18">
        <v>1</v>
      </c>
      <c r="AD18">
        <v>1.0000000000000002</v>
      </c>
      <c r="AE18">
        <v>1.0000000000000002</v>
      </c>
      <c r="AF18">
        <v>1.0000000000000002</v>
      </c>
      <c r="AG18">
        <v>1.0000000000000002</v>
      </c>
      <c r="AH18">
        <v>1.0000000000000002</v>
      </c>
      <c r="AI18">
        <v>1.0000000000000002</v>
      </c>
      <c r="AJ18">
        <v>1</v>
      </c>
      <c r="AK18">
        <v>1</v>
      </c>
      <c r="AL18">
        <v>1</v>
      </c>
      <c r="AM18">
        <v>1</v>
      </c>
      <c r="AN18">
        <v>1</v>
      </c>
      <c r="AO18">
        <v>1</v>
      </c>
      <c r="AP18">
        <v>1</v>
      </c>
      <c r="AQ18">
        <v>1</v>
      </c>
      <c r="AR18">
        <v>1</v>
      </c>
      <c r="AS18">
        <v>1</v>
      </c>
      <c r="AT18">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24" bestFit="1" customWidth="1"/>
    <col min="4" max="4" width="21.5703125" bestFit="1" customWidth="1"/>
    <col min="5" max="5" width="24" bestFit="1" customWidth="1"/>
    <col min="6" max="6" width="17.5703125" bestFit="1" customWidth="1"/>
    <col min="7" max="7" width="20" bestFit="1" customWidth="1"/>
    <col min="8" max="8" width="17.5703125" bestFit="1" customWidth="1"/>
    <col min="9" max="9" width="20" bestFit="1" customWidth="1"/>
    <col min="10" max="10" width="20.140625" bestFit="1" customWidth="1"/>
    <col min="11" max="11" width="23.140625" bestFit="1" customWidth="1"/>
    <col min="12" max="12" width="17.140625" bestFit="1" customWidth="1"/>
    <col min="13" max="13" width="20" bestFit="1" customWidth="1"/>
    <col min="14" max="14" width="20.140625" bestFit="1" customWidth="1"/>
    <col min="15" max="15" width="23.140625" bestFit="1" customWidth="1"/>
    <col min="16" max="16" width="17.140625" bestFit="1" customWidth="1"/>
    <col min="17" max="17" width="20" bestFit="1" customWidth="1"/>
    <col min="18" max="18" width="17.5703125" bestFit="1" customWidth="1"/>
    <col min="19" max="19" width="20" bestFit="1" customWidth="1"/>
    <col min="20" max="20" width="17.5703125" bestFit="1" customWidth="1"/>
    <col min="21" max="21" width="20" bestFit="1" customWidth="1"/>
    <col min="22" max="22" width="17.5703125" bestFit="1" customWidth="1"/>
    <col min="23" max="23" width="20" bestFit="1" customWidth="1"/>
    <col min="24" max="24" width="23.28515625" bestFit="1" customWidth="1"/>
    <col min="25" max="25" width="26.140625" bestFit="1" customWidth="1"/>
    <col min="26" max="26" width="17.140625" bestFit="1" customWidth="1"/>
    <col min="27" max="27" width="20" bestFit="1" customWidth="1"/>
    <col min="28" max="28" width="17.140625" bestFit="1" customWidth="1"/>
    <col min="29" max="29" width="20" bestFit="1" customWidth="1"/>
    <col min="30" max="30" width="17.140625" bestFit="1" customWidth="1"/>
    <col min="31" max="31" width="20" bestFit="1" customWidth="1"/>
    <col min="32" max="32" width="17.140625" bestFit="1" customWidth="1"/>
    <col min="33" max="33" width="20" bestFit="1" customWidth="1"/>
    <col min="34" max="34" width="17.140625" bestFit="1" customWidth="1"/>
    <col min="35" max="35" width="20" bestFit="1" customWidth="1"/>
    <col min="36" max="36" width="17.5703125" bestFit="1" customWidth="1"/>
    <col min="37" max="37" width="20" bestFit="1" customWidth="1"/>
    <col min="38" max="38" width="17.5703125" bestFit="1" customWidth="1"/>
    <col min="39" max="39" width="20" bestFit="1" customWidth="1"/>
    <col min="40" max="40" width="20.140625" bestFit="1" customWidth="1"/>
    <col min="41" max="41" width="23.140625" bestFit="1" customWidth="1"/>
    <col min="42" max="42" width="20.140625" bestFit="1" customWidth="1"/>
    <col min="43" max="43" width="23.140625" bestFit="1" customWidth="1"/>
    <col min="44" max="44" width="20.140625" bestFit="1" customWidth="1"/>
    <col min="45" max="45" width="23.140625" bestFit="1" customWidth="1"/>
    <col min="46" max="46" width="12.57031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236</v>
      </c>
      <c r="C4" t="s">
        <v>251</v>
      </c>
      <c r="D4" t="s">
        <v>238</v>
      </c>
      <c r="E4" t="s">
        <v>252</v>
      </c>
      <c r="F4" t="s">
        <v>244</v>
      </c>
      <c r="G4" t="s">
        <v>253</v>
      </c>
      <c r="H4" t="s">
        <v>246</v>
      </c>
      <c r="I4" t="s">
        <v>254</v>
      </c>
      <c r="J4" t="s">
        <v>307</v>
      </c>
      <c r="K4" t="s">
        <v>324</v>
      </c>
      <c r="L4" t="s">
        <v>309</v>
      </c>
      <c r="M4" t="s">
        <v>325</v>
      </c>
      <c r="N4" t="s">
        <v>305</v>
      </c>
      <c r="O4" t="s">
        <v>323</v>
      </c>
      <c r="P4" t="s">
        <v>303</v>
      </c>
      <c r="Q4" t="s">
        <v>322</v>
      </c>
      <c r="R4" t="s">
        <v>263</v>
      </c>
      <c r="S4" t="s">
        <v>311</v>
      </c>
      <c r="T4" t="s">
        <v>267</v>
      </c>
      <c r="U4" t="s">
        <v>312</v>
      </c>
      <c r="V4" t="s">
        <v>261</v>
      </c>
      <c r="W4" t="s">
        <v>310</v>
      </c>
      <c r="X4" t="s">
        <v>293</v>
      </c>
      <c r="Y4" t="s">
        <v>317</v>
      </c>
      <c r="Z4" t="s">
        <v>301</v>
      </c>
      <c r="AA4" t="s">
        <v>321</v>
      </c>
      <c r="AB4" t="s">
        <v>298</v>
      </c>
      <c r="AC4" t="s">
        <v>320</v>
      </c>
      <c r="AD4" t="s">
        <v>290</v>
      </c>
      <c r="AE4" t="s">
        <v>318</v>
      </c>
      <c r="AF4" t="s">
        <v>295</v>
      </c>
      <c r="AG4" t="s">
        <v>319</v>
      </c>
      <c r="AH4" t="s">
        <v>284</v>
      </c>
      <c r="AI4" t="s">
        <v>316</v>
      </c>
      <c r="AJ4" t="s">
        <v>248</v>
      </c>
      <c r="AK4" t="s">
        <v>255</v>
      </c>
      <c r="AL4" t="s">
        <v>250</v>
      </c>
      <c r="AM4" t="s">
        <v>256</v>
      </c>
      <c r="AN4" t="s">
        <v>271</v>
      </c>
      <c r="AO4" t="s">
        <v>313</v>
      </c>
      <c r="AP4" t="s">
        <v>276</v>
      </c>
      <c r="AQ4" t="s">
        <v>315</v>
      </c>
      <c r="AR4" t="s">
        <v>274</v>
      </c>
      <c r="AS4" t="s">
        <v>314</v>
      </c>
      <c r="AT4" t="s">
        <v>28</v>
      </c>
    </row>
    <row r="5" spans="1:72" x14ac:dyDescent="0.25">
      <c r="A5" s="47" t="s">
        <v>27</v>
      </c>
      <c r="B5" t="s">
        <v>474</v>
      </c>
      <c r="D5" t="s">
        <v>475</v>
      </c>
      <c r="F5" t="s">
        <v>476</v>
      </c>
      <c r="H5" t="s">
        <v>471</v>
      </c>
      <c r="J5" t="s">
        <v>472</v>
      </c>
      <c r="L5" t="s">
        <v>477</v>
      </c>
      <c r="N5" t="s">
        <v>482</v>
      </c>
      <c r="P5" t="s">
        <v>473</v>
      </c>
      <c r="R5" t="s">
        <v>458</v>
      </c>
      <c r="T5" t="s">
        <v>459</v>
      </c>
      <c r="V5" t="s">
        <v>460</v>
      </c>
      <c r="X5" t="s">
        <v>461</v>
      </c>
      <c r="Z5" t="s">
        <v>462</v>
      </c>
      <c r="AB5" t="s">
        <v>463</v>
      </c>
      <c r="AD5" t="s">
        <v>464</v>
      </c>
      <c r="AF5" t="s">
        <v>465</v>
      </c>
      <c r="AH5" t="s">
        <v>466</v>
      </c>
      <c r="AJ5" t="s">
        <v>478</v>
      </c>
      <c r="AL5" t="s">
        <v>479</v>
      </c>
      <c r="AN5" t="s">
        <v>467</v>
      </c>
      <c r="AP5" t="s">
        <v>468</v>
      </c>
      <c r="AR5" t="s">
        <v>469</v>
      </c>
    </row>
    <row r="6" spans="1:72" s="90" customFormat="1" x14ac:dyDescent="0.25">
      <c r="A6" s="92" t="s">
        <v>38</v>
      </c>
      <c r="B6" s="90">
        <v>4.6296296296296308E-2</v>
      </c>
      <c r="C6" s="90">
        <v>4.6296296296296308E-2</v>
      </c>
      <c r="D6" s="90">
        <v>0</v>
      </c>
      <c r="E6" s="90">
        <v>0</v>
      </c>
      <c r="F6" s="90">
        <v>0</v>
      </c>
      <c r="G6" s="90">
        <v>0</v>
      </c>
      <c r="H6" s="90">
        <v>0</v>
      </c>
      <c r="I6" s="90">
        <v>0</v>
      </c>
      <c r="J6" s="90">
        <v>0</v>
      </c>
      <c r="K6" s="90">
        <v>0</v>
      </c>
      <c r="L6" s="90">
        <v>0</v>
      </c>
      <c r="M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s="90">
        <v>0</v>
      </c>
      <c r="AJ6" s="90">
        <v>0</v>
      </c>
      <c r="AK6" s="90">
        <v>0</v>
      </c>
      <c r="AL6" s="90">
        <v>0</v>
      </c>
      <c r="AM6" s="90">
        <v>0</v>
      </c>
      <c r="AN6" s="90">
        <v>0</v>
      </c>
      <c r="AO6" s="90">
        <v>0</v>
      </c>
      <c r="AP6" s="90">
        <v>0</v>
      </c>
      <c r="AQ6" s="90">
        <v>0</v>
      </c>
      <c r="AR6" s="90">
        <v>0</v>
      </c>
      <c r="AS6" s="90">
        <v>0</v>
      </c>
      <c r="AT6" s="90">
        <v>4.6296296296296308E-2</v>
      </c>
      <c r="AU6"/>
      <c r="AV6"/>
      <c r="AW6"/>
      <c r="AX6"/>
      <c r="AY6"/>
      <c r="AZ6"/>
      <c r="BA6"/>
      <c r="BB6"/>
      <c r="BC6"/>
      <c r="BD6"/>
      <c r="BE6"/>
      <c r="BF6"/>
      <c r="BG6"/>
      <c r="BH6"/>
      <c r="BI6"/>
      <c r="BJ6"/>
      <c r="BK6"/>
      <c r="BL6"/>
      <c r="BM6"/>
      <c r="BN6"/>
      <c r="BO6"/>
      <c r="BP6"/>
      <c r="BQ6"/>
      <c r="BR6"/>
      <c r="BS6"/>
      <c r="BT6"/>
    </row>
    <row r="7" spans="1:72" s="90" customFormat="1" x14ac:dyDescent="0.25">
      <c r="A7" s="92" t="s">
        <v>34</v>
      </c>
      <c r="B7" s="90">
        <v>2.7777777777777769E-2</v>
      </c>
      <c r="C7" s="90">
        <v>2.7777777777777769E-2</v>
      </c>
      <c r="D7" s="90">
        <v>1.5267175572519064E-3</v>
      </c>
      <c r="E7" s="90">
        <v>1.5267175572519064E-3</v>
      </c>
      <c r="F7" s="90">
        <v>0</v>
      </c>
      <c r="G7" s="90">
        <v>0</v>
      </c>
      <c r="H7" s="90">
        <v>0</v>
      </c>
      <c r="I7" s="90">
        <v>0</v>
      </c>
      <c r="J7" s="90">
        <v>0</v>
      </c>
      <c r="K7" s="90">
        <v>0</v>
      </c>
      <c r="L7" s="90">
        <v>0</v>
      </c>
      <c r="M7" s="90">
        <v>0</v>
      </c>
      <c r="N7" s="90">
        <v>0</v>
      </c>
      <c r="O7" s="90">
        <v>0</v>
      </c>
      <c r="P7" s="90">
        <v>2.772277227722772E-2</v>
      </c>
      <c r="Q7" s="90">
        <v>2.772277227722772E-2</v>
      </c>
      <c r="R7" s="90">
        <v>2.7397260273972601E-2</v>
      </c>
      <c r="S7" s="90">
        <v>2.7397260273972601E-2</v>
      </c>
      <c r="T7" s="90">
        <v>0.13141426783479349</v>
      </c>
      <c r="U7" s="90">
        <v>0.13141426783479349</v>
      </c>
      <c r="V7" s="90">
        <v>1.5706806282722509E-2</v>
      </c>
      <c r="W7" s="90">
        <v>1.5706806282722509E-2</v>
      </c>
      <c r="X7" s="90">
        <v>9.5693779904306147E-3</v>
      </c>
      <c r="Y7" s="90">
        <v>9.5693779904306147E-3</v>
      </c>
      <c r="Z7" s="90">
        <v>6.711409395973162E-3</v>
      </c>
      <c r="AA7" s="90">
        <v>6.711409395973162E-3</v>
      </c>
      <c r="AB7" s="90">
        <v>4.0849673202614394E-2</v>
      </c>
      <c r="AC7" s="90">
        <v>4.0849673202614394E-2</v>
      </c>
      <c r="AD7" s="90">
        <v>2.0648967551622426E-2</v>
      </c>
      <c r="AE7" s="90">
        <v>2.0648967551622426E-2</v>
      </c>
      <c r="AF7" s="90">
        <v>8.9686098654708554E-3</v>
      </c>
      <c r="AG7" s="90">
        <v>8.9686098654708554E-3</v>
      </c>
      <c r="AH7" s="90">
        <v>0</v>
      </c>
      <c r="AI7" s="90">
        <v>0</v>
      </c>
      <c r="AJ7" s="90">
        <v>0</v>
      </c>
      <c r="AK7" s="90">
        <v>0</v>
      </c>
      <c r="AL7" s="90">
        <v>3.7453183520599208E-3</v>
      </c>
      <c r="AM7" s="90">
        <v>3.7453183520599208E-3</v>
      </c>
      <c r="AN7" s="90">
        <v>6.0240963855421777E-3</v>
      </c>
      <c r="AO7" s="90">
        <v>6.0240963855421777E-3</v>
      </c>
      <c r="AP7" s="90">
        <v>2.6578073089700997E-2</v>
      </c>
      <c r="AQ7" s="90">
        <v>2.6578073089700997E-2</v>
      </c>
      <c r="AR7" s="90">
        <v>7.8431372549019641E-3</v>
      </c>
      <c r="AS7" s="90">
        <v>7.8431372549019641E-3</v>
      </c>
      <c r="AT7" s="90">
        <v>0.36248426509206261</v>
      </c>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s="90">
        <v>0</v>
      </c>
      <c r="AJ8" s="90">
        <v>0</v>
      </c>
      <c r="AK8" s="90">
        <v>0</v>
      </c>
      <c r="AL8" s="90">
        <v>0</v>
      </c>
      <c r="AM8" s="90">
        <v>0</v>
      </c>
      <c r="AN8" s="90">
        <v>0</v>
      </c>
      <c r="AO8" s="90">
        <v>0</v>
      </c>
      <c r="AP8" s="90">
        <v>0</v>
      </c>
      <c r="AQ8" s="90">
        <v>0</v>
      </c>
      <c r="AR8" s="90">
        <v>0</v>
      </c>
      <c r="AS8" s="90">
        <v>0</v>
      </c>
      <c r="AT8" s="90">
        <v>0</v>
      </c>
      <c r="AU8"/>
      <c r="AV8"/>
      <c r="AW8"/>
      <c r="AX8"/>
      <c r="AY8"/>
      <c r="AZ8"/>
      <c r="BA8"/>
      <c r="BB8"/>
      <c r="BC8"/>
      <c r="BD8"/>
      <c r="BE8"/>
      <c r="BF8"/>
      <c r="BG8"/>
      <c r="BH8"/>
      <c r="BI8"/>
      <c r="BJ8"/>
      <c r="BK8"/>
      <c r="BL8"/>
      <c r="BM8"/>
      <c r="BN8"/>
      <c r="BO8"/>
      <c r="BP8"/>
      <c r="BQ8"/>
      <c r="BR8"/>
      <c r="BS8"/>
      <c r="BT8"/>
    </row>
    <row r="9" spans="1:72" s="90" customFormat="1" x14ac:dyDescent="0.25">
      <c r="A9" s="92" t="s">
        <v>22</v>
      </c>
      <c r="B9" s="90">
        <v>4.6296296296296308E-2</v>
      </c>
      <c r="C9" s="90">
        <v>4.6296296296296308E-2</v>
      </c>
      <c r="D9" s="90">
        <v>1.5267175572519064E-3</v>
      </c>
      <c r="E9" s="90">
        <v>1.5267175572519064E-3</v>
      </c>
      <c r="F9" s="90">
        <v>2.8985507246376799E-3</v>
      </c>
      <c r="G9" s="90">
        <v>2.8985507246376799E-3</v>
      </c>
      <c r="H9" s="90">
        <v>0</v>
      </c>
      <c r="I9" s="90">
        <v>0</v>
      </c>
      <c r="J9" s="90">
        <v>4.5454545454545421E-2</v>
      </c>
      <c r="K9" s="90">
        <v>4.5454545454545421E-2</v>
      </c>
      <c r="L9" s="90">
        <v>3.5398230088495575E-3</v>
      </c>
      <c r="M9" s="90">
        <v>3.5398230088495575E-3</v>
      </c>
      <c r="N9" s="90">
        <v>0</v>
      </c>
      <c r="O9" s="90">
        <v>0</v>
      </c>
      <c r="P9" s="90">
        <v>7.9207920792079192E-3</v>
      </c>
      <c r="Q9" s="90">
        <v>7.9207920792079192E-3</v>
      </c>
      <c r="R9" s="90">
        <v>0</v>
      </c>
      <c r="S9" s="90">
        <v>0</v>
      </c>
      <c r="T9" s="90">
        <v>1.5018773466833538E-2</v>
      </c>
      <c r="U9" s="90">
        <v>1.5018773466833538E-2</v>
      </c>
      <c r="V9" s="90">
        <v>0.1204188481675392</v>
      </c>
      <c r="W9" s="90">
        <v>0.1204188481675392</v>
      </c>
      <c r="X9" s="90">
        <v>8.3732057416267935E-2</v>
      </c>
      <c r="Y9" s="90">
        <v>8.3732057416267935E-2</v>
      </c>
      <c r="Z9" s="90">
        <v>0</v>
      </c>
      <c r="AA9" s="90">
        <v>0</v>
      </c>
      <c r="AB9" s="90">
        <v>1.9607843137254905E-2</v>
      </c>
      <c r="AC9" s="90">
        <v>1.9607843137254905E-2</v>
      </c>
      <c r="AD9" s="90">
        <v>0</v>
      </c>
      <c r="AE9" s="90">
        <v>0</v>
      </c>
      <c r="AF9" s="90">
        <v>4.7085201793722005E-2</v>
      </c>
      <c r="AG9" s="90">
        <v>4.7085201793722005E-2</v>
      </c>
      <c r="AH9" s="90">
        <v>0.6732673267326732</v>
      </c>
      <c r="AI9" s="90">
        <v>0.6732673267326732</v>
      </c>
      <c r="AJ9" s="90">
        <v>3.2000000000000015E-2</v>
      </c>
      <c r="AK9" s="90">
        <v>3.2000000000000015E-2</v>
      </c>
      <c r="AL9" s="90">
        <v>3.7453183520599208E-3</v>
      </c>
      <c r="AM9" s="90">
        <v>3.7453183520599208E-3</v>
      </c>
      <c r="AN9" s="90">
        <v>4.2168674698795199E-2</v>
      </c>
      <c r="AO9" s="90">
        <v>4.2168674698795199E-2</v>
      </c>
      <c r="AP9" s="90">
        <v>6.6445182724252493E-3</v>
      </c>
      <c r="AQ9" s="90">
        <v>6.6445182724252493E-3</v>
      </c>
      <c r="AR9" s="90">
        <v>0</v>
      </c>
      <c r="AS9" s="90">
        <v>0</v>
      </c>
      <c r="AT9" s="90">
        <v>1.1513252871583601</v>
      </c>
      <c r="AU9"/>
      <c r="AV9"/>
      <c r="AW9"/>
      <c r="AX9"/>
      <c r="AY9"/>
      <c r="AZ9"/>
      <c r="BA9"/>
      <c r="BB9"/>
      <c r="BC9"/>
      <c r="BD9"/>
      <c r="BE9"/>
      <c r="BF9"/>
      <c r="BG9"/>
      <c r="BH9"/>
      <c r="BI9"/>
      <c r="BJ9"/>
      <c r="BK9"/>
      <c r="BL9"/>
      <c r="BM9"/>
      <c r="BN9"/>
      <c r="BO9"/>
      <c r="BP9"/>
      <c r="BQ9"/>
      <c r="BR9"/>
      <c r="BS9"/>
      <c r="BT9"/>
    </row>
    <row r="10" spans="1:72" s="90" customFormat="1" x14ac:dyDescent="0.25">
      <c r="A10" s="92" t="s">
        <v>23</v>
      </c>
      <c r="B10" s="90">
        <v>0.13888888888888892</v>
      </c>
      <c r="C10" s="90">
        <v>0.13888888888888892</v>
      </c>
      <c r="D10" s="90">
        <v>0.4580152671755725</v>
      </c>
      <c r="E10" s="90">
        <v>0.4580152671755725</v>
      </c>
      <c r="F10" s="90">
        <v>0.73623188405797091</v>
      </c>
      <c r="G10" s="90">
        <v>0.73623188405797091</v>
      </c>
      <c r="H10" s="90">
        <v>0.23529411764705885</v>
      </c>
      <c r="I10" s="90">
        <v>0.23529411764705885</v>
      </c>
      <c r="J10" s="90">
        <v>4.5454545454545518E-2</v>
      </c>
      <c r="K10" s="90">
        <v>4.5454545454545518E-2</v>
      </c>
      <c r="L10" s="90">
        <v>0.85663716814159296</v>
      </c>
      <c r="M10" s="90">
        <v>0.85663716814159296</v>
      </c>
      <c r="N10" s="90">
        <v>0.43877551020408168</v>
      </c>
      <c r="O10" s="90">
        <v>0.43877551020408168</v>
      </c>
      <c r="P10" s="90">
        <v>0.17821782178217821</v>
      </c>
      <c r="Q10" s="90">
        <v>0.17821782178217821</v>
      </c>
      <c r="R10" s="90">
        <v>6.8493150684931517E-2</v>
      </c>
      <c r="S10" s="90">
        <v>6.8493150684931517E-2</v>
      </c>
      <c r="T10" s="90">
        <v>0.19649561952440553</v>
      </c>
      <c r="U10" s="90">
        <v>0.19649561952440553</v>
      </c>
      <c r="V10" s="90">
        <v>7.3298429319371736E-2</v>
      </c>
      <c r="W10" s="90">
        <v>7.3298429319371736E-2</v>
      </c>
      <c r="X10" s="90">
        <v>0.14114832535885169</v>
      </c>
      <c r="Y10" s="90">
        <v>0.14114832535885169</v>
      </c>
      <c r="Z10" s="90">
        <v>6.7114093959731473E-3</v>
      </c>
      <c r="AA10" s="90">
        <v>6.7114093959731473E-3</v>
      </c>
      <c r="AB10" s="90">
        <v>0.30718954248366009</v>
      </c>
      <c r="AC10" s="90">
        <v>0.30718954248366009</v>
      </c>
      <c r="AD10" s="90">
        <v>6.4896755162241929E-2</v>
      </c>
      <c r="AE10" s="90">
        <v>6.4896755162241929E-2</v>
      </c>
      <c r="AF10" s="90">
        <v>4.4843049327354209E-2</v>
      </c>
      <c r="AG10" s="90">
        <v>4.4843049327354209E-2</v>
      </c>
      <c r="AH10" s="90">
        <v>6.9306930693069327E-2</v>
      </c>
      <c r="AI10" s="90">
        <v>6.9306930693069327E-2</v>
      </c>
      <c r="AJ10" s="90">
        <v>7.1999999999999925E-2</v>
      </c>
      <c r="AK10" s="90">
        <v>7.1999999999999925E-2</v>
      </c>
      <c r="AL10" s="90">
        <v>1.872659176029963E-2</v>
      </c>
      <c r="AM10" s="90">
        <v>1.872659176029963E-2</v>
      </c>
      <c r="AN10" s="90">
        <v>5.421686746987954E-2</v>
      </c>
      <c r="AO10" s="90">
        <v>5.421686746987954E-2</v>
      </c>
      <c r="AP10" s="90">
        <v>0.11960132890365444</v>
      </c>
      <c r="AQ10" s="90">
        <v>0.11960132890365444</v>
      </c>
      <c r="AR10" s="90">
        <v>0.52549019607843128</v>
      </c>
      <c r="AS10" s="90">
        <v>0.52549019607843128</v>
      </c>
      <c r="AT10" s="90">
        <v>4.8499333995140139</v>
      </c>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0.15740740740740738</v>
      </c>
      <c r="C11" s="90">
        <v>0.15740740740740738</v>
      </c>
      <c r="D11" s="90">
        <v>6.1068702290076327E-3</v>
      </c>
      <c r="E11" s="90">
        <v>6.1068702290076327E-3</v>
      </c>
      <c r="F11" s="90">
        <v>8.6956521739130453E-3</v>
      </c>
      <c r="G11" s="90">
        <v>8.6956521739130453E-3</v>
      </c>
      <c r="H11" s="90">
        <v>1.5686274509803921E-2</v>
      </c>
      <c r="I11" s="90">
        <v>1.5686274509803921E-2</v>
      </c>
      <c r="J11" s="90">
        <v>4.5454545454545421E-2</v>
      </c>
      <c r="K11" s="90">
        <v>4.5454545454545421E-2</v>
      </c>
      <c r="L11" s="90">
        <v>1.7699115044247768E-3</v>
      </c>
      <c r="M11" s="90">
        <v>1.7699115044247768E-3</v>
      </c>
      <c r="N11" s="90">
        <v>0</v>
      </c>
      <c r="O11" s="90">
        <v>0</v>
      </c>
      <c r="P11" s="90">
        <v>1.9801980198019776E-3</v>
      </c>
      <c r="Q11" s="90">
        <v>1.9801980198019776E-3</v>
      </c>
      <c r="R11" s="90">
        <v>0</v>
      </c>
      <c r="S11" s="90">
        <v>0</v>
      </c>
      <c r="T11" s="90">
        <v>3.7546933667083832E-3</v>
      </c>
      <c r="U11" s="90">
        <v>3.7546933667083832E-3</v>
      </c>
      <c r="V11" s="90">
        <v>2.6178010471204185E-2</v>
      </c>
      <c r="W11" s="90">
        <v>2.6178010471204185E-2</v>
      </c>
      <c r="X11" s="90">
        <v>6.6985645933014287E-2</v>
      </c>
      <c r="Y11" s="90">
        <v>6.6985645933014287E-2</v>
      </c>
      <c r="Z11" s="90">
        <v>0</v>
      </c>
      <c r="AA11" s="90">
        <v>0</v>
      </c>
      <c r="AB11" s="90">
        <v>8.1699346405228798E-3</v>
      </c>
      <c r="AC11" s="90">
        <v>8.1699346405228798E-3</v>
      </c>
      <c r="AD11" s="90">
        <v>5.8997050147492642E-3</v>
      </c>
      <c r="AE11" s="90">
        <v>5.8997050147492642E-3</v>
      </c>
      <c r="AF11" s="90">
        <v>2.0179372197309427E-2</v>
      </c>
      <c r="AG11" s="90">
        <v>2.0179372197309427E-2</v>
      </c>
      <c r="AH11" s="90">
        <v>2.4752475247524761E-2</v>
      </c>
      <c r="AI11" s="90">
        <v>2.4752475247524761E-2</v>
      </c>
      <c r="AJ11" s="90">
        <v>7.9999999999999766E-2</v>
      </c>
      <c r="AK11" s="90">
        <v>7.9999999999999766E-2</v>
      </c>
      <c r="AL11" s="90">
        <v>0.48689138576779034</v>
      </c>
      <c r="AM11" s="90">
        <v>0.48689138576779034</v>
      </c>
      <c r="AN11" s="90">
        <v>6.6265060240963763E-2</v>
      </c>
      <c r="AO11" s="90">
        <v>6.6265060240963763E-2</v>
      </c>
      <c r="AP11" s="90">
        <v>4.9833887043189376E-2</v>
      </c>
      <c r="AQ11" s="90">
        <v>4.9833887043189376E-2</v>
      </c>
      <c r="AR11" s="90">
        <v>7.8431372549019641E-3</v>
      </c>
      <c r="AS11" s="90">
        <v>7.8431372549019641E-3</v>
      </c>
      <c r="AT11" s="90">
        <v>1.0838541664767825</v>
      </c>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0.17592592592592593</v>
      </c>
      <c r="C12" s="90">
        <v>0.17592592592592593</v>
      </c>
      <c r="D12" s="90">
        <v>4.5801526717557228E-3</v>
      </c>
      <c r="E12" s="90">
        <v>4.5801526717557228E-3</v>
      </c>
      <c r="F12" s="90">
        <v>5.7971014492753659E-3</v>
      </c>
      <c r="G12" s="90">
        <v>5.7971014492753659E-3</v>
      </c>
      <c r="H12" s="90">
        <v>3.921568627450976E-3</v>
      </c>
      <c r="I12" s="90">
        <v>3.921568627450976E-3</v>
      </c>
      <c r="J12" s="90">
        <v>0.13636363636363635</v>
      </c>
      <c r="K12" s="90">
        <v>0.13636363636363635</v>
      </c>
      <c r="L12" s="90">
        <v>1.7699115044247768E-3</v>
      </c>
      <c r="M12" s="90">
        <v>1.7699115044247768E-3</v>
      </c>
      <c r="N12" s="90">
        <v>0</v>
      </c>
      <c r="O12" s="90">
        <v>0</v>
      </c>
      <c r="P12" s="90">
        <v>1.1881188118811878E-2</v>
      </c>
      <c r="Q12" s="90">
        <v>1.1881188118811878E-2</v>
      </c>
      <c r="R12" s="90">
        <v>0.16438356164383555</v>
      </c>
      <c r="S12" s="90">
        <v>0.16438356164383555</v>
      </c>
      <c r="T12" s="90">
        <v>0.28035043804755944</v>
      </c>
      <c r="U12" s="90">
        <v>0.28035043804755944</v>
      </c>
      <c r="V12" s="90">
        <v>6.5445026178010471E-2</v>
      </c>
      <c r="W12" s="90">
        <v>6.5445026178010471E-2</v>
      </c>
      <c r="X12" s="90">
        <v>5.2631578947368432E-2</v>
      </c>
      <c r="Y12" s="90">
        <v>5.2631578947368432E-2</v>
      </c>
      <c r="Z12" s="90">
        <v>0.15436241610738238</v>
      </c>
      <c r="AA12" s="90">
        <v>0.15436241610738238</v>
      </c>
      <c r="AB12" s="90">
        <v>1.633986928104576E-2</v>
      </c>
      <c r="AC12" s="90">
        <v>1.633986928104576E-2</v>
      </c>
      <c r="AD12" s="90">
        <v>0.42772861356932151</v>
      </c>
      <c r="AE12" s="90">
        <v>0.42772861356932151</v>
      </c>
      <c r="AF12" s="90">
        <v>0.11210762331838572</v>
      </c>
      <c r="AG12" s="90">
        <v>0.11210762331838572</v>
      </c>
      <c r="AH12" s="90">
        <v>3.9603960396039611E-2</v>
      </c>
      <c r="AI12" s="90">
        <v>3.9603960396039611E-2</v>
      </c>
      <c r="AJ12" s="90">
        <v>0.18399999999999989</v>
      </c>
      <c r="AK12" s="90">
        <v>0.18399999999999989</v>
      </c>
      <c r="AL12" s="90">
        <v>0.12734082397003743</v>
      </c>
      <c r="AM12" s="90">
        <v>0.12734082397003743</v>
      </c>
      <c r="AN12" s="90">
        <v>0.18072289156626517</v>
      </c>
      <c r="AO12" s="90">
        <v>0.18072289156626517</v>
      </c>
      <c r="AP12" s="90">
        <v>8.3056478405315631E-2</v>
      </c>
      <c r="AQ12" s="90">
        <v>8.3056478405315631E-2</v>
      </c>
      <c r="AR12" s="90">
        <v>7.8431372549019641E-3</v>
      </c>
      <c r="AS12" s="90">
        <v>7.8431372549019641E-3</v>
      </c>
      <c r="AT12" s="90">
        <v>2.23615590334675</v>
      </c>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4.6296296296296308E-2</v>
      </c>
      <c r="C13" s="90">
        <v>4.6296296296296308E-2</v>
      </c>
      <c r="D13" s="90">
        <v>0.38015267175572515</v>
      </c>
      <c r="E13" s="90">
        <v>0.38015267175572515</v>
      </c>
      <c r="F13" s="90">
        <v>0.15652173913043491</v>
      </c>
      <c r="G13" s="90">
        <v>0.15652173913043491</v>
      </c>
      <c r="H13" s="90">
        <v>0.67450980392156867</v>
      </c>
      <c r="I13" s="90">
        <v>0.67450980392156867</v>
      </c>
      <c r="J13" s="90">
        <v>9.0909090909090939E-2</v>
      </c>
      <c r="K13" s="90">
        <v>9.0909090909090939E-2</v>
      </c>
      <c r="L13" s="90">
        <v>8.6725663716814158E-2</v>
      </c>
      <c r="M13" s="90">
        <v>8.6725663716814158E-2</v>
      </c>
      <c r="N13" s="90">
        <v>0.51020408163265307</v>
      </c>
      <c r="O13" s="90">
        <v>0.51020408163265307</v>
      </c>
      <c r="P13" s="90">
        <v>3.3663366336633659E-2</v>
      </c>
      <c r="Q13" s="90">
        <v>3.3663366336633659E-2</v>
      </c>
      <c r="R13" s="90">
        <v>0</v>
      </c>
      <c r="S13" s="90">
        <v>0</v>
      </c>
      <c r="T13" s="90">
        <v>4.8811013767209005E-2</v>
      </c>
      <c r="U13" s="90">
        <v>4.8811013767209005E-2</v>
      </c>
      <c r="V13" s="90">
        <v>5.2356020942408363E-3</v>
      </c>
      <c r="W13" s="90">
        <v>5.2356020942408363E-3</v>
      </c>
      <c r="X13" s="90">
        <v>5.5023923444976072E-2</v>
      </c>
      <c r="Y13" s="90">
        <v>5.5023923444976072E-2</v>
      </c>
      <c r="Z13" s="90">
        <v>1.3422818791946308E-2</v>
      </c>
      <c r="AA13" s="90">
        <v>1.3422818791946308E-2</v>
      </c>
      <c r="AB13" s="90">
        <v>8.8235294117647106E-2</v>
      </c>
      <c r="AC13" s="90">
        <v>8.8235294117647106E-2</v>
      </c>
      <c r="AD13" s="90">
        <v>2.3598820058997057E-2</v>
      </c>
      <c r="AE13" s="90">
        <v>2.3598820058997057E-2</v>
      </c>
      <c r="AF13" s="90">
        <v>2.4663677130044859E-2</v>
      </c>
      <c r="AG13" s="90">
        <v>2.4663677130044859E-2</v>
      </c>
      <c r="AH13" s="90">
        <v>2.4752475247524761E-2</v>
      </c>
      <c r="AI13" s="90">
        <v>2.4752475247524761E-2</v>
      </c>
      <c r="AJ13" s="90">
        <v>9.6000000000000071E-2</v>
      </c>
      <c r="AK13" s="90">
        <v>9.6000000000000071E-2</v>
      </c>
      <c r="AL13" s="90">
        <v>1.123595505617977E-2</v>
      </c>
      <c r="AM13" s="90">
        <v>1.123595505617977E-2</v>
      </c>
      <c r="AN13" s="90">
        <v>0</v>
      </c>
      <c r="AO13" s="90">
        <v>0</v>
      </c>
      <c r="AP13" s="90">
        <v>7.9734219269102999E-2</v>
      </c>
      <c r="AQ13" s="90">
        <v>7.9734219269102999E-2</v>
      </c>
      <c r="AR13" s="90">
        <v>0.3176470588235295</v>
      </c>
      <c r="AS13" s="90">
        <v>0.3176470588235295</v>
      </c>
      <c r="AT13" s="90">
        <v>2.7673435715006152</v>
      </c>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5.9541984732824425E-2</v>
      </c>
      <c r="E14" s="90">
        <v>5.9541984732824425E-2</v>
      </c>
      <c r="F14" s="90">
        <v>0</v>
      </c>
      <c r="G14" s="90">
        <v>0</v>
      </c>
      <c r="H14" s="90">
        <v>0</v>
      </c>
      <c r="I14" s="90">
        <v>0</v>
      </c>
      <c r="J14" s="90">
        <v>0</v>
      </c>
      <c r="K14" s="90">
        <v>0</v>
      </c>
      <c r="L14" s="90">
        <v>0</v>
      </c>
      <c r="M14" s="90">
        <v>0</v>
      </c>
      <c r="N14" s="90">
        <v>0</v>
      </c>
      <c r="O14" s="90">
        <v>0</v>
      </c>
      <c r="P14" s="90">
        <v>0.59405940594059403</v>
      </c>
      <c r="Q14" s="90">
        <v>0.59405940594059403</v>
      </c>
      <c r="R14" s="90">
        <v>0</v>
      </c>
      <c r="S14" s="90">
        <v>0</v>
      </c>
      <c r="T14" s="90">
        <v>0</v>
      </c>
      <c r="U14" s="90">
        <v>0</v>
      </c>
      <c r="V14" s="90">
        <v>0</v>
      </c>
      <c r="W14" s="90">
        <v>0</v>
      </c>
      <c r="X14" s="90">
        <v>0</v>
      </c>
      <c r="Y14" s="90">
        <v>0</v>
      </c>
      <c r="Z14" s="90">
        <v>0</v>
      </c>
      <c r="AA14" s="90">
        <v>0</v>
      </c>
      <c r="AB14" s="90">
        <v>0</v>
      </c>
      <c r="AC14" s="90">
        <v>0</v>
      </c>
      <c r="AD14" s="90">
        <v>0</v>
      </c>
      <c r="AE14" s="90">
        <v>0</v>
      </c>
      <c r="AF14" s="90">
        <v>0</v>
      </c>
      <c r="AG14" s="90">
        <v>0</v>
      </c>
      <c r="AH14" s="90">
        <v>0</v>
      </c>
      <c r="AI14" s="90">
        <v>0</v>
      </c>
      <c r="AJ14" s="90">
        <v>0</v>
      </c>
      <c r="AK14" s="90">
        <v>0</v>
      </c>
      <c r="AL14" s="90">
        <v>0</v>
      </c>
      <c r="AM14" s="90">
        <v>0</v>
      </c>
      <c r="AN14" s="90">
        <v>0</v>
      </c>
      <c r="AO14" s="90">
        <v>0</v>
      </c>
      <c r="AP14" s="90">
        <v>0</v>
      </c>
      <c r="AQ14" s="90">
        <v>0</v>
      </c>
      <c r="AR14" s="90">
        <v>0</v>
      </c>
      <c r="AS14" s="90">
        <v>0</v>
      </c>
      <c r="AT14" s="90">
        <v>0.65360139067341849</v>
      </c>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4.6296296296296308E-2</v>
      </c>
      <c r="C15" s="90">
        <v>4.6296296296296308E-2</v>
      </c>
      <c r="D15" s="90">
        <v>6.1068702290076327E-3</v>
      </c>
      <c r="E15" s="90">
        <v>6.1068702290076327E-3</v>
      </c>
      <c r="F15" s="90">
        <v>0</v>
      </c>
      <c r="G15" s="90">
        <v>0</v>
      </c>
      <c r="H15" s="90">
        <v>0</v>
      </c>
      <c r="I15" s="90">
        <v>0</v>
      </c>
      <c r="J15" s="90">
        <v>0.31818181818181834</v>
      </c>
      <c r="K15" s="90">
        <v>0.31818181818181834</v>
      </c>
      <c r="L15" s="90">
        <v>0</v>
      </c>
      <c r="M15" s="90">
        <v>0</v>
      </c>
      <c r="N15" s="90">
        <v>0</v>
      </c>
      <c r="O15" s="90">
        <v>0</v>
      </c>
      <c r="P15" s="90">
        <v>1.9801980198019776E-3</v>
      </c>
      <c r="Q15" s="90">
        <v>1.9801980198019776E-3</v>
      </c>
      <c r="R15" s="90">
        <v>6.8493150684931425E-3</v>
      </c>
      <c r="S15" s="90">
        <v>6.8493150684931425E-3</v>
      </c>
      <c r="T15" s="90">
        <v>9.5118898623279061E-2</v>
      </c>
      <c r="U15" s="90">
        <v>9.5118898623279061E-2</v>
      </c>
      <c r="V15" s="90">
        <v>0.20942408376963348</v>
      </c>
      <c r="W15" s="90">
        <v>0.20942408376963348</v>
      </c>
      <c r="X15" s="90">
        <v>0.19138755980861244</v>
      </c>
      <c r="Y15" s="90">
        <v>0.19138755980861244</v>
      </c>
      <c r="Z15" s="90">
        <v>0</v>
      </c>
      <c r="AA15" s="90">
        <v>0</v>
      </c>
      <c r="AB15" s="90">
        <v>0.13071895424836602</v>
      </c>
      <c r="AC15" s="90">
        <v>0.13071895424836602</v>
      </c>
      <c r="AD15" s="90">
        <v>0.10914454277286138</v>
      </c>
      <c r="AE15" s="90">
        <v>0.10914454277286138</v>
      </c>
      <c r="AF15" s="90">
        <v>0.60986547085201803</v>
      </c>
      <c r="AG15" s="90">
        <v>0.60986547085201803</v>
      </c>
      <c r="AH15" s="90">
        <v>5.9405940594059417E-2</v>
      </c>
      <c r="AI15" s="90">
        <v>5.9405940594059417E-2</v>
      </c>
      <c r="AJ15" s="90">
        <v>7.2000000000000036E-2</v>
      </c>
      <c r="AK15" s="90">
        <v>7.2000000000000036E-2</v>
      </c>
      <c r="AL15" s="90">
        <v>0.12359550561797754</v>
      </c>
      <c r="AM15" s="90">
        <v>0.12359550561797754</v>
      </c>
      <c r="AN15" s="90">
        <v>0.31927710843373497</v>
      </c>
      <c r="AO15" s="90">
        <v>0.31927710843373497</v>
      </c>
      <c r="AP15" s="90">
        <v>0.10963455149501654</v>
      </c>
      <c r="AQ15" s="90">
        <v>0.10963455149501654</v>
      </c>
      <c r="AR15" s="90">
        <v>2.3529411764705889E-2</v>
      </c>
      <c r="AS15" s="90">
        <v>2.3529411764705889E-2</v>
      </c>
      <c r="AT15" s="90">
        <v>2.4325165257756822</v>
      </c>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9.2592592592592615E-2</v>
      </c>
      <c r="C16" s="90">
        <v>9.2592592592592615E-2</v>
      </c>
      <c r="D16" s="90">
        <v>0</v>
      </c>
      <c r="E16" s="90">
        <v>0</v>
      </c>
      <c r="F16" s="90">
        <v>0</v>
      </c>
      <c r="G16" s="90">
        <v>0</v>
      </c>
      <c r="H16" s="90">
        <v>0</v>
      </c>
      <c r="I16" s="90">
        <v>0</v>
      </c>
      <c r="J16" s="90">
        <v>0</v>
      </c>
      <c r="K16" s="90">
        <v>0</v>
      </c>
      <c r="L16" s="90">
        <v>0</v>
      </c>
      <c r="M16" s="90">
        <v>0</v>
      </c>
      <c r="N16" s="90">
        <v>0</v>
      </c>
      <c r="O16" s="90">
        <v>0</v>
      </c>
      <c r="P16" s="90">
        <v>0</v>
      </c>
      <c r="Q16" s="90">
        <v>0</v>
      </c>
      <c r="R16" s="90">
        <v>0.68493150684931514</v>
      </c>
      <c r="S16" s="90">
        <v>0.68493150684931514</v>
      </c>
      <c r="T16" s="90">
        <v>8.1351689612015013E-2</v>
      </c>
      <c r="U16" s="90">
        <v>8.1351689612015013E-2</v>
      </c>
      <c r="V16" s="90">
        <v>1.3089005235602092E-2</v>
      </c>
      <c r="W16" s="90">
        <v>1.3089005235602092E-2</v>
      </c>
      <c r="X16" s="90">
        <v>3.3492822966507178E-2</v>
      </c>
      <c r="Y16" s="90">
        <v>3.3492822966507178E-2</v>
      </c>
      <c r="Z16" s="90">
        <v>0.81208053691275195</v>
      </c>
      <c r="AA16" s="90">
        <v>0.81208053691275195</v>
      </c>
      <c r="AB16" s="90">
        <v>1.9607843137254905E-2</v>
      </c>
      <c r="AC16" s="90">
        <v>1.9607843137254905E-2</v>
      </c>
      <c r="AD16" s="90">
        <v>0.10914454277286138</v>
      </c>
      <c r="AE16" s="90">
        <v>0.10914454277286138</v>
      </c>
      <c r="AF16" s="90">
        <v>6.7264573991031393E-3</v>
      </c>
      <c r="AG16" s="90">
        <v>6.7264573991031393E-3</v>
      </c>
      <c r="AH16" s="90">
        <v>0</v>
      </c>
      <c r="AI16" s="90">
        <v>0</v>
      </c>
      <c r="AJ16" s="90">
        <v>0.10400000000000005</v>
      </c>
      <c r="AK16" s="90">
        <v>0.10400000000000005</v>
      </c>
      <c r="AL16" s="90">
        <v>1.872659176029963E-2</v>
      </c>
      <c r="AM16" s="90">
        <v>1.872659176029963E-2</v>
      </c>
      <c r="AN16" s="90">
        <v>7.8313253012048223E-2</v>
      </c>
      <c r="AO16" s="90">
        <v>7.8313253012048223E-2</v>
      </c>
      <c r="AP16" s="90">
        <v>4.3189368770764125E-2</v>
      </c>
      <c r="AQ16" s="90">
        <v>4.3189368770764125E-2</v>
      </c>
      <c r="AR16" s="90">
        <v>0</v>
      </c>
      <c r="AS16" s="90">
        <v>0</v>
      </c>
      <c r="AT16" s="90">
        <v>2.097246211021115</v>
      </c>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0.22222222222222215</v>
      </c>
      <c r="C17" s="90">
        <v>0.22222222222222215</v>
      </c>
      <c r="D17" s="90">
        <v>8.2442748091603027E-2</v>
      </c>
      <c r="E17" s="90">
        <v>8.2442748091603027E-2</v>
      </c>
      <c r="F17" s="90">
        <v>8.9855072463768129E-2</v>
      </c>
      <c r="G17" s="90">
        <v>8.9855072463768129E-2</v>
      </c>
      <c r="H17" s="90">
        <v>7.0588235294117549E-2</v>
      </c>
      <c r="I17" s="90">
        <v>7.0588235294117549E-2</v>
      </c>
      <c r="J17" s="90">
        <v>0.31818181818181801</v>
      </c>
      <c r="K17" s="90">
        <v>0.31818181818181801</v>
      </c>
      <c r="L17" s="90">
        <v>4.955752212389377E-2</v>
      </c>
      <c r="M17" s="90">
        <v>4.955752212389377E-2</v>
      </c>
      <c r="N17" s="90">
        <v>5.10204081632653E-2</v>
      </c>
      <c r="O17" s="90">
        <v>5.10204081632653E-2</v>
      </c>
      <c r="P17" s="90">
        <v>0.14257425742574256</v>
      </c>
      <c r="Q17" s="90">
        <v>0.14257425742574256</v>
      </c>
      <c r="R17" s="90">
        <v>4.7945205479452059E-2</v>
      </c>
      <c r="S17" s="90">
        <v>4.7945205479452059E-2</v>
      </c>
      <c r="T17" s="90">
        <v>0.14768460575719644</v>
      </c>
      <c r="U17" s="90">
        <v>0.14768460575719644</v>
      </c>
      <c r="V17" s="90">
        <v>0.47120418848167533</v>
      </c>
      <c r="W17" s="90">
        <v>0.47120418848167533</v>
      </c>
      <c r="X17" s="90">
        <v>0.36602870813397126</v>
      </c>
      <c r="Y17" s="90">
        <v>0.36602870813397126</v>
      </c>
      <c r="Z17" s="90">
        <v>6.7114093959731473E-3</v>
      </c>
      <c r="AA17" s="90">
        <v>6.7114093959731473E-3</v>
      </c>
      <c r="AB17" s="90">
        <v>0.36928104575163395</v>
      </c>
      <c r="AC17" s="90">
        <v>0.36928104575163395</v>
      </c>
      <c r="AD17" s="90">
        <v>0.23893805309734509</v>
      </c>
      <c r="AE17" s="90">
        <v>0.23893805309734509</v>
      </c>
      <c r="AF17" s="90">
        <v>0.12556053811659187</v>
      </c>
      <c r="AG17" s="90">
        <v>0.12556053811659187</v>
      </c>
      <c r="AH17" s="90">
        <v>0.10891089108910892</v>
      </c>
      <c r="AI17" s="90">
        <v>0.10891089108910892</v>
      </c>
      <c r="AJ17" s="90">
        <v>0.36000000000000021</v>
      </c>
      <c r="AK17" s="90">
        <v>0.36000000000000021</v>
      </c>
      <c r="AL17" s="90">
        <v>0.20599250936329591</v>
      </c>
      <c r="AM17" s="90">
        <v>0.20599250936329591</v>
      </c>
      <c r="AN17" s="90">
        <v>0.25301204819277096</v>
      </c>
      <c r="AO17" s="90">
        <v>0.25301204819277096</v>
      </c>
      <c r="AP17" s="90">
        <v>0.48172757475083067</v>
      </c>
      <c r="AQ17" s="90">
        <v>0.48172757475083067</v>
      </c>
      <c r="AR17" s="90">
        <v>0.10980392156862739</v>
      </c>
      <c r="AS17" s="90">
        <v>0.10980392156862739</v>
      </c>
      <c r="AT17" s="90">
        <v>4.3192429831449042</v>
      </c>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0.99999999999999978</v>
      </c>
      <c r="C18">
        <v>0.99999999999999978</v>
      </c>
      <c r="D18">
        <v>1</v>
      </c>
      <c r="E18">
        <v>1</v>
      </c>
      <c r="F18">
        <v>0.99999999999999989</v>
      </c>
      <c r="G18">
        <v>0.99999999999999989</v>
      </c>
      <c r="H18">
        <v>0.99999999999999989</v>
      </c>
      <c r="I18">
        <v>0.99999999999999989</v>
      </c>
      <c r="J18">
        <v>1</v>
      </c>
      <c r="K18">
        <v>1</v>
      </c>
      <c r="L18">
        <v>0.99999999999999989</v>
      </c>
      <c r="M18">
        <v>0.99999999999999989</v>
      </c>
      <c r="N18">
        <v>1</v>
      </c>
      <c r="O18">
        <v>1</v>
      </c>
      <c r="P18">
        <v>0.99999999999999989</v>
      </c>
      <c r="Q18">
        <v>0.99999999999999989</v>
      </c>
      <c r="R18">
        <v>1</v>
      </c>
      <c r="S18">
        <v>1</v>
      </c>
      <c r="T18">
        <v>0.99999999999999989</v>
      </c>
      <c r="U18">
        <v>0.99999999999999989</v>
      </c>
      <c r="V18">
        <v>0.99999999999999989</v>
      </c>
      <c r="W18">
        <v>0.99999999999999989</v>
      </c>
      <c r="X18">
        <v>0.99999999999999989</v>
      </c>
      <c r="Y18">
        <v>0.99999999999999989</v>
      </c>
      <c r="Z18">
        <v>1.0000000000000002</v>
      </c>
      <c r="AA18">
        <v>1.0000000000000002</v>
      </c>
      <c r="AB18">
        <v>1</v>
      </c>
      <c r="AC18">
        <v>1</v>
      </c>
      <c r="AD18">
        <v>0.99999999999999989</v>
      </c>
      <c r="AE18">
        <v>0.99999999999999989</v>
      </c>
      <c r="AF18">
        <v>1.0000000000000002</v>
      </c>
      <c r="AG18">
        <v>1.0000000000000002</v>
      </c>
      <c r="AH18">
        <v>1.0000000000000002</v>
      </c>
      <c r="AI18">
        <v>1.0000000000000002</v>
      </c>
      <c r="AJ18">
        <v>1</v>
      </c>
      <c r="AK18">
        <v>1</v>
      </c>
      <c r="AL18">
        <v>1</v>
      </c>
      <c r="AM18">
        <v>1</v>
      </c>
      <c r="AN18">
        <v>1</v>
      </c>
      <c r="AO18">
        <v>1</v>
      </c>
      <c r="AP18">
        <v>1</v>
      </c>
      <c r="AQ18">
        <v>1</v>
      </c>
      <c r="AR18">
        <v>0.99999999999999989</v>
      </c>
      <c r="AS18">
        <v>0.99999999999999989</v>
      </c>
      <c r="AT18">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20" bestFit="1" customWidth="1"/>
    <col min="4" max="4" width="17.5703125" bestFit="1" customWidth="1"/>
    <col min="5" max="5" width="20" bestFit="1" customWidth="1"/>
    <col min="6" max="6" width="17.5703125" bestFit="1" customWidth="1"/>
    <col min="7" max="7" width="20" bestFit="1" customWidth="1"/>
    <col min="8" max="8" width="17.5703125" bestFit="1" customWidth="1"/>
    <col min="9" max="9" width="20" bestFit="1" customWidth="1"/>
    <col min="10" max="10" width="17.5703125" bestFit="1" customWidth="1"/>
    <col min="11" max="11" width="20" bestFit="1" customWidth="1"/>
    <col min="12" max="12" width="23.28515625" bestFit="1" customWidth="1"/>
    <col min="13" max="13" width="26.140625" bestFit="1" customWidth="1"/>
    <col min="14" max="14" width="17.140625" bestFit="1" customWidth="1"/>
    <col min="15" max="15" width="20" bestFit="1" customWidth="1"/>
    <col min="16" max="16" width="17.140625" bestFit="1" customWidth="1"/>
    <col min="17" max="17" width="20" bestFit="1" customWidth="1"/>
    <col min="18" max="18" width="17.140625" bestFit="1" customWidth="1"/>
    <col min="19" max="19" width="20" bestFit="1" customWidth="1"/>
    <col min="20" max="20" width="17.140625" bestFit="1" customWidth="1"/>
    <col min="21" max="21" width="20" bestFit="1" customWidth="1"/>
    <col min="22" max="22" width="17.140625" bestFit="1" customWidth="1"/>
    <col min="23" max="23" width="20" bestFit="1" customWidth="1"/>
    <col min="24" max="24" width="17.5703125" bestFit="1" customWidth="1"/>
    <col min="25" max="25" width="20" bestFit="1" customWidth="1"/>
    <col min="26" max="26" width="17.5703125" bestFit="1" customWidth="1"/>
    <col min="27" max="27" width="20" bestFit="1" customWidth="1"/>
    <col min="28" max="28" width="20.140625" bestFit="1" customWidth="1"/>
    <col min="29" max="29" width="23.140625" bestFit="1" customWidth="1"/>
    <col min="30" max="30" width="20.140625" bestFit="1" customWidth="1"/>
    <col min="31" max="31" width="23.140625" bestFit="1" customWidth="1"/>
    <col min="32" max="32" width="20.140625" bestFit="1" customWidth="1"/>
    <col min="33" max="33" width="23.140625" bestFit="1" customWidth="1"/>
    <col min="34" max="34" width="12.5703125" bestFit="1" customWidth="1"/>
    <col min="35" max="35" width="19.42578125" bestFit="1" customWidth="1"/>
    <col min="36" max="36" width="17.140625" bestFit="1" customWidth="1"/>
    <col min="37" max="37" width="19.42578125" bestFit="1" customWidth="1"/>
    <col min="38" max="38" width="17.140625" bestFit="1" customWidth="1"/>
    <col min="39" max="39" width="19.42578125" bestFit="1" customWidth="1"/>
    <col min="40" max="40" width="19.5703125" bestFit="1" customWidth="1"/>
    <col min="41" max="41" width="22.42578125" bestFit="1" customWidth="1"/>
    <col min="42" max="42" width="19.5703125" bestFit="1" customWidth="1"/>
    <col min="43" max="43" width="22.42578125" bestFit="1" customWidth="1"/>
    <col min="44" max="44" width="19.5703125" bestFit="1" customWidth="1"/>
    <col min="45" max="45" width="22.42578125" bestFit="1" customWidth="1"/>
    <col min="46" max="46" width="12.285156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244</v>
      </c>
      <c r="C4" t="s">
        <v>253</v>
      </c>
      <c r="D4" t="s">
        <v>246</v>
      </c>
      <c r="E4" t="s">
        <v>254</v>
      </c>
      <c r="F4" t="s">
        <v>263</v>
      </c>
      <c r="G4" t="s">
        <v>311</v>
      </c>
      <c r="H4" t="s">
        <v>267</v>
      </c>
      <c r="I4" t="s">
        <v>312</v>
      </c>
      <c r="J4" t="s">
        <v>261</v>
      </c>
      <c r="K4" t="s">
        <v>310</v>
      </c>
      <c r="L4" t="s">
        <v>293</v>
      </c>
      <c r="M4" t="s">
        <v>317</v>
      </c>
      <c r="N4" t="s">
        <v>301</v>
      </c>
      <c r="O4" t="s">
        <v>321</v>
      </c>
      <c r="P4" t="s">
        <v>298</v>
      </c>
      <c r="Q4" t="s">
        <v>320</v>
      </c>
      <c r="R4" t="s">
        <v>290</v>
      </c>
      <c r="S4" t="s">
        <v>318</v>
      </c>
      <c r="T4" t="s">
        <v>295</v>
      </c>
      <c r="U4" t="s">
        <v>319</v>
      </c>
      <c r="V4" t="s">
        <v>284</v>
      </c>
      <c r="W4" t="s">
        <v>316</v>
      </c>
      <c r="X4" t="s">
        <v>248</v>
      </c>
      <c r="Y4" t="s">
        <v>255</v>
      </c>
      <c r="Z4" t="s">
        <v>250</v>
      </c>
      <c r="AA4" t="s">
        <v>256</v>
      </c>
      <c r="AB4" t="s">
        <v>271</v>
      </c>
      <c r="AC4" t="s">
        <v>313</v>
      </c>
      <c r="AD4" t="s">
        <v>276</v>
      </c>
      <c r="AE4" t="s">
        <v>315</v>
      </c>
      <c r="AF4" t="s">
        <v>274</v>
      </c>
      <c r="AG4" t="s">
        <v>314</v>
      </c>
      <c r="AH4" t="s">
        <v>28</v>
      </c>
    </row>
    <row r="5" spans="1:72" x14ac:dyDescent="0.25">
      <c r="A5" s="47" t="s">
        <v>27</v>
      </c>
      <c r="B5" t="s">
        <v>538</v>
      </c>
      <c r="D5" t="s">
        <v>537</v>
      </c>
      <c r="F5" t="s">
        <v>533</v>
      </c>
      <c r="H5" t="s">
        <v>535</v>
      </c>
      <c r="J5" t="s">
        <v>534</v>
      </c>
      <c r="L5" t="s">
        <v>526</v>
      </c>
      <c r="N5" t="s">
        <v>524</v>
      </c>
      <c r="P5" t="s">
        <v>527</v>
      </c>
      <c r="R5" t="s">
        <v>523</v>
      </c>
      <c r="T5" t="s">
        <v>528</v>
      </c>
      <c r="V5" t="s">
        <v>529</v>
      </c>
      <c r="X5" t="s">
        <v>536</v>
      </c>
      <c r="Z5" t="s">
        <v>532</v>
      </c>
      <c r="AB5" t="s">
        <v>530</v>
      </c>
      <c r="AD5" t="s">
        <v>525</v>
      </c>
      <c r="AF5" t="s">
        <v>531</v>
      </c>
    </row>
    <row r="6" spans="1:72" s="90" customFormat="1" x14ac:dyDescent="0.25">
      <c r="A6" s="92" t="s">
        <v>38</v>
      </c>
      <c r="B6" s="90">
        <v>0</v>
      </c>
      <c r="C6" s="90">
        <v>0</v>
      </c>
      <c r="D6" s="90">
        <v>0</v>
      </c>
      <c r="E6" s="90">
        <v>0</v>
      </c>
      <c r="F6" s="90">
        <v>0</v>
      </c>
      <c r="G6" s="90">
        <v>0</v>
      </c>
      <c r="H6" s="90">
        <v>0</v>
      </c>
      <c r="I6" s="90">
        <v>0</v>
      </c>
      <c r="J6" s="90">
        <v>0</v>
      </c>
      <c r="K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c r="AJ6"/>
      <c r="AK6"/>
      <c r="AL6"/>
      <c r="AM6"/>
      <c r="AN6"/>
      <c r="AO6"/>
      <c r="AP6"/>
      <c r="AQ6"/>
      <c r="AR6"/>
      <c r="AS6"/>
      <c r="AT6"/>
      <c r="AU6"/>
      <c r="AV6"/>
      <c r="AW6"/>
      <c r="AX6"/>
      <c r="AY6"/>
      <c r="AZ6"/>
      <c r="BA6"/>
      <c r="BB6"/>
      <c r="BC6"/>
      <c r="BD6"/>
      <c r="BE6"/>
      <c r="BF6"/>
      <c r="BG6"/>
      <c r="BH6"/>
      <c r="BI6"/>
      <c r="BJ6"/>
      <c r="BK6"/>
      <c r="BL6"/>
      <c r="BM6"/>
      <c r="BN6"/>
      <c r="BO6"/>
      <c r="BP6"/>
      <c r="BQ6"/>
      <c r="BR6"/>
      <c r="BS6"/>
      <c r="BT6"/>
    </row>
    <row r="7" spans="1:72" s="90" customFormat="1" x14ac:dyDescent="0.25">
      <c r="A7" s="92" t="s">
        <v>34</v>
      </c>
      <c r="B7" s="90">
        <v>1.1273957158962795E-3</v>
      </c>
      <c r="C7" s="90">
        <v>1.1273957158962795E-3</v>
      </c>
      <c r="D7" s="90">
        <v>2.5947067981318111E-3</v>
      </c>
      <c r="E7" s="90">
        <v>2.5947067981318111E-3</v>
      </c>
      <c r="F7" s="90">
        <v>1.0787486515641805E-3</v>
      </c>
      <c r="G7" s="90">
        <v>1.0787486515641805E-3</v>
      </c>
      <c r="H7" s="90">
        <v>2.1138211382113817E-2</v>
      </c>
      <c r="I7" s="90">
        <v>2.1138211382113817E-2</v>
      </c>
      <c r="J7" s="90">
        <v>7.1258907363420396E-3</v>
      </c>
      <c r="K7" s="90">
        <v>7.1258907363420396E-3</v>
      </c>
      <c r="N7" s="90">
        <v>0</v>
      </c>
      <c r="O7" s="90">
        <v>0</v>
      </c>
      <c r="P7" s="90">
        <v>5.1219512195121955E-2</v>
      </c>
      <c r="Q7" s="90">
        <v>5.1219512195121955E-2</v>
      </c>
      <c r="R7" s="90">
        <v>5.1282051282051282E-3</v>
      </c>
      <c r="S7" s="90">
        <v>5.1282051282051282E-3</v>
      </c>
      <c r="T7" s="90">
        <v>4.0540540540540517E-3</v>
      </c>
      <c r="U7" s="90">
        <v>4.0540540540540517E-3</v>
      </c>
      <c r="V7" s="90">
        <v>3.0627871362940277E-3</v>
      </c>
      <c r="W7" s="90">
        <v>3.0627871362940277E-3</v>
      </c>
      <c r="X7" s="90">
        <v>9.0702947845804991E-3</v>
      </c>
      <c r="Y7" s="90">
        <v>9.0702947845804991E-3</v>
      </c>
      <c r="Z7" s="90">
        <v>2.21238938053097E-3</v>
      </c>
      <c r="AA7" s="90">
        <v>2.21238938053097E-3</v>
      </c>
      <c r="AB7" s="90">
        <v>6.3291139240506337E-3</v>
      </c>
      <c r="AC7" s="90">
        <v>6.3291139240506337E-3</v>
      </c>
      <c r="AD7" s="90">
        <v>2.1390374331550801E-2</v>
      </c>
      <c r="AE7" s="90">
        <v>2.1390374331550801E-2</v>
      </c>
      <c r="AF7" s="90">
        <v>1.0542168674698796E-2</v>
      </c>
      <c r="AG7" s="90">
        <v>1.0542168674698796E-2</v>
      </c>
      <c r="AH7" s="90">
        <v>0.14607385289313499</v>
      </c>
      <c r="AI7"/>
      <c r="AJ7"/>
      <c r="AK7"/>
      <c r="AL7"/>
      <c r="AM7"/>
      <c r="AN7"/>
      <c r="AO7"/>
      <c r="AP7"/>
      <c r="AQ7"/>
      <c r="AR7"/>
      <c r="AS7"/>
      <c r="AT7"/>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c r="AJ8"/>
      <c r="AK8"/>
      <c r="AL8"/>
      <c r="AM8"/>
      <c r="AN8"/>
      <c r="AO8"/>
      <c r="AP8"/>
      <c r="AQ8"/>
      <c r="AR8"/>
      <c r="AS8"/>
      <c r="AT8"/>
      <c r="AU8"/>
      <c r="AV8"/>
      <c r="AW8"/>
      <c r="AX8"/>
      <c r="AY8"/>
      <c r="AZ8"/>
      <c r="BA8"/>
      <c r="BB8"/>
      <c r="BC8"/>
      <c r="BD8"/>
      <c r="BE8"/>
      <c r="BF8"/>
      <c r="BG8"/>
      <c r="BH8"/>
      <c r="BI8"/>
      <c r="BJ8"/>
      <c r="BK8"/>
      <c r="BL8"/>
      <c r="BM8"/>
      <c r="BN8"/>
      <c r="BO8"/>
      <c r="BP8"/>
      <c r="BQ8"/>
      <c r="BR8"/>
      <c r="BS8"/>
      <c r="BT8"/>
    </row>
    <row r="9" spans="1:72" s="90" customFormat="1" x14ac:dyDescent="0.25">
      <c r="A9" s="92" t="s">
        <v>22</v>
      </c>
      <c r="B9" s="90">
        <v>6.7643742953776781E-3</v>
      </c>
      <c r="C9" s="90">
        <v>6.7643742953776781E-3</v>
      </c>
      <c r="D9" s="90">
        <v>5.189413596263623E-4</v>
      </c>
      <c r="E9" s="90">
        <v>5.189413596263623E-4</v>
      </c>
      <c r="F9" s="90">
        <v>0</v>
      </c>
      <c r="G9" s="90">
        <v>0</v>
      </c>
      <c r="H9" s="90">
        <v>2.2764227642276421E-2</v>
      </c>
      <c r="I9" s="90">
        <v>2.2764227642276421E-2</v>
      </c>
      <c r="J9" s="90">
        <v>0.15201900237529695</v>
      </c>
      <c r="K9" s="90">
        <v>0.15201900237529695</v>
      </c>
      <c r="N9" s="90">
        <v>0</v>
      </c>
      <c r="O9" s="90">
        <v>0</v>
      </c>
      <c r="P9" s="90">
        <v>1.9512195121951216E-2</v>
      </c>
      <c r="Q9" s="90">
        <v>1.9512195121951216E-2</v>
      </c>
      <c r="R9" s="90">
        <v>5.1282051282051282E-3</v>
      </c>
      <c r="S9" s="90">
        <v>5.1282051282051282E-3</v>
      </c>
      <c r="T9" s="90">
        <v>2.5675675675675674E-2</v>
      </c>
      <c r="U9" s="90">
        <v>2.5675675675675674E-2</v>
      </c>
      <c r="V9" s="90">
        <v>0.55742725880551314</v>
      </c>
      <c r="W9" s="90">
        <v>0.55742725880551314</v>
      </c>
      <c r="X9" s="90">
        <v>4.5351473922902501E-2</v>
      </c>
      <c r="Y9" s="90">
        <v>4.5351473922902501E-2</v>
      </c>
      <c r="Z9" s="90">
        <v>2.21238938053097E-3</v>
      </c>
      <c r="AA9" s="90">
        <v>2.21238938053097E-3</v>
      </c>
      <c r="AB9" s="90">
        <v>7.9113924050632944E-2</v>
      </c>
      <c r="AC9" s="90">
        <v>7.9113924050632944E-2</v>
      </c>
      <c r="AD9" s="90">
        <v>2.6737967914438492E-3</v>
      </c>
      <c r="AE9" s="90">
        <v>2.6737967914438492E-3</v>
      </c>
      <c r="AF9" s="90">
        <v>6.0240963855421681E-3</v>
      </c>
      <c r="AG9" s="90">
        <v>6.0240963855421681E-3</v>
      </c>
      <c r="AH9" s="90">
        <v>0.92518556093497495</v>
      </c>
      <c r="AI9"/>
      <c r="AJ9"/>
      <c r="AK9"/>
      <c r="AL9"/>
      <c r="AM9"/>
      <c r="AN9"/>
      <c r="AO9"/>
      <c r="AP9"/>
      <c r="AQ9"/>
      <c r="AR9"/>
      <c r="AS9"/>
      <c r="AT9"/>
      <c r="AU9"/>
      <c r="AV9"/>
      <c r="AW9"/>
      <c r="AX9"/>
      <c r="AY9"/>
      <c r="AZ9"/>
      <c r="BA9"/>
      <c r="BB9"/>
      <c r="BC9"/>
      <c r="BD9"/>
      <c r="BE9"/>
      <c r="BF9"/>
      <c r="BG9"/>
      <c r="BH9"/>
      <c r="BI9"/>
      <c r="BJ9"/>
      <c r="BK9"/>
      <c r="BL9"/>
      <c r="BM9"/>
      <c r="BN9"/>
      <c r="BO9"/>
      <c r="BP9"/>
      <c r="BQ9"/>
      <c r="BR9"/>
      <c r="BS9"/>
      <c r="BT9"/>
    </row>
    <row r="10" spans="1:72" s="90" customFormat="1" x14ac:dyDescent="0.25">
      <c r="A10" s="92" t="s">
        <v>23</v>
      </c>
      <c r="B10" s="90">
        <v>0.55129650507328076</v>
      </c>
      <c r="C10" s="90">
        <v>0.55129650507328076</v>
      </c>
      <c r="D10" s="90">
        <v>0.10768033212247015</v>
      </c>
      <c r="E10" s="90">
        <v>0.10768033212247015</v>
      </c>
      <c r="F10" s="90">
        <v>5.3937432578209255E-3</v>
      </c>
      <c r="G10" s="90">
        <v>5.3937432578209255E-3</v>
      </c>
      <c r="H10" s="90">
        <v>0.12682926829268287</v>
      </c>
      <c r="I10" s="90">
        <v>0.12682926829268287</v>
      </c>
      <c r="J10" s="90">
        <v>5.9382422802850367E-2</v>
      </c>
      <c r="K10" s="90">
        <v>5.9382422802850367E-2</v>
      </c>
      <c r="N10" s="90">
        <v>0</v>
      </c>
      <c r="O10" s="90">
        <v>0</v>
      </c>
      <c r="P10" s="90">
        <v>0.25853658536585361</v>
      </c>
      <c r="Q10" s="90">
        <v>0.25853658536585361</v>
      </c>
      <c r="R10" s="90">
        <v>2.1794871794871794E-2</v>
      </c>
      <c r="S10" s="90">
        <v>2.1794871794871794E-2</v>
      </c>
      <c r="T10" s="90">
        <v>2.5675675675675674E-2</v>
      </c>
      <c r="U10" s="90">
        <v>2.5675675675675674E-2</v>
      </c>
      <c r="V10" s="90">
        <v>8.7289433384379791E-2</v>
      </c>
      <c r="W10" s="90">
        <v>8.7289433384379791E-2</v>
      </c>
      <c r="X10" s="90">
        <v>9.7505668934240411E-2</v>
      </c>
      <c r="Y10" s="90">
        <v>9.7505668934240411E-2</v>
      </c>
      <c r="Z10" s="90">
        <v>2.6548672566371671E-2</v>
      </c>
      <c r="AA10" s="90">
        <v>2.6548672566371671E-2</v>
      </c>
      <c r="AB10" s="90">
        <v>1.8987341772151903E-2</v>
      </c>
      <c r="AC10" s="90">
        <v>1.8987341772151903E-2</v>
      </c>
      <c r="AD10" s="90">
        <v>0.12299465240641709</v>
      </c>
      <c r="AE10" s="90">
        <v>0.12299465240641709</v>
      </c>
      <c r="AF10" s="90">
        <v>0.5030120481927709</v>
      </c>
      <c r="AG10" s="90">
        <v>0.5030120481927709</v>
      </c>
      <c r="AH10" s="90">
        <v>2.0129272216418386</v>
      </c>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9.0191657271702051E-3</v>
      </c>
      <c r="C11" s="90">
        <v>9.0191657271702051E-3</v>
      </c>
      <c r="D11" s="90">
        <v>1.297353399065904E-3</v>
      </c>
      <c r="E11" s="90">
        <v>1.297353399065904E-3</v>
      </c>
      <c r="F11" s="90">
        <v>1.0787486515641805E-3</v>
      </c>
      <c r="G11" s="90">
        <v>1.0787486515641805E-3</v>
      </c>
      <c r="H11" s="90">
        <v>1.9512195121951209E-2</v>
      </c>
      <c r="I11" s="90">
        <v>1.9512195121951209E-2</v>
      </c>
      <c r="J11" s="90">
        <v>5.9382422802850353E-2</v>
      </c>
      <c r="K11" s="90">
        <v>5.9382422802850353E-2</v>
      </c>
      <c r="N11" s="90">
        <v>1.5999999999999981E-3</v>
      </c>
      <c r="O11" s="90">
        <v>1.5999999999999981E-3</v>
      </c>
      <c r="P11" s="90">
        <v>9.756097560975608E-3</v>
      </c>
      <c r="Q11" s="90">
        <v>9.756097560975608E-3</v>
      </c>
      <c r="R11" s="90">
        <v>7.6923076923076919E-3</v>
      </c>
      <c r="S11" s="90">
        <v>7.6923076923076919E-3</v>
      </c>
      <c r="T11" s="90">
        <v>2.837837837837838E-2</v>
      </c>
      <c r="U11" s="90">
        <v>2.837837837837838E-2</v>
      </c>
      <c r="V11" s="90">
        <v>0</v>
      </c>
      <c r="W11" s="90">
        <v>0</v>
      </c>
      <c r="X11" s="90">
        <v>7.0294784580498759E-2</v>
      </c>
      <c r="Y11" s="90">
        <v>7.0294784580498759E-2</v>
      </c>
      <c r="Z11" s="90">
        <v>0.66814159292035424</v>
      </c>
      <c r="AA11" s="90">
        <v>0.66814159292035424</v>
      </c>
      <c r="AB11" s="90">
        <v>8.2278481012658305E-2</v>
      </c>
      <c r="AC11" s="90">
        <v>8.2278481012658305E-2</v>
      </c>
      <c r="AD11" s="90">
        <v>1.6042780748663096E-2</v>
      </c>
      <c r="AE11" s="90">
        <v>1.6042780748663096E-2</v>
      </c>
      <c r="AF11" s="90">
        <v>1.0542168674698796E-2</v>
      </c>
      <c r="AG11" s="90">
        <v>1.0542168674698796E-2</v>
      </c>
      <c r="AH11" s="90">
        <v>0.98501647727113673</v>
      </c>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3.3821871476888365E-3</v>
      </c>
      <c r="C12" s="90">
        <v>3.3821871476888365E-3</v>
      </c>
      <c r="D12" s="90">
        <v>5.189413596263623E-4</v>
      </c>
      <c r="E12" s="90">
        <v>5.189413596263623E-4</v>
      </c>
      <c r="F12" s="90">
        <v>1.6181229773462782E-2</v>
      </c>
      <c r="G12" s="90">
        <v>1.6181229773462782E-2</v>
      </c>
      <c r="H12" s="90">
        <v>0.21138211382113822</v>
      </c>
      <c r="I12" s="90">
        <v>0.21138211382113822</v>
      </c>
      <c r="J12" s="90">
        <v>4.5130641330166262E-2</v>
      </c>
      <c r="K12" s="90">
        <v>4.5130641330166262E-2</v>
      </c>
      <c r="L12" s="90">
        <v>0.21875</v>
      </c>
      <c r="M12" s="90">
        <v>0.21875</v>
      </c>
      <c r="N12" s="90">
        <v>4.7999999999999978E-3</v>
      </c>
      <c r="O12" s="90">
        <v>4.7999999999999978E-3</v>
      </c>
      <c r="P12" s="90">
        <v>2.4390243902439025E-2</v>
      </c>
      <c r="Q12" s="90">
        <v>2.4390243902439025E-2</v>
      </c>
      <c r="R12" s="90">
        <v>0.4358974358974359</v>
      </c>
      <c r="S12" s="90">
        <v>0.4358974358974359</v>
      </c>
      <c r="T12" s="90">
        <v>5.4054054054054057E-2</v>
      </c>
      <c r="U12" s="90">
        <v>5.4054054054054057E-2</v>
      </c>
      <c r="V12" s="90">
        <v>2.4502297090352228E-2</v>
      </c>
      <c r="W12" s="90">
        <v>2.4502297090352228E-2</v>
      </c>
      <c r="X12" s="90">
        <v>0.19501133786848066</v>
      </c>
      <c r="Y12" s="90">
        <v>0.19501133786848066</v>
      </c>
      <c r="Z12" s="90">
        <v>7.9646017699114974E-2</v>
      </c>
      <c r="AA12" s="90">
        <v>7.9646017699114974E-2</v>
      </c>
      <c r="AB12" s="90">
        <v>0.16139240506329114</v>
      </c>
      <c r="AC12" s="90">
        <v>0.16139240506329114</v>
      </c>
      <c r="AD12" s="90">
        <v>6.4171122994652413E-2</v>
      </c>
      <c r="AE12" s="90">
        <v>6.4171122994652413E-2</v>
      </c>
      <c r="AF12" s="90">
        <v>1.0542168674698796E-2</v>
      </c>
      <c r="AG12" s="90">
        <v>1.0542168674698796E-2</v>
      </c>
      <c r="AH12" s="90">
        <v>1.5497521966766012</v>
      </c>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0.34949267192784661</v>
      </c>
      <c r="C13" s="90">
        <v>0.34949267192784661</v>
      </c>
      <c r="D13" s="90">
        <v>0.8225220550077843</v>
      </c>
      <c r="E13" s="90">
        <v>0.8225220550077843</v>
      </c>
      <c r="F13" s="90">
        <v>2.6968716289104597E-3</v>
      </c>
      <c r="G13" s="90">
        <v>2.6968716289104597E-3</v>
      </c>
      <c r="H13" s="90">
        <v>6.9918699186991881E-2</v>
      </c>
      <c r="I13" s="90">
        <v>6.9918699186991881E-2</v>
      </c>
      <c r="J13" s="90">
        <v>1.9002375296912111E-2</v>
      </c>
      <c r="K13" s="90">
        <v>1.9002375296912111E-2</v>
      </c>
      <c r="N13" s="90">
        <v>0</v>
      </c>
      <c r="O13" s="90">
        <v>0</v>
      </c>
      <c r="P13" s="90">
        <v>0.25121951219512195</v>
      </c>
      <c r="Q13" s="90">
        <v>0.25121951219512195</v>
      </c>
      <c r="R13" s="90">
        <v>8.9743589743589754E-3</v>
      </c>
      <c r="S13" s="90">
        <v>8.9743589743589754E-3</v>
      </c>
      <c r="T13" s="90">
        <v>9.4594594594594582E-3</v>
      </c>
      <c r="U13" s="90">
        <v>9.4594594594594582E-3</v>
      </c>
      <c r="V13" s="90">
        <v>5.2067381316998479E-2</v>
      </c>
      <c r="W13" s="90">
        <v>5.2067381316998479E-2</v>
      </c>
      <c r="X13" s="90">
        <v>9.0702947845805015E-2</v>
      </c>
      <c r="Y13" s="90">
        <v>9.0702947845805015E-2</v>
      </c>
      <c r="Z13" s="90">
        <v>1.9911504424778754E-2</v>
      </c>
      <c r="AA13" s="90">
        <v>1.9911504424778754E-2</v>
      </c>
      <c r="AB13" s="90">
        <v>2.8481012658227858E-2</v>
      </c>
      <c r="AC13" s="90">
        <v>2.8481012658227858E-2</v>
      </c>
      <c r="AD13" s="90">
        <v>0.20855614973262032</v>
      </c>
      <c r="AE13" s="90">
        <v>0.20855614973262032</v>
      </c>
      <c r="AF13" s="90">
        <v>0.34487951807228917</v>
      </c>
      <c r="AG13" s="90">
        <v>0.34487951807228917</v>
      </c>
      <c r="AH13" s="90">
        <v>2.2778845177281051</v>
      </c>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0</v>
      </c>
      <c r="E14" s="90">
        <v>0</v>
      </c>
      <c r="F14" s="90">
        <v>0</v>
      </c>
      <c r="G14" s="90">
        <v>0</v>
      </c>
      <c r="H14" s="90">
        <v>0</v>
      </c>
      <c r="I14" s="90">
        <v>0</v>
      </c>
      <c r="J14" s="90">
        <v>0</v>
      </c>
      <c r="K14" s="90">
        <v>0</v>
      </c>
      <c r="N14" s="90">
        <v>0</v>
      </c>
      <c r="O14" s="90">
        <v>0</v>
      </c>
      <c r="P14" s="90">
        <v>0</v>
      </c>
      <c r="Q14" s="90">
        <v>0</v>
      </c>
      <c r="R14" s="90">
        <v>0</v>
      </c>
      <c r="S14" s="90">
        <v>0</v>
      </c>
      <c r="T14" s="90">
        <v>0</v>
      </c>
      <c r="U14" s="90">
        <v>0</v>
      </c>
      <c r="V14" s="90">
        <v>0</v>
      </c>
      <c r="W14" s="90">
        <v>0</v>
      </c>
      <c r="X14" s="90">
        <v>0</v>
      </c>
      <c r="Y14" s="90">
        <v>0</v>
      </c>
      <c r="Z14" s="90">
        <v>0</v>
      </c>
      <c r="AA14" s="90">
        <v>0</v>
      </c>
      <c r="AB14" s="90">
        <v>0</v>
      </c>
      <c r="AC14" s="90">
        <v>0</v>
      </c>
      <c r="AD14" s="90">
        <v>0</v>
      </c>
      <c r="AE14" s="90">
        <v>0</v>
      </c>
      <c r="AF14" s="90">
        <v>0</v>
      </c>
      <c r="AG14" s="90">
        <v>0</v>
      </c>
      <c r="AH14" s="90">
        <v>0</v>
      </c>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4.5095828635851173E-3</v>
      </c>
      <c r="C15" s="90">
        <v>4.5095828635851173E-3</v>
      </c>
      <c r="D15" s="90">
        <v>1.297353399065906E-3</v>
      </c>
      <c r="E15" s="90">
        <v>1.297353399065906E-3</v>
      </c>
      <c r="F15" s="90">
        <v>2.6968716289104597E-3</v>
      </c>
      <c r="G15" s="90">
        <v>2.6968716289104597E-3</v>
      </c>
      <c r="H15" s="90">
        <v>0.14634146341463414</v>
      </c>
      <c r="I15" s="90">
        <v>0.14634146341463414</v>
      </c>
      <c r="J15" s="90">
        <v>0.4608076009501188</v>
      </c>
      <c r="K15" s="90">
        <v>0.4608076009501188</v>
      </c>
      <c r="L15" s="90">
        <v>0.54374999999999996</v>
      </c>
      <c r="M15" s="90">
        <v>0.54374999999999996</v>
      </c>
      <c r="N15" s="90">
        <v>0</v>
      </c>
      <c r="O15" s="90">
        <v>0</v>
      </c>
      <c r="P15" s="90">
        <v>0.13170731707317071</v>
      </c>
      <c r="Q15" s="90">
        <v>0.13170731707317071</v>
      </c>
      <c r="R15" s="90">
        <v>6.2820512820512819E-2</v>
      </c>
      <c r="S15" s="90">
        <v>6.2820512820512819E-2</v>
      </c>
      <c r="T15" s="90">
        <v>0.70405405405405397</v>
      </c>
      <c r="U15" s="90">
        <v>0.70405405405405397</v>
      </c>
      <c r="V15" s="90">
        <v>0.12098009188361399</v>
      </c>
      <c r="W15" s="90">
        <v>0.12098009188361399</v>
      </c>
      <c r="X15" s="90">
        <v>0.10657596371882087</v>
      </c>
      <c r="Y15" s="90">
        <v>0.10657596371882087</v>
      </c>
      <c r="Z15" s="90">
        <v>3.3185840707964598E-2</v>
      </c>
      <c r="AA15" s="90">
        <v>3.3185840707964598E-2</v>
      </c>
      <c r="AB15" s="90">
        <v>0.28481012658227839</v>
      </c>
      <c r="AC15" s="90">
        <v>0.28481012658227839</v>
      </c>
      <c r="AD15" s="90">
        <v>0.12834224598930477</v>
      </c>
      <c r="AE15" s="90">
        <v>0.12834224598930477</v>
      </c>
      <c r="AF15" s="90">
        <v>1.6566265060240969E-2</v>
      </c>
      <c r="AG15" s="90">
        <v>1.6566265060240969E-2</v>
      </c>
      <c r="AH15" s="90">
        <v>2.7484452901462753</v>
      </c>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1.1273957158962795E-3</v>
      </c>
      <c r="C16" s="90">
        <v>1.1273957158962795E-3</v>
      </c>
      <c r="D16" s="90">
        <v>0</v>
      </c>
      <c r="E16" s="90">
        <v>0</v>
      </c>
      <c r="F16" s="90">
        <v>0.9439050701186622</v>
      </c>
      <c r="G16" s="90">
        <v>0.9439050701186622</v>
      </c>
      <c r="H16" s="90">
        <v>0.19024390243902436</v>
      </c>
      <c r="I16" s="90">
        <v>0.19024390243902436</v>
      </c>
      <c r="J16" s="90">
        <v>1.1876484560570073E-2</v>
      </c>
      <c r="K16" s="90">
        <v>1.1876484560570073E-2</v>
      </c>
      <c r="L16" s="90">
        <v>0.23750000000000004</v>
      </c>
      <c r="M16" s="90">
        <v>0.23750000000000004</v>
      </c>
      <c r="N16" s="90">
        <v>0.98720000000000008</v>
      </c>
      <c r="O16" s="90">
        <v>0.98720000000000008</v>
      </c>
      <c r="P16" s="90">
        <v>1.9512195121951216E-2</v>
      </c>
      <c r="Q16" s="90">
        <v>1.9512195121951216E-2</v>
      </c>
      <c r="R16" s="90">
        <v>0.39743589743589741</v>
      </c>
      <c r="S16" s="90">
        <v>0.39743589743589741</v>
      </c>
      <c r="T16" s="90">
        <v>9.4594594594594582E-3</v>
      </c>
      <c r="U16" s="90">
        <v>9.4594594594594582E-3</v>
      </c>
      <c r="V16" s="90">
        <v>4.59418070444104E-3</v>
      </c>
      <c r="W16" s="90">
        <v>4.59418070444104E-3</v>
      </c>
      <c r="X16" s="90">
        <v>9.9773242630385478E-2</v>
      </c>
      <c r="Y16" s="90">
        <v>9.9773242630385478E-2</v>
      </c>
      <c r="Z16" s="90">
        <v>2.21238938053097E-3</v>
      </c>
      <c r="AA16" s="90">
        <v>2.21238938053097E-3</v>
      </c>
      <c r="AB16" s="90">
        <v>0.12341772151898737</v>
      </c>
      <c r="AC16" s="90">
        <v>0.12341772151898737</v>
      </c>
      <c r="AD16" s="90">
        <v>6.5508021390374302E-2</v>
      </c>
      <c r="AE16" s="90">
        <v>6.5508021390374302E-2</v>
      </c>
      <c r="AF16" s="90">
        <v>4.5180722891566246E-3</v>
      </c>
      <c r="AG16" s="90">
        <v>4.5180722891566246E-3</v>
      </c>
      <c r="AH16" s="90">
        <v>3.0982840327653371</v>
      </c>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7.3280721533258167E-2</v>
      </c>
      <c r="C17" s="90">
        <v>7.3280721533258167E-2</v>
      </c>
      <c r="D17" s="90">
        <v>6.3570316554229372E-2</v>
      </c>
      <c r="E17" s="90">
        <v>6.3570316554229372E-2</v>
      </c>
      <c r="F17" s="90">
        <v>2.6968716289104636E-2</v>
      </c>
      <c r="G17" s="90">
        <v>2.6968716289104636E-2</v>
      </c>
      <c r="H17" s="90">
        <v>0.19186991869918696</v>
      </c>
      <c r="I17" s="90">
        <v>0.19186991869918696</v>
      </c>
      <c r="J17" s="90">
        <v>0.18527315914489306</v>
      </c>
      <c r="K17" s="90">
        <v>0.18527315914489306</v>
      </c>
      <c r="N17" s="90">
        <v>6.4000000000000003E-3</v>
      </c>
      <c r="O17" s="90">
        <v>6.4000000000000003E-3</v>
      </c>
      <c r="P17" s="90">
        <v>0.23414634146341468</v>
      </c>
      <c r="Q17" s="90">
        <v>0.23414634146341468</v>
      </c>
      <c r="R17" s="90">
        <v>5.5128205128205099E-2</v>
      </c>
      <c r="S17" s="90">
        <v>5.5128205128205099E-2</v>
      </c>
      <c r="T17" s="90">
        <v>0.13918918918918916</v>
      </c>
      <c r="U17" s="90">
        <v>0.13918918918918916</v>
      </c>
      <c r="V17" s="90">
        <v>0.15007656967840735</v>
      </c>
      <c r="W17" s="90">
        <v>0.15007656967840735</v>
      </c>
      <c r="X17" s="90">
        <v>0.28571428571428581</v>
      </c>
      <c r="Y17" s="90">
        <v>0.28571428571428581</v>
      </c>
      <c r="Z17" s="90">
        <v>0.16592920353982282</v>
      </c>
      <c r="AA17" s="90">
        <v>0.16592920353982282</v>
      </c>
      <c r="AB17" s="90">
        <v>0.21518987341772153</v>
      </c>
      <c r="AC17" s="90">
        <v>0.21518987341772153</v>
      </c>
      <c r="AD17" s="90">
        <v>0.37032085561497324</v>
      </c>
      <c r="AE17" s="90">
        <v>0.37032085561497324</v>
      </c>
      <c r="AF17" s="90">
        <v>9.3373493975903665E-2</v>
      </c>
      <c r="AG17" s="90">
        <v>9.3373493975903665E-2</v>
      </c>
      <c r="AH17" s="90">
        <v>2.2564308499425954</v>
      </c>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0.99999999999999989</v>
      </c>
      <c r="C18">
        <v>0.99999999999999989</v>
      </c>
      <c r="D18">
        <v>1.0000000000000002</v>
      </c>
      <c r="E18">
        <v>1.0000000000000002</v>
      </c>
      <c r="F18">
        <v>0.99999999999999989</v>
      </c>
      <c r="G18">
        <v>0.99999999999999989</v>
      </c>
      <c r="H18">
        <v>0.99999999999999978</v>
      </c>
      <c r="I18">
        <v>0.99999999999999978</v>
      </c>
      <c r="J18">
        <v>1</v>
      </c>
      <c r="K18">
        <v>1</v>
      </c>
      <c r="L18">
        <v>1</v>
      </c>
      <c r="M18">
        <v>1</v>
      </c>
      <c r="N18">
        <v>1</v>
      </c>
      <c r="O18">
        <v>1</v>
      </c>
      <c r="P18">
        <v>1</v>
      </c>
      <c r="Q18">
        <v>1</v>
      </c>
      <c r="R18">
        <v>1</v>
      </c>
      <c r="S18">
        <v>1</v>
      </c>
      <c r="T18">
        <v>0.99999999999999978</v>
      </c>
      <c r="U18">
        <v>0.99999999999999978</v>
      </c>
      <c r="V18">
        <v>1.0000000000000002</v>
      </c>
      <c r="W18">
        <v>1.0000000000000002</v>
      </c>
      <c r="X18">
        <v>0.99999999999999989</v>
      </c>
      <c r="Y18">
        <v>0.99999999999999989</v>
      </c>
      <c r="Z18">
        <v>0.99999999999999978</v>
      </c>
      <c r="AA18">
        <v>0.99999999999999978</v>
      </c>
      <c r="AB18">
        <v>1</v>
      </c>
      <c r="AC18">
        <v>1</v>
      </c>
      <c r="AD18">
        <v>0.99999999999999978</v>
      </c>
      <c r="AE18">
        <v>0.99999999999999978</v>
      </c>
      <c r="AF18">
        <v>0.99999999999999989</v>
      </c>
      <c r="AG18">
        <v>0.99999999999999989</v>
      </c>
      <c r="AH18">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15.28515625" bestFit="1" customWidth="1"/>
    <col min="4" max="4" width="13.28515625" bestFit="1" customWidth="1"/>
    <col min="5" max="5" width="16.28515625" bestFit="1" customWidth="1"/>
    <col min="6" max="6" width="14.5703125" bestFit="1" customWidth="1"/>
    <col min="7" max="7" width="17.5703125" bestFit="1" customWidth="1"/>
    <col min="8" max="8" width="17.42578125" bestFit="1" customWidth="1"/>
    <col min="9" max="9" width="20.28515625" bestFit="1" customWidth="1"/>
    <col min="10" max="10" width="14" bestFit="1" customWidth="1"/>
    <col min="11" max="11" width="17" bestFit="1" customWidth="1"/>
    <col min="12" max="12" width="14" bestFit="1" customWidth="1"/>
    <col min="13" max="13" width="17" bestFit="1" customWidth="1"/>
    <col min="14" max="14" width="13.42578125" bestFit="1" customWidth="1"/>
    <col min="15" max="15" width="16.42578125" bestFit="1" customWidth="1"/>
    <col min="16" max="16" width="13.7109375" bestFit="1" customWidth="1"/>
    <col min="17" max="17" width="16.7109375" bestFit="1" customWidth="1"/>
    <col min="18" max="18" width="12.42578125" bestFit="1" customWidth="1"/>
    <col min="19" max="19" width="15.28515625" bestFit="1" customWidth="1"/>
    <col min="20" max="20" width="14.85546875" bestFit="1" customWidth="1"/>
    <col min="21" max="21" width="17.85546875" bestFit="1" customWidth="1"/>
    <col min="22" max="22" width="12.5703125" bestFit="1" customWidth="1"/>
    <col min="23" max="23" width="20" bestFit="1" customWidth="1"/>
    <col min="24" max="24" width="17.5703125" bestFit="1" customWidth="1"/>
    <col min="25" max="25" width="20" bestFit="1" customWidth="1"/>
    <col min="26" max="26" width="17.5703125" bestFit="1" customWidth="1"/>
    <col min="27" max="27" width="20" bestFit="1" customWidth="1"/>
    <col min="28" max="28" width="20.140625" bestFit="1" customWidth="1"/>
    <col min="29" max="29" width="23.140625" bestFit="1" customWidth="1"/>
    <col min="30" max="30" width="20.140625" bestFit="1" customWidth="1"/>
    <col min="31" max="31" width="23.140625" bestFit="1" customWidth="1"/>
    <col min="32" max="32" width="20.140625" bestFit="1" customWidth="1"/>
    <col min="33" max="33" width="23.140625" bestFit="1" customWidth="1"/>
    <col min="34" max="34" width="12.5703125" bestFit="1" customWidth="1"/>
    <col min="35" max="35" width="19.42578125" bestFit="1" customWidth="1"/>
    <col min="36" max="36" width="17.140625" bestFit="1" customWidth="1"/>
    <col min="37" max="37" width="19.42578125" bestFit="1" customWidth="1"/>
    <col min="38" max="38" width="17.140625" bestFit="1" customWidth="1"/>
    <col min="39" max="39" width="19.42578125" bestFit="1" customWidth="1"/>
    <col min="40" max="40" width="19.5703125" bestFit="1" customWidth="1"/>
    <col min="41" max="41" width="22.42578125" bestFit="1" customWidth="1"/>
    <col min="42" max="42" width="19.5703125" bestFit="1" customWidth="1"/>
    <col min="43" max="43" width="22.42578125" bestFit="1" customWidth="1"/>
    <col min="44" max="44" width="19.5703125" bestFit="1" customWidth="1"/>
    <col min="45" max="45" width="22.42578125" bestFit="1" customWidth="1"/>
    <col min="46" max="46" width="12.285156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553</v>
      </c>
      <c r="C4" t="s">
        <v>567</v>
      </c>
      <c r="D4" t="s">
        <v>561</v>
      </c>
      <c r="E4" t="s">
        <v>568</v>
      </c>
      <c r="F4" t="s">
        <v>549</v>
      </c>
      <c r="G4" t="s">
        <v>569</v>
      </c>
      <c r="H4" t="s">
        <v>555</v>
      </c>
      <c r="I4" t="s">
        <v>570</v>
      </c>
      <c r="J4" t="s">
        <v>557</v>
      </c>
      <c r="K4" t="s">
        <v>571</v>
      </c>
      <c r="L4" t="s">
        <v>559</v>
      </c>
      <c r="M4" t="s">
        <v>572</v>
      </c>
      <c r="N4" t="s">
        <v>563</v>
      </c>
      <c r="O4" t="s">
        <v>573</v>
      </c>
      <c r="P4" t="s">
        <v>551</v>
      </c>
      <c r="Q4" t="s">
        <v>574</v>
      </c>
      <c r="R4" t="s">
        <v>547</v>
      </c>
      <c r="S4" t="s">
        <v>575</v>
      </c>
      <c r="T4" t="s">
        <v>565</v>
      </c>
      <c r="U4" t="s">
        <v>576</v>
      </c>
      <c r="V4" t="s">
        <v>28</v>
      </c>
    </row>
    <row r="5" spans="1:72" x14ac:dyDescent="0.25">
      <c r="A5" s="47" t="s">
        <v>27</v>
      </c>
      <c r="B5" t="s">
        <v>552</v>
      </c>
      <c r="D5" t="s">
        <v>560</v>
      </c>
      <c r="F5" t="s">
        <v>548</v>
      </c>
      <c r="H5" t="s">
        <v>554</v>
      </c>
      <c r="J5" t="s">
        <v>556</v>
      </c>
      <c r="L5" t="s">
        <v>558</v>
      </c>
      <c r="N5" t="s">
        <v>562</v>
      </c>
      <c r="P5" t="s">
        <v>550</v>
      </c>
      <c r="R5" t="s">
        <v>546</v>
      </c>
      <c r="T5" t="s">
        <v>564</v>
      </c>
    </row>
    <row r="6" spans="1:72" s="90" customFormat="1" x14ac:dyDescent="0.25">
      <c r="A6" s="92" t="s">
        <v>38</v>
      </c>
      <c r="B6" s="90">
        <v>0</v>
      </c>
      <c r="C6" s="90">
        <v>0</v>
      </c>
      <c r="D6" s="90">
        <v>0</v>
      </c>
      <c r="E6" s="90">
        <v>0</v>
      </c>
      <c r="F6" s="90">
        <v>4.570383912248629E-3</v>
      </c>
      <c r="G6" s="90">
        <v>4.570383912248629E-3</v>
      </c>
      <c r="H6" s="90">
        <v>0</v>
      </c>
      <c r="I6" s="90">
        <v>0</v>
      </c>
      <c r="J6" s="90">
        <v>1.5105740181268886E-3</v>
      </c>
      <c r="K6" s="90">
        <v>1.5105740181268886E-3</v>
      </c>
      <c r="L6" s="90">
        <v>0</v>
      </c>
      <c r="M6" s="90">
        <v>0</v>
      </c>
      <c r="N6" s="90">
        <v>2.2650056625141572E-2</v>
      </c>
      <c r="O6" s="90">
        <v>2.2650056625141572E-2</v>
      </c>
      <c r="P6" s="90">
        <v>0</v>
      </c>
      <c r="Q6" s="90">
        <v>0</v>
      </c>
      <c r="R6" s="90">
        <v>0</v>
      </c>
      <c r="S6" s="90">
        <v>0</v>
      </c>
      <c r="T6" s="90">
        <v>0</v>
      </c>
      <c r="U6" s="90">
        <v>0</v>
      </c>
      <c r="V6" s="90">
        <v>2.873101455551709E-2</v>
      </c>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row>
    <row r="7" spans="1:72" s="90" customFormat="1" x14ac:dyDescent="0.25">
      <c r="A7" s="92" t="s">
        <v>34</v>
      </c>
      <c r="B7" s="90">
        <v>1.7331022530329293E-3</v>
      </c>
      <c r="C7" s="90">
        <v>1.7331022530329293E-3</v>
      </c>
      <c r="D7" s="90">
        <v>1.4697236919459157E-3</v>
      </c>
      <c r="E7" s="90">
        <v>1.4697236919459157E-3</v>
      </c>
      <c r="F7" s="90">
        <v>1.8281535648994518E-3</v>
      </c>
      <c r="G7" s="90">
        <v>1.8281535648994518E-3</v>
      </c>
      <c r="H7" s="90">
        <v>2.7322404371584656E-3</v>
      </c>
      <c r="I7" s="90">
        <v>2.7322404371584656E-3</v>
      </c>
      <c r="J7" s="90">
        <v>1.5105740181268886E-3</v>
      </c>
      <c r="K7" s="90">
        <v>1.5105740181268886E-3</v>
      </c>
      <c r="L7" s="90">
        <v>4.7915668423574532E-4</v>
      </c>
      <c r="M7" s="90">
        <v>4.7915668423574532E-4</v>
      </c>
      <c r="N7" s="90">
        <v>3.7750094375235952E-3</v>
      </c>
      <c r="O7" s="90">
        <v>3.7750094375235952E-3</v>
      </c>
      <c r="P7" s="90">
        <v>8.9445438282647598E-3</v>
      </c>
      <c r="Q7" s="90">
        <v>8.9445438282647598E-3</v>
      </c>
      <c r="R7" s="90">
        <v>2.478929102627662E-3</v>
      </c>
      <c r="S7" s="90">
        <v>2.478929102627662E-3</v>
      </c>
      <c r="T7" s="90">
        <v>1.7441860465116286E-2</v>
      </c>
      <c r="U7" s="90">
        <v>1.7441860465116286E-2</v>
      </c>
      <c r="V7" s="90">
        <v>4.23932934829317E-2</v>
      </c>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9.6899224806201584E-3</v>
      </c>
      <c r="U8" s="90">
        <v>9.6899224806201584E-3</v>
      </c>
      <c r="V8" s="90">
        <v>9.6899224806201584E-3</v>
      </c>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row>
    <row r="9" spans="1:72" s="90" customFormat="1" x14ac:dyDescent="0.25">
      <c r="A9" s="92" t="s">
        <v>22</v>
      </c>
      <c r="B9" s="90">
        <v>0.66204506065857882</v>
      </c>
      <c r="C9" s="90">
        <v>0.66204506065857882</v>
      </c>
      <c r="D9" s="90">
        <v>1.4697236919459144E-3</v>
      </c>
      <c r="E9" s="90">
        <v>1.4697236919459144E-3</v>
      </c>
      <c r="F9" s="90">
        <v>0</v>
      </c>
      <c r="G9" s="90">
        <v>0</v>
      </c>
      <c r="H9" s="90">
        <v>5.464480874316939E-3</v>
      </c>
      <c r="I9" s="90">
        <v>5.464480874316939E-3</v>
      </c>
      <c r="J9" s="90">
        <v>0</v>
      </c>
      <c r="K9" s="90">
        <v>0</v>
      </c>
      <c r="L9" s="90">
        <v>1.1978917105893634E-3</v>
      </c>
      <c r="M9" s="90">
        <v>1.1978917105893634E-3</v>
      </c>
      <c r="N9" s="90">
        <v>7.5500188750471907E-4</v>
      </c>
      <c r="O9" s="90">
        <v>7.5500188750471907E-4</v>
      </c>
      <c r="P9" s="90">
        <v>3.5778175313059046E-2</v>
      </c>
      <c r="Q9" s="90">
        <v>3.5778175313059046E-2</v>
      </c>
      <c r="R9" s="90">
        <v>0</v>
      </c>
      <c r="S9" s="90">
        <v>0</v>
      </c>
      <c r="T9" s="90">
        <v>7.7519379844961257E-3</v>
      </c>
      <c r="U9" s="90">
        <v>7.7519379844961257E-3</v>
      </c>
      <c r="V9" s="90">
        <v>0.71446227212049096</v>
      </c>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row>
    <row r="10" spans="1:72" s="90" customFormat="1" x14ac:dyDescent="0.25">
      <c r="A10" s="92" t="s">
        <v>23</v>
      </c>
      <c r="B10" s="90">
        <v>4.3327556325823233E-2</v>
      </c>
      <c r="C10" s="90">
        <v>4.3327556325823233E-2</v>
      </c>
      <c r="D10" s="90">
        <v>0.84509112286890076</v>
      </c>
      <c r="E10" s="90">
        <v>0.84509112286890076</v>
      </c>
      <c r="F10" s="90">
        <v>9.1407678244972562E-3</v>
      </c>
      <c r="G10" s="90">
        <v>9.1407678244972562E-3</v>
      </c>
      <c r="H10" s="90">
        <v>1.9125683060109283E-2</v>
      </c>
      <c r="I10" s="90">
        <v>1.9125683060109283E-2</v>
      </c>
      <c r="J10" s="90">
        <v>0.1797583081570997</v>
      </c>
      <c r="K10" s="90">
        <v>0.1797583081570997</v>
      </c>
      <c r="L10" s="90">
        <v>0.11978917105893624</v>
      </c>
      <c r="M10" s="90">
        <v>0.11978917105893624</v>
      </c>
      <c r="N10" s="90">
        <v>7.3612684031709938E-2</v>
      </c>
      <c r="O10" s="90">
        <v>7.3612684031709938E-2</v>
      </c>
      <c r="P10" s="90">
        <v>6.7084078711985698E-2</v>
      </c>
      <c r="Q10" s="90">
        <v>6.7084078711985698E-2</v>
      </c>
      <c r="R10" s="90">
        <v>2.4789291026276654E-3</v>
      </c>
      <c r="S10" s="90">
        <v>2.4789291026276654E-3</v>
      </c>
      <c r="T10" s="90">
        <v>0.127906976744186</v>
      </c>
      <c r="U10" s="90">
        <v>0.127906976744186</v>
      </c>
      <c r="V10" s="90">
        <v>1.4873152778858758</v>
      </c>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3.8128249566724497E-2</v>
      </c>
      <c r="C11" s="90">
        <v>3.8128249566724497E-2</v>
      </c>
      <c r="D11" s="90">
        <v>1.4697236919459157E-3</v>
      </c>
      <c r="E11" s="90">
        <v>1.4697236919459157E-3</v>
      </c>
      <c r="F11" s="90">
        <v>0.77696526508226693</v>
      </c>
      <c r="G11" s="90">
        <v>0.77696526508226693</v>
      </c>
      <c r="H11" s="90">
        <v>5.464480874316939E-3</v>
      </c>
      <c r="I11" s="90">
        <v>5.464480874316939E-3</v>
      </c>
      <c r="J11" s="90">
        <v>1.5105740181268865E-3</v>
      </c>
      <c r="K11" s="90">
        <v>1.5105740181268865E-3</v>
      </c>
      <c r="L11" s="90">
        <v>4.7915668423574517E-3</v>
      </c>
      <c r="M11" s="90">
        <v>4.7915668423574517E-3</v>
      </c>
      <c r="N11" s="90">
        <v>7.5500188750471907E-4</v>
      </c>
      <c r="O11" s="90">
        <v>7.5500188750471907E-4</v>
      </c>
      <c r="P11" s="90">
        <v>1.3416815742397096E-2</v>
      </c>
      <c r="Q11" s="90">
        <v>1.3416815742397096E-2</v>
      </c>
      <c r="R11" s="90">
        <v>2.4789291026276654E-3</v>
      </c>
      <c r="S11" s="90">
        <v>2.4789291026276654E-3</v>
      </c>
      <c r="T11" s="90">
        <v>7.7519379844961257E-3</v>
      </c>
      <c r="U11" s="90">
        <v>7.7519379844961257E-3</v>
      </c>
      <c r="V11" s="90">
        <v>0.85273254479276439</v>
      </c>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2.599653379549394E-2</v>
      </c>
      <c r="C12" s="90">
        <v>2.599653379549394E-2</v>
      </c>
      <c r="D12" s="90">
        <v>4.409171075837744E-3</v>
      </c>
      <c r="E12" s="90">
        <v>4.409171075837744E-3</v>
      </c>
      <c r="F12" s="90">
        <v>5.4844606946983517E-2</v>
      </c>
      <c r="G12" s="90">
        <v>5.4844606946983517E-2</v>
      </c>
      <c r="H12" s="90">
        <v>0.81147540983606548</v>
      </c>
      <c r="I12" s="90">
        <v>0.81147540983606548</v>
      </c>
      <c r="J12" s="90">
        <v>3.0211480362537764E-3</v>
      </c>
      <c r="K12" s="90">
        <v>3.0211480362537764E-3</v>
      </c>
      <c r="L12" s="90">
        <v>4.7915668423574517E-3</v>
      </c>
      <c r="M12" s="90">
        <v>4.7915668423574517E-3</v>
      </c>
      <c r="N12" s="90">
        <v>5.6625141562853896E-3</v>
      </c>
      <c r="O12" s="90">
        <v>5.6625141562853896E-3</v>
      </c>
      <c r="P12" s="90">
        <v>7.1556350626118079E-2</v>
      </c>
      <c r="Q12" s="90">
        <v>7.1556350626118079E-2</v>
      </c>
      <c r="R12" s="90">
        <v>2.7268220128904317E-2</v>
      </c>
      <c r="S12" s="90">
        <v>2.7268220128904317E-2</v>
      </c>
      <c r="T12" s="90">
        <v>7.3643410852713156E-2</v>
      </c>
      <c r="U12" s="90">
        <v>7.3643410852713156E-2</v>
      </c>
      <c r="V12" s="90">
        <v>1.0826689322970129</v>
      </c>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2.9462738301559793E-2</v>
      </c>
      <c r="C13" s="90">
        <v>2.9462738301559793E-2</v>
      </c>
      <c r="D13" s="90">
        <v>0.10141093474426796</v>
      </c>
      <c r="E13" s="90">
        <v>0.10141093474426796</v>
      </c>
      <c r="F13" s="90">
        <v>9.1407678244972562E-3</v>
      </c>
      <c r="G13" s="90">
        <v>9.1407678244972562E-3</v>
      </c>
      <c r="H13" s="90">
        <v>4.9180327868852444E-2</v>
      </c>
      <c r="I13" s="90">
        <v>4.9180327868852444E-2</v>
      </c>
      <c r="J13" s="90">
        <v>0.75830815709969779</v>
      </c>
      <c r="K13" s="90">
        <v>0.75830815709969779</v>
      </c>
      <c r="L13" s="90">
        <v>0.82414949688548178</v>
      </c>
      <c r="M13" s="90">
        <v>0.82414949688548178</v>
      </c>
      <c r="N13" s="90">
        <v>4.3412608531521291E-2</v>
      </c>
      <c r="O13" s="90">
        <v>4.3412608531521291E-2</v>
      </c>
      <c r="P13" s="90">
        <v>1.3416815742397144E-2</v>
      </c>
      <c r="Q13" s="90">
        <v>1.3416815742397144E-2</v>
      </c>
      <c r="R13" s="90">
        <v>2.4789291026276654E-3</v>
      </c>
      <c r="S13" s="90">
        <v>2.4789291026276654E-3</v>
      </c>
      <c r="T13" s="90">
        <v>8.3333333333333315E-2</v>
      </c>
      <c r="U13" s="90">
        <v>8.3333333333333315E-2</v>
      </c>
      <c r="V13" s="90">
        <v>1.9142941094342361</v>
      </c>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0</v>
      </c>
      <c r="E14" s="90">
        <v>0</v>
      </c>
      <c r="F14" s="90">
        <v>0</v>
      </c>
      <c r="G14" s="90">
        <v>0</v>
      </c>
      <c r="H14" s="90">
        <v>0</v>
      </c>
      <c r="I14" s="90">
        <v>0</v>
      </c>
      <c r="J14" s="90">
        <v>0</v>
      </c>
      <c r="K14" s="90">
        <v>0</v>
      </c>
      <c r="L14" s="90">
        <v>0</v>
      </c>
      <c r="M14" s="90">
        <v>0</v>
      </c>
      <c r="N14" s="90">
        <v>0.60777651944129885</v>
      </c>
      <c r="O14" s="90">
        <v>0.60777651944129885</v>
      </c>
      <c r="P14" s="90">
        <v>0</v>
      </c>
      <c r="Q14" s="90">
        <v>0</v>
      </c>
      <c r="R14" s="90">
        <v>0</v>
      </c>
      <c r="S14" s="90">
        <v>0</v>
      </c>
      <c r="T14" s="90">
        <v>0</v>
      </c>
      <c r="U14" s="90">
        <v>0</v>
      </c>
      <c r="V14" s="90">
        <v>0.60777651944129885</v>
      </c>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4.1594454072790277E-2</v>
      </c>
      <c r="C15" s="90">
        <v>4.1594454072790277E-2</v>
      </c>
      <c r="D15" s="90">
        <v>0</v>
      </c>
      <c r="E15" s="90">
        <v>0</v>
      </c>
      <c r="F15" s="90">
        <v>4.5703839122486229E-3</v>
      </c>
      <c r="G15" s="90">
        <v>4.5703839122486229E-3</v>
      </c>
      <c r="H15" s="90">
        <v>3.0054644808743165E-2</v>
      </c>
      <c r="I15" s="90">
        <v>3.0054644808743165E-2</v>
      </c>
      <c r="J15" s="90">
        <v>3.0211480362537764E-3</v>
      </c>
      <c r="K15" s="90">
        <v>3.0211480362537764E-3</v>
      </c>
      <c r="L15" s="90">
        <v>4.7915668423574532E-4</v>
      </c>
      <c r="M15" s="90">
        <v>4.7915668423574532E-4</v>
      </c>
      <c r="N15" s="90">
        <v>5.6625141562853896E-3</v>
      </c>
      <c r="O15" s="90">
        <v>5.6625141562853896E-3</v>
      </c>
      <c r="P15" s="90">
        <v>0.58363148479427551</v>
      </c>
      <c r="Q15" s="90">
        <v>0.58363148479427551</v>
      </c>
      <c r="R15" s="90">
        <v>9.9157164105106608E-4</v>
      </c>
      <c r="S15" s="90">
        <v>9.9157164105106608E-4</v>
      </c>
      <c r="T15" s="90">
        <v>6.5891472868217074E-2</v>
      </c>
      <c r="U15" s="90">
        <v>6.5891472868217074E-2</v>
      </c>
      <c r="V15" s="90">
        <v>0.73589683097410052</v>
      </c>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0</v>
      </c>
      <c r="C16" s="90">
        <v>0</v>
      </c>
      <c r="D16" s="90">
        <v>5.8788947677836578E-4</v>
      </c>
      <c r="E16" s="90">
        <v>5.8788947677836578E-4</v>
      </c>
      <c r="F16" s="90">
        <v>1.8281535648994518E-3</v>
      </c>
      <c r="G16" s="90">
        <v>1.8281535648994518E-3</v>
      </c>
      <c r="H16" s="90">
        <v>3.0054644808743165E-2</v>
      </c>
      <c r="I16" s="90">
        <v>3.0054644808743165E-2</v>
      </c>
      <c r="J16" s="90">
        <v>0</v>
      </c>
      <c r="K16" s="90">
        <v>0</v>
      </c>
      <c r="L16" s="90">
        <v>0</v>
      </c>
      <c r="M16" s="90">
        <v>0</v>
      </c>
      <c r="N16" s="90">
        <v>0</v>
      </c>
      <c r="O16" s="90">
        <v>0</v>
      </c>
      <c r="P16" s="90">
        <v>8.9445438282647598E-3</v>
      </c>
      <c r="Q16" s="90">
        <v>8.9445438282647598E-3</v>
      </c>
      <c r="R16" s="90">
        <v>0.91968269707486361</v>
      </c>
      <c r="S16" s="90">
        <v>0.91968269707486361</v>
      </c>
      <c r="T16" s="90">
        <v>6.9767441860465143E-2</v>
      </c>
      <c r="U16" s="90">
        <v>6.9767441860465143E-2</v>
      </c>
      <c r="V16" s="90">
        <v>1.0308653706140145</v>
      </c>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0.15771230502599648</v>
      </c>
      <c r="C17" s="90">
        <v>0.15771230502599648</v>
      </c>
      <c r="D17" s="90">
        <v>4.409171075837743E-2</v>
      </c>
      <c r="E17" s="90">
        <v>4.409171075837743E-2</v>
      </c>
      <c r="F17" s="90">
        <v>0.13711151736745888</v>
      </c>
      <c r="G17" s="90">
        <v>0.13711151736745888</v>
      </c>
      <c r="H17" s="90">
        <v>4.644808743169386E-2</v>
      </c>
      <c r="I17" s="90">
        <v>4.644808743169386E-2</v>
      </c>
      <c r="J17" s="90">
        <v>5.1359516616314188E-2</v>
      </c>
      <c r="K17" s="90">
        <v>5.1359516616314188E-2</v>
      </c>
      <c r="L17" s="90">
        <v>4.4321993291806389E-2</v>
      </c>
      <c r="M17" s="90">
        <v>4.4321993291806389E-2</v>
      </c>
      <c r="N17" s="90">
        <v>0.23593808984522455</v>
      </c>
      <c r="O17" s="90">
        <v>0.23593808984522455</v>
      </c>
      <c r="P17" s="90">
        <v>0.19722719141323783</v>
      </c>
      <c r="Q17" s="90">
        <v>0.19722719141323783</v>
      </c>
      <c r="R17" s="90">
        <v>4.2141794744670204E-2</v>
      </c>
      <c r="S17" s="90">
        <v>4.2141794744670204E-2</v>
      </c>
      <c r="T17" s="90">
        <v>0.53682170542635677</v>
      </c>
      <c r="U17" s="90">
        <v>0.53682170542635677</v>
      </c>
      <c r="V17" s="90">
        <v>1.4931739119211365</v>
      </c>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0.99999999999999978</v>
      </c>
      <c r="C18">
        <v>0.99999999999999978</v>
      </c>
      <c r="D18">
        <v>1</v>
      </c>
      <c r="E18">
        <v>1</v>
      </c>
      <c r="F18">
        <v>1</v>
      </c>
      <c r="G18">
        <v>1</v>
      </c>
      <c r="H18">
        <v>0.99999999999999978</v>
      </c>
      <c r="I18">
        <v>0.99999999999999978</v>
      </c>
      <c r="J18">
        <v>0.99999999999999989</v>
      </c>
      <c r="K18">
        <v>0.99999999999999989</v>
      </c>
      <c r="L18">
        <v>1.0000000000000002</v>
      </c>
      <c r="M18">
        <v>1.0000000000000002</v>
      </c>
      <c r="N18">
        <v>1</v>
      </c>
      <c r="O18">
        <v>1</v>
      </c>
      <c r="P18">
        <v>0.99999999999999989</v>
      </c>
      <c r="Q18">
        <v>0.99999999999999989</v>
      </c>
      <c r="R18">
        <v>0.99999999999999978</v>
      </c>
      <c r="S18">
        <v>0.99999999999999978</v>
      </c>
      <c r="T18">
        <v>1</v>
      </c>
      <c r="U18">
        <v>1</v>
      </c>
      <c r="V18">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26"/>
  <sheetViews>
    <sheetView showGridLines="0" topLeftCell="A6" zoomScale="70" zoomScaleNormal="70" zoomScaleSheetLayoutView="85" workbookViewId="0">
      <selection activeCell="AZ1" sqref="F1:AZ1048576"/>
    </sheetView>
  </sheetViews>
  <sheetFormatPr baseColWidth="10" defaultColWidth="9.140625" defaultRowHeight="18.75" x14ac:dyDescent="0.25"/>
  <cols>
    <col min="1" max="1" width="14.7109375" style="29" customWidth="1"/>
    <col min="2" max="2" width="74.5703125" style="29" customWidth="1"/>
    <col min="3" max="3" width="61" style="29" customWidth="1"/>
    <col min="4" max="4" width="7.5703125" style="2" customWidth="1"/>
    <col min="5" max="6" width="9.140625" style="2"/>
    <col min="7" max="7" width="66.5703125" style="2" bestFit="1" customWidth="1"/>
    <col min="8" max="16384" width="9.140625" style="2"/>
  </cols>
  <sheetData>
    <row r="1" spans="1:7" x14ac:dyDescent="0.25">
      <c r="A1" s="113" t="s">
        <v>39</v>
      </c>
      <c r="B1" s="114"/>
      <c r="C1" s="115"/>
    </row>
    <row r="2" spans="1:7" ht="42.75" customHeight="1" x14ac:dyDescent="0.25">
      <c r="A2" s="118" t="s">
        <v>2</v>
      </c>
      <c r="B2" s="119"/>
      <c r="C2" s="40"/>
    </row>
    <row r="3" spans="1:7" ht="42.75" customHeight="1" x14ac:dyDescent="0.25">
      <c r="A3" s="118" t="s">
        <v>0</v>
      </c>
      <c r="B3" s="119"/>
      <c r="C3" s="41"/>
    </row>
    <row r="4" spans="1:7" ht="42.75" customHeight="1" x14ac:dyDescent="0.25">
      <c r="A4" s="118" t="s">
        <v>21</v>
      </c>
      <c r="B4" s="119"/>
      <c r="C4" s="42"/>
    </row>
    <row r="5" spans="1:7" ht="42.75" customHeight="1" thickBot="1" x14ac:dyDescent="0.3">
      <c r="A5" s="120" t="s">
        <v>1</v>
      </c>
      <c r="B5" s="121"/>
      <c r="C5" s="43"/>
    </row>
    <row r="6" spans="1:7" ht="34.5" customHeight="1" thickBot="1" x14ac:dyDescent="0.3">
      <c r="A6" s="122" t="s">
        <v>4</v>
      </c>
      <c r="B6" s="123"/>
      <c r="C6" s="124"/>
      <c r="G6" s="3"/>
    </row>
    <row r="7" spans="1:7" ht="34.5" customHeight="1" thickBot="1" x14ac:dyDescent="0.3">
      <c r="A7" s="32">
        <v>1</v>
      </c>
      <c r="B7" s="39" t="s">
        <v>26</v>
      </c>
      <c r="C7" s="45"/>
    </row>
    <row r="8" spans="1:7" ht="91.5" customHeight="1" x14ac:dyDescent="0.25">
      <c r="A8" s="32">
        <v>2</v>
      </c>
      <c r="B8" s="39" t="s">
        <v>44</v>
      </c>
      <c r="C8" s="45"/>
    </row>
    <row r="9" spans="1:7" ht="34.5" customHeight="1" thickBot="1" x14ac:dyDescent="0.3">
      <c r="A9" s="33">
        <v>3</v>
      </c>
      <c r="B9" s="37" t="s">
        <v>43</v>
      </c>
      <c r="C9" s="45"/>
    </row>
    <row r="10" spans="1:7" ht="34.5" customHeight="1" thickBot="1" x14ac:dyDescent="0.3">
      <c r="A10" s="31">
        <v>4</v>
      </c>
      <c r="B10" s="38" t="s">
        <v>22</v>
      </c>
      <c r="C10" s="45"/>
    </row>
    <row r="11" spans="1:7" ht="34.5" customHeight="1" x14ac:dyDescent="0.25">
      <c r="A11" s="32">
        <v>5</v>
      </c>
      <c r="B11" s="36" t="s">
        <v>34</v>
      </c>
      <c r="C11" s="45"/>
    </row>
    <row r="12" spans="1:7" ht="34.5" customHeight="1" x14ac:dyDescent="0.25">
      <c r="A12" s="34">
        <v>6</v>
      </c>
      <c r="B12" s="39" t="s">
        <v>35</v>
      </c>
      <c r="C12" s="45"/>
    </row>
    <row r="13" spans="1:7" ht="34.5" customHeight="1" x14ac:dyDescent="0.25">
      <c r="A13" s="34">
        <v>7</v>
      </c>
      <c r="B13" s="39" t="s">
        <v>36</v>
      </c>
      <c r="C13" s="45"/>
    </row>
    <row r="14" spans="1:7" ht="34.5" customHeight="1" x14ac:dyDescent="0.25">
      <c r="A14" s="34">
        <v>8</v>
      </c>
      <c r="B14" s="39" t="s">
        <v>37</v>
      </c>
      <c r="C14" s="45"/>
    </row>
    <row r="15" spans="1:7" ht="34.5" customHeight="1" x14ac:dyDescent="0.25">
      <c r="A15" s="34">
        <v>9</v>
      </c>
      <c r="B15" s="39" t="s">
        <v>38</v>
      </c>
      <c r="C15" s="45"/>
    </row>
    <row r="16" spans="1:7" ht="34.5" customHeight="1" x14ac:dyDescent="0.25">
      <c r="A16" s="34">
        <v>10</v>
      </c>
      <c r="B16" s="39" t="s">
        <v>23</v>
      </c>
      <c r="C16" s="45"/>
    </row>
    <row r="17" spans="1:3" ht="34.5" customHeight="1" x14ac:dyDescent="0.25">
      <c r="A17" s="34">
        <v>11</v>
      </c>
      <c r="B17" s="39" t="s">
        <v>45</v>
      </c>
      <c r="C17" s="45"/>
    </row>
    <row r="18" spans="1:3" ht="34.5" customHeight="1" thickBot="1" x14ac:dyDescent="0.3">
      <c r="A18" s="35">
        <v>12</v>
      </c>
      <c r="B18" s="58" t="s">
        <v>10</v>
      </c>
      <c r="C18" s="45"/>
    </row>
    <row r="19" spans="1:3" ht="253.5" customHeight="1" thickBot="1" x14ac:dyDescent="0.3">
      <c r="A19" s="116" t="s">
        <v>3</v>
      </c>
      <c r="B19" s="117"/>
      <c r="C19" s="44" t="s">
        <v>46</v>
      </c>
    </row>
    <row r="20" spans="1:3" ht="19.5" customHeight="1" x14ac:dyDescent="0.25"/>
    <row r="21" spans="1:3" ht="19.5" customHeight="1" x14ac:dyDescent="0.25"/>
    <row r="22" spans="1:3" ht="19.5" customHeight="1" x14ac:dyDescent="0.25"/>
    <row r="23" spans="1:3" ht="19.5" customHeight="1" x14ac:dyDescent="0.25"/>
    <row r="24" spans="1:3" ht="19.5" customHeight="1" x14ac:dyDescent="0.25"/>
    <row r="25" spans="1:3" ht="19.5" customHeight="1" x14ac:dyDescent="0.25"/>
    <row r="26" spans="1:3" ht="184.5" customHeight="1" x14ac:dyDescent="0.25"/>
  </sheetData>
  <mergeCells count="7">
    <mergeCell ref="A1:C1"/>
    <mergeCell ref="A19:B19"/>
    <mergeCell ref="A3:B3"/>
    <mergeCell ref="A2:B2"/>
    <mergeCell ref="A4:B4"/>
    <mergeCell ref="A5:B5"/>
    <mergeCell ref="A6:C6"/>
  </mergeCells>
  <printOptions horizontalCentered="1" verticalCentered="1"/>
  <pageMargins left="0.23622047244094491" right="0.23622047244094491" top="0.49" bottom="0.74803149606299213" header="0.31496062992125984" footer="0.31496062992125984"/>
  <pageSetup paperSize="9" scale="66" fitToHeight="0" orientation="portrait" r:id="rId1"/>
  <rowBreaks count="1" manualBreakCount="1">
    <brk id="19" max="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2"/>
  <sheetViews>
    <sheetView workbookViewId="0">
      <selection activeCell="C12" sqref="C12"/>
    </sheetView>
  </sheetViews>
  <sheetFormatPr baseColWidth="10" defaultRowHeight="15" x14ac:dyDescent="0.25"/>
  <cols>
    <col min="1" max="1" width="67.7109375" bestFit="1" customWidth="1"/>
  </cols>
  <sheetData>
    <row r="1" spans="1:2" ht="15.75" x14ac:dyDescent="0.25">
      <c r="A1" s="39" t="s">
        <v>26</v>
      </c>
      <c r="B1" s="4" t="s">
        <v>47</v>
      </c>
    </row>
    <row r="2" spans="1:2" ht="78.75" x14ac:dyDescent="0.25">
      <c r="A2" s="39" t="s">
        <v>44</v>
      </c>
      <c r="B2" s="4" t="s">
        <v>47</v>
      </c>
    </row>
    <row r="3" spans="1:2" ht="16.5" thickBot="1" x14ac:dyDescent="0.3">
      <c r="A3" s="37" t="s">
        <v>43</v>
      </c>
      <c r="B3" s="4" t="s">
        <v>47</v>
      </c>
    </row>
    <row r="4" spans="1:2" ht="16.5" thickBot="1" x14ac:dyDescent="0.3">
      <c r="A4" s="38" t="s">
        <v>22</v>
      </c>
      <c r="B4" s="4" t="s">
        <v>47</v>
      </c>
    </row>
    <row r="5" spans="1:2" ht="15.75" x14ac:dyDescent="0.25">
      <c r="A5" s="36" t="s">
        <v>34</v>
      </c>
      <c r="B5" s="4" t="s">
        <v>24</v>
      </c>
    </row>
    <row r="6" spans="1:2" ht="15.75" x14ac:dyDescent="0.25">
      <c r="A6" s="39" t="s">
        <v>35</v>
      </c>
      <c r="B6" s="4" t="s">
        <v>24</v>
      </c>
    </row>
    <row r="7" spans="1:2" ht="15.75" x14ac:dyDescent="0.25">
      <c r="A7" s="39" t="s">
        <v>36</v>
      </c>
      <c r="B7" s="4" t="s">
        <v>47</v>
      </c>
    </row>
    <row r="8" spans="1:2" ht="15.75" x14ac:dyDescent="0.25">
      <c r="A8" s="39" t="s">
        <v>37</v>
      </c>
      <c r="B8" s="4" t="s">
        <v>25</v>
      </c>
    </row>
    <row r="9" spans="1:2" ht="15.75" x14ac:dyDescent="0.25">
      <c r="A9" s="39" t="s">
        <v>38</v>
      </c>
      <c r="B9" s="4" t="s">
        <v>24</v>
      </c>
    </row>
    <row r="10" spans="1:2" ht="15.75" x14ac:dyDescent="0.25">
      <c r="A10" s="39" t="s">
        <v>23</v>
      </c>
      <c r="B10" s="4" t="s">
        <v>47</v>
      </c>
    </row>
    <row r="11" spans="1:2" ht="15.75" x14ac:dyDescent="0.25">
      <c r="A11" s="39" t="s">
        <v>45</v>
      </c>
      <c r="B11" s="4" t="s">
        <v>47</v>
      </c>
    </row>
    <row r="12" spans="1:2" ht="16.5" thickBot="1" x14ac:dyDescent="0.3">
      <c r="A12" s="58" t="s">
        <v>10</v>
      </c>
      <c r="B12" s="4"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50B0A2E653A34084890F3BED22207D" ma:contentTypeVersion="9" ma:contentTypeDescription="Crée un document." ma:contentTypeScope="" ma:versionID="24f3b86a80f059c3a765c7d07edc5ca0">
  <xsd:schema xmlns:xsd="http://www.w3.org/2001/XMLSchema" xmlns:xs="http://www.w3.org/2001/XMLSchema" xmlns:p="http://schemas.microsoft.com/office/2006/metadata/properties" xmlns:ns2="e21ed4c9-d186-406d-b96e-a9cde879f365" targetNamespace="http://schemas.microsoft.com/office/2006/metadata/properties" ma:root="true" ma:fieldsID="73269e71476cb00623920586e1a11f30" ns2:_="">
    <xsd:import namespace="e21ed4c9-d186-406d-b96e-a9cde879f3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1ed4c9-d186-406d-b96e-a9cde879f3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50DC86-0DFF-4E71-B24F-149D929DD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1ed4c9-d186-406d-b96e-a9cde879f3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A27771-0D97-429D-A5F2-620C6304724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D484AF-F6ED-491D-AA6D-88EE420FB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BDD_saisies</vt:lpstr>
      <vt:lpstr>Analyse flux entrant</vt:lpstr>
      <vt:lpstr>Analyse flux sortant</vt:lpstr>
      <vt:lpstr>Analyse sorties TO</vt:lpstr>
      <vt:lpstr>Analyse flux tables de tri</vt:lpstr>
      <vt:lpstr>TCD sortants série 1 (novembre)</vt:lpstr>
      <vt:lpstr>TCD sortants série 2 (décembre)</vt:lpstr>
      <vt:lpstr>TCD sortants série 3 (janvier)</vt:lpstr>
      <vt:lpstr>TCD sortants série 4 (février)</vt:lpstr>
      <vt:lpstr>TCD TO série 1</vt:lpstr>
      <vt:lpstr>TCD TO série 3</vt:lpstr>
      <vt:lpstr>TCD TO série 4</vt:lpstr>
      <vt:lpstr>TCD tables</vt:lpstr>
      <vt:lpstr>Imprimable</vt:lpstr>
      <vt:lpstr>Bacs-caissettes</vt:lpstr>
      <vt:lpstr>Imprimable!Zone_d_impression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Perrusson</dc:creator>
  <cp:lastModifiedBy>Youssouf ROKI-DINE</cp:lastModifiedBy>
  <cp:lastPrinted>2021-11-05T14:35:04Z</cp:lastPrinted>
  <dcterms:created xsi:type="dcterms:W3CDTF">2015-06-05T18:19:34Z</dcterms:created>
  <dcterms:modified xsi:type="dcterms:W3CDTF">2024-04-17T14:33:49Z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0x0101003850B0A2E653A34084890F3BED22207D</vt:lpwstr>
  </property>
</Properties>
</file>