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ter\Dropbox\PC\Documents\Study\Study_Masters_DataScience\RMIT University\M_7_Finanacial Analytics\Class\Assessment_3\Clean_Assessment_3\"/>
    </mc:Choice>
  </mc:AlternateContent>
  <xr:revisionPtr revIDLastSave="0" documentId="13_ncr:1_{64A956AD-2A32-41C8-A22C-83E131429F43}" xr6:coauthVersionLast="47" xr6:coauthVersionMax="47" xr10:uidLastSave="{00000000-0000-0000-0000-000000000000}"/>
  <bookViews>
    <workbookView xWindow="-120" yWindow="-120" windowWidth="20730" windowHeight="11160" firstSheet="2" activeTab="2" xr2:uid="{2BF62CB5-09B2-A241-898E-1F500CF07C6C}"/>
  </bookViews>
  <sheets>
    <sheet name="Given_MCACA(APL)_Data_Part B" sheetId="1" r:id="rId1"/>
    <sheet name="Q1.Solution_WACC_APL" sheetId="2" r:id="rId2"/>
    <sheet name="Q2.Solution_NPV_CHINESE" sheetId="3" r:id="rId3"/>
    <sheet name="Q2.Solution_NPV_FRENCH" sheetId="4" r:id="rId4"/>
    <sheet name="NPV_GRAPH_DECISION MAKING" sheetId="6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3" l="1"/>
  <c r="A40" i="4"/>
  <c r="D27" i="3"/>
  <c r="D27" i="4"/>
  <c r="C7" i="6"/>
  <c r="D20" i="4"/>
  <c r="D20" i="3"/>
  <c r="J20" i="3"/>
  <c r="D12" i="4"/>
  <c r="D8" i="4"/>
  <c r="F38" i="2"/>
  <c r="F39" i="2"/>
  <c r="F40" i="2"/>
  <c r="F41" i="2"/>
  <c r="F37" i="2"/>
  <c r="G38" i="2"/>
  <c r="H38" i="2"/>
  <c r="G39" i="2"/>
  <c r="H39" i="2"/>
  <c r="G40" i="2"/>
  <c r="H40" i="2"/>
  <c r="G37" i="2"/>
  <c r="H37" i="2"/>
  <c r="H41" i="2"/>
  <c r="B23" i="4"/>
  <c r="D26" i="4"/>
  <c r="G9" i="6"/>
  <c r="B22" i="3"/>
  <c r="D26" i="3"/>
  <c r="G8" i="6"/>
  <c r="F9" i="6"/>
  <c r="F8" i="6"/>
  <c r="C11" i="6"/>
  <c r="C10" i="6"/>
  <c r="C9" i="6"/>
  <c r="B13" i="6"/>
  <c r="B12" i="6"/>
  <c r="B11" i="6"/>
  <c r="B10" i="6"/>
  <c r="B9" i="6"/>
  <c r="B8" i="6"/>
  <c r="B7" i="6"/>
  <c r="C8" i="6"/>
  <c r="E12" i="4"/>
  <c r="E13" i="4"/>
  <c r="E14" i="4"/>
  <c r="E16" i="4"/>
  <c r="E20" i="4"/>
  <c r="F9" i="4"/>
  <c r="F10" i="4"/>
  <c r="F11" i="4"/>
  <c r="F12" i="4"/>
  <c r="F13" i="4"/>
  <c r="F14" i="4"/>
  <c r="F16" i="4"/>
  <c r="F20" i="4"/>
  <c r="G9" i="4"/>
  <c r="G10" i="4"/>
  <c r="G11" i="4"/>
  <c r="G12" i="4"/>
  <c r="G13" i="4"/>
  <c r="G14" i="4"/>
  <c r="G16" i="4"/>
  <c r="G20" i="4"/>
  <c r="H9" i="4"/>
  <c r="H10" i="4"/>
  <c r="H11" i="4"/>
  <c r="H12" i="4"/>
  <c r="H13" i="4"/>
  <c r="H14" i="4"/>
  <c r="H16" i="4"/>
  <c r="H19" i="4"/>
  <c r="H20" i="4"/>
  <c r="D13" i="4"/>
  <c r="D14" i="4"/>
  <c r="D16" i="4"/>
  <c r="D12" i="3"/>
  <c r="D13" i="3"/>
  <c r="D14" i="3"/>
  <c r="D16" i="3"/>
  <c r="H18" i="4"/>
  <c r="H17" i="4"/>
  <c r="F15" i="4"/>
  <c r="G15" i="4"/>
  <c r="H15" i="4"/>
  <c r="E15" i="4"/>
  <c r="E11" i="4"/>
  <c r="E10" i="4"/>
  <c r="E9" i="4"/>
  <c r="D7" i="4"/>
  <c r="D6" i="4"/>
  <c r="D5" i="4"/>
  <c r="E9" i="3"/>
  <c r="F9" i="3"/>
  <c r="E10" i="3"/>
  <c r="F10" i="3"/>
  <c r="E11" i="3"/>
  <c r="F11" i="3"/>
  <c r="F12" i="3"/>
  <c r="F13" i="3"/>
  <c r="F14" i="3"/>
  <c r="F15" i="3"/>
  <c r="F16" i="3"/>
  <c r="F20" i="3"/>
  <c r="G9" i="3"/>
  <c r="G10" i="3"/>
  <c r="G11" i="3"/>
  <c r="G12" i="3"/>
  <c r="G13" i="3"/>
  <c r="G14" i="3"/>
  <c r="G15" i="3"/>
  <c r="G16" i="3"/>
  <c r="G20" i="3"/>
  <c r="H9" i="3"/>
  <c r="H10" i="3"/>
  <c r="H11" i="3"/>
  <c r="H12" i="3"/>
  <c r="H13" i="3"/>
  <c r="H14" i="3"/>
  <c r="H15" i="3"/>
  <c r="H16" i="3"/>
  <c r="H20" i="3"/>
  <c r="I9" i="3"/>
  <c r="I10" i="3"/>
  <c r="I11" i="3"/>
  <c r="I12" i="3"/>
  <c r="I13" i="3"/>
  <c r="I14" i="3"/>
  <c r="I15" i="3"/>
  <c r="I16" i="3"/>
  <c r="I20" i="3"/>
  <c r="J9" i="3"/>
  <c r="J10" i="3"/>
  <c r="J11" i="3"/>
  <c r="J12" i="3"/>
  <c r="J13" i="3"/>
  <c r="J14" i="3"/>
  <c r="J15" i="3"/>
  <c r="J16" i="3"/>
  <c r="J17" i="3"/>
  <c r="J18" i="3"/>
  <c r="J19" i="3"/>
  <c r="E15" i="3"/>
  <c r="E12" i="3"/>
  <c r="E13" i="3"/>
  <c r="D8" i="3"/>
  <c r="D7" i="3"/>
  <c r="E12" i="1"/>
  <c r="D6" i="3"/>
  <c r="D5" i="3"/>
  <c r="E67" i="2"/>
  <c r="E40" i="2"/>
  <c r="D30" i="2"/>
  <c r="D31" i="2"/>
  <c r="D32" i="2"/>
  <c r="D29" i="2"/>
  <c r="C32" i="2"/>
  <c r="E24" i="2"/>
  <c r="N47" i="2"/>
  <c r="G37" i="1"/>
  <c r="L12" i="1"/>
  <c r="L34" i="1"/>
  <c r="E34" i="1"/>
  <c r="L53" i="2"/>
  <c r="C40" i="2"/>
  <c r="C37" i="2"/>
  <c r="C38" i="2"/>
  <c r="C39" i="2"/>
  <c r="C41" i="2"/>
  <c r="D40" i="2"/>
  <c r="D37" i="2"/>
  <c r="K26" i="2"/>
  <c r="E37" i="2"/>
  <c r="D38" i="2"/>
  <c r="K29" i="2"/>
  <c r="E38" i="2"/>
  <c r="D39" i="2"/>
  <c r="K32" i="2"/>
  <c r="E39" i="2"/>
  <c r="E14" i="3"/>
  <c r="E16" i="3"/>
  <c r="E20" i="3"/>
  <c r="C31" i="2"/>
  <c r="C30" i="2"/>
  <c r="C29" i="2"/>
  <c r="E32" i="2"/>
  <c r="E31" i="2"/>
  <c r="E30" i="2"/>
  <c r="E29" i="2"/>
  <c r="E23" i="2"/>
  <c r="E22" i="2"/>
  <c r="E21" i="2"/>
  <c r="E16" i="2"/>
  <c r="E15" i="2"/>
  <c r="E14" i="2"/>
  <c r="E13" i="2"/>
  <c r="E17" i="2"/>
  <c r="F13" i="2"/>
  <c r="F14" i="2"/>
  <c r="F15" i="2"/>
  <c r="F16" i="2"/>
  <c r="F17" i="2"/>
  <c r="E9" i="2"/>
  <c r="E8" i="2"/>
  <c r="E7" i="2"/>
  <c r="E6" i="2"/>
  <c r="E10" i="2"/>
  <c r="E68" i="2"/>
  <c r="E71" i="2"/>
  <c r="G43" i="1"/>
  <c r="D41" i="2"/>
</calcChain>
</file>

<file path=xl/sharedStrings.xml><?xml version="1.0" encoding="utf-8"?>
<sst xmlns="http://schemas.openxmlformats.org/spreadsheetml/2006/main" count="355" uniqueCount="193">
  <si>
    <t>Expected Life</t>
  </si>
  <si>
    <t>Years</t>
  </si>
  <si>
    <t>$</t>
  </si>
  <si>
    <t>Production Costs</t>
  </si>
  <si>
    <t>%</t>
  </si>
  <si>
    <t>Book Value at end of life</t>
  </si>
  <si>
    <t>Depreciation per annum</t>
  </si>
  <si>
    <t>COST OF CAPITAL</t>
  </si>
  <si>
    <t>Debt</t>
  </si>
  <si>
    <t>Equity</t>
  </si>
  <si>
    <t>Mortgage</t>
  </si>
  <si>
    <t>Total Capital</t>
  </si>
  <si>
    <t>Other Financial Data</t>
  </si>
  <si>
    <t>TYPES</t>
  </si>
  <si>
    <t>Market Value</t>
  </si>
  <si>
    <t>Weights</t>
  </si>
  <si>
    <t>Cost of Capital</t>
  </si>
  <si>
    <t>Tax Rate</t>
  </si>
  <si>
    <t>WACC</t>
  </si>
  <si>
    <t>TOTAL CAPITAL EMPLOYED</t>
  </si>
  <si>
    <t>Effective Annual Rate (EAR) Formula</t>
  </si>
  <si>
    <t>EFFECTIVE ANNUAL RATE CALCULATIONS</t>
  </si>
  <si>
    <t>i =</t>
  </si>
  <si>
    <t xml:space="preserve">i = </t>
  </si>
  <si>
    <t>Compounding Daily</t>
  </si>
  <si>
    <r>
      <t> (1 + i/n)^</t>
    </r>
    <r>
      <rPr>
        <b/>
        <sz val="14"/>
        <color theme="1"/>
        <rFont val="Helvetica"/>
        <family val="2"/>
      </rPr>
      <t>n</t>
    </r>
    <r>
      <rPr>
        <b/>
        <sz val="18"/>
        <color theme="1"/>
        <rFont val="Helvetica"/>
        <family val="2"/>
      </rPr>
      <t> – 1</t>
    </r>
  </si>
  <si>
    <t>After Tax</t>
  </si>
  <si>
    <t>OPTION 1</t>
  </si>
  <si>
    <t>Year</t>
  </si>
  <si>
    <t>Present Time</t>
  </si>
  <si>
    <t>Details</t>
  </si>
  <si>
    <t>Add: Depreciation tax shield</t>
  </si>
  <si>
    <t>per annum</t>
  </si>
  <si>
    <t>Terminal Cash Flows</t>
  </si>
  <si>
    <t>Initial Acquisition</t>
  </si>
  <si>
    <t>Operating Costs</t>
  </si>
  <si>
    <t>Net Cash Flows</t>
  </si>
  <si>
    <t>Net Present Value</t>
  </si>
  <si>
    <t>1)</t>
  </si>
  <si>
    <t>Discount Rate</t>
  </si>
  <si>
    <t>NPV of Investment</t>
  </si>
  <si>
    <t>ANSWERS</t>
  </si>
  <si>
    <t>OPTION 2</t>
  </si>
  <si>
    <t>NPV of Cash Flows Years 1 to 4</t>
  </si>
  <si>
    <t>BORROWINGS</t>
  </si>
  <si>
    <t>QUESTION</t>
  </si>
  <si>
    <t>SOLUTION</t>
  </si>
  <si>
    <t>Step 1: Calculate the BOND YIELD (RATE). This is the rate that the Bond is getting based on the current Market Value and the Time to Maturity</t>
  </si>
  <si>
    <t>Step 2: Calculate the Annual Effective Rate of the Bond</t>
  </si>
  <si>
    <t>1) In Excel, click on "Formulas", then "Financial"</t>
  </si>
  <si>
    <t>2) Click on RATE in the Drop-down menu</t>
  </si>
  <si>
    <t>Calculating the Effective Rate</t>
  </si>
  <si>
    <t xml:space="preserve">Nominal Rate </t>
  </si>
  <si>
    <t>Compounding periods/annum</t>
  </si>
  <si>
    <t>Nominal Rate</t>
  </si>
  <si>
    <t>Number of periods</t>
  </si>
  <si>
    <t>Payment</t>
  </si>
  <si>
    <t>Coupon Rate per annum</t>
  </si>
  <si>
    <t>Coupon payment frequency</t>
  </si>
  <si>
    <t>Face Value of Bond (Future Value)</t>
  </si>
  <si>
    <t>Steps to calculate the Bond Yield (RATE):</t>
  </si>
  <si>
    <t>Calculating the Bond Yield (RATE)</t>
  </si>
  <si>
    <t>Using Excel Function (Rate)</t>
  </si>
  <si>
    <t>per 6 months</t>
  </si>
  <si>
    <t>BOND YIELD (RATE)</t>
  </si>
  <si>
    <t>EFFECTIVE RATE</t>
  </si>
  <si>
    <t>Present Value of Coupon</t>
  </si>
  <si>
    <t>WEIGHTS</t>
  </si>
  <si>
    <t>Effective Cost of Capital</t>
  </si>
  <si>
    <t>Nominal Cost of Capital</t>
  </si>
  <si>
    <t>Compounding Periods per Annum</t>
  </si>
  <si>
    <t>BEFORE TAX COST OF CAPITAL</t>
  </si>
  <si>
    <t>AFTER TAX COST OF CAPITAL</t>
  </si>
  <si>
    <t>EFFECTIVE ANNUAL RATE FORMULA</t>
  </si>
  <si>
    <t>WACC CALCULATION</t>
  </si>
  <si>
    <t>Where:</t>
  </si>
  <si>
    <t>C = equivalent annuity cash flow</t>
  </si>
  <si>
    <t>NPV = net present value</t>
  </si>
  <si>
    <t>r = interest rate per period</t>
  </si>
  <si>
    <t>n = number of periods</t>
  </si>
  <si>
    <t>Applying the formula to Project A:</t>
  </si>
  <si>
    <r>
      <t>Formula: C = (r x NPV) / (1 - (1 + r)</t>
    </r>
    <r>
      <rPr>
        <b/>
        <vertAlign val="superscript"/>
        <sz val="14"/>
        <color rgb="FF111111"/>
        <rFont val="Calibri"/>
        <family val="2"/>
        <scheme val="minor"/>
      </rPr>
      <t>-n</t>
    </r>
    <r>
      <rPr>
        <b/>
        <sz val="14"/>
        <color rgb="FF111111"/>
        <rFont val="Calibri"/>
        <family val="2"/>
        <scheme val="minor"/>
      </rPr>
      <t> )</t>
    </r>
  </si>
  <si>
    <r>
      <t>C = (r x NPV) / (1 - (1 + r)</t>
    </r>
    <r>
      <rPr>
        <vertAlign val="superscript"/>
        <sz val="14"/>
        <color rgb="FF111111"/>
        <rFont val="Calibri"/>
        <family val="2"/>
        <scheme val="minor"/>
      </rPr>
      <t>-n</t>
    </r>
    <r>
      <rPr>
        <sz val="14"/>
        <color rgb="FF111111"/>
        <rFont val="Calibri"/>
        <family val="2"/>
        <scheme val="minor"/>
      </rPr>
      <t> )</t>
    </r>
  </si>
  <si>
    <t xml:space="preserve">Calculating the Equivalent Annual Annuity (Equivalent Annual Cost) by formula </t>
  </si>
  <si>
    <t>SUMMARY</t>
  </si>
  <si>
    <t>Question</t>
  </si>
  <si>
    <t>Solution:</t>
  </si>
  <si>
    <t>Formula:</t>
  </si>
  <si>
    <t>Share Price</t>
  </si>
  <si>
    <t>Current Dividend</t>
  </si>
  <si>
    <t>Dividend in year 1</t>
  </si>
  <si>
    <t>g</t>
  </si>
  <si>
    <t>Expected growth</t>
  </si>
  <si>
    <r>
      <t>P</t>
    </r>
    <r>
      <rPr>
        <vertAlign val="subscript"/>
        <sz val="12"/>
        <color theme="1"/>
        <rFont val="Calibri"/>
        <family val="2"/>
        <scheme val="minor"/>
      </rPr>
      <t>0</t>
    </r>
  </si>
  <si>
    <r>
      <t>D</t>
    </r>
    <r>
      <rPr>
        <vertAlign val="subscript"/>
        <sz val="12"/>
        <color theme="1"/>
        <rFont val="Calibri"/>
        <family val="2"/>
        <scheme val="minor"/>
      </rPr>
      <t>0</t>
    </r>
  </si>
  <si>
    <r>
      <t>D</t>
    </r>
    <r>
      <rPr>
        <vertAlign val="subscript"/>
        <sz val="12"/>
        <color theme="1"/>
        <rFont val="Calibri"/>
        <family val="2"/>
        <scheme val="minor"/>
      </rPr>
      <t>1</t>
    </r>
  </si>
  <si>
    <t>Rate</t>
  </si>
  <si>
    <t>Using Excel</t>
  </si>
  <si>
    <t>CALCULATING THE REQUIRED RATE OF RETURN  WHEN THE SHARE PRICE IS KNOWN</t>
  </si>
  <si>
    <t>r</t>
  </si>
  <si>
    <t>r = (D1/Po) + g</t>
  </si>
  <si>
    <t>Rate =</t>
  </si>
  <si>
    <t>OPTION 1: CHINESE TECHNOLOGY</t>
  </si>
  <si>
    <t>OPTION 2: FRENCH TECHNOLOGY</t>
  </si>
  <si>
    <t>Ongoing Maintenance (Year 1)</t>
  </si>
  <si>
    <t>Applicable Tax Rate</t>
  </si>
  <si>
    <t>Security Backed Mortgage</t>
  </si>
  <si>
    <t>Bank Loan due 30th June 2025</t>
  </si>
  <si>
    <t>Equity (Shares issued at $2 each)</t>
  </si>
  <si>
    <t>5% Bonds due on 31st Dec 2030</t>
  </si>
  <si>
    <t>Compounding Fortnightly</t>
  </si>
  <si>
    <t>ea</t>
  </si>
  <si>
    <t>ea loan</t>
  </si>
  <si>
    <t>cents</t>
  </si>
  <si>
    <t>per share</t>
  </si>
  <si>
    <t>Land to be acquired</t>
  </si>
  <si>
    <t>Additional Net Working Capital</t>
  </si>
  <si>
    <t>Additional Staff Salary (Year 1)</t>
  </si>
  <si>
    <t>Plant Costs</t>
  </si>
  <si>
    <t>Plant purchase price</t>
  </si>
  <si>
    <t>Setup cost</t>
  </si>
  <si>
    <t>Total Plant Costs</t>
  </si>
  <si>
    <t>Staff Initial Training</t>
  </si>
  <si>
    <t xml:space="preserve">Additional Utility Bills (Year 1)   </t>
  </si>
  <si>
    <t>Expected Salvage Value</t>
  </si>
  <si>
    <t xml:space="preserve">Depreciation per annum </t>
  </si>
  <si>
    <t>Bonds with a face Value</t>
  </si>
  <si>
    <t>Bonds currently trading @</t>
  </si>
  <si>
    <t>Shares trading (Price)</t>
  </si>
  <si>
    <t>Dividend (APL Share)</t>
  </si>
  <si>
    <t>Share growth rate</t>
  </si>
  <si>
    <t xml:space="preserve">Coupons pay </t>
  </si>
  <si>
    <t>Semi-annually</t>
  </si>
  <si>
    <t>June 30th and 31 Dec each year</t>
  </si>
  <si>
    <t>*Bonds due upto 31st Dec 2030 -12 payments left</t>
  </si>
  <si>
    <t>Interest Only Bank Loan ( due 30th of June 2025)</t>
  </si>
  <si>
    <t>5% Bonds due on 31st December 2030</t>
  </si>
  <si>
    <t>Compoundig annually</t>
  </si>
  <si>
    <t>i = (1 + .045/365)^365 - 1</t>
  </si>
  <si>
    <t>Bank Loan</t>
  </si>
  <si>
    <t>i = (1 + .03/26)^26 - 1</t>
  </si>
  <si>
    <t>Bonds</t>
  </si>
  <si>
    <t>Assume a share (stock) is expected to pay $0.25 Cents dividend (D0) this year, and that its dividend will grow (g) by 5% each year into the future.</t>
  </si>
  <si>
    <t xml:space="preserve">Assume that the Share Price is $3.50. Calculate the required rate of return (r)(Cost of Equity). </t>
  </si>
  <si>
    <t>Interest Only Bank Loan
 ( due 30th of June 2025)</t>
  </si>
  <si>
    <t>5% Bonds due on 31st
 December 2030</t>
  </si>
  <si>
    <t>(($0.25 Cents dividend + 5% growth) ÷ $3.5 Share Price) + 5% dividend growth rate = 13%</t>
  </si>
  <si>
    <t>i = (1 + .o5/6)^6 - 1</t>
  </si>
  <si>
    <t>Compounding Semi annually</t>
  </si>
  <si>
    <t xml:space="preserve">DIVIDEND DISCOUNT MODEL </t>
  </si>
  <si>
    <t xml:space="preserve">BONDS </t>
  </si>
  <si>
    <t xml:space="preserve">The face value of these bonds is $1,000, and the current trading price is $995. </t>
  </si>
  <si>
    <t xml:space="preserve">The company has 10,000,000 semi-annual Bonds with a 5% quoted coupon rate and ten years to maturity. </t>
  </si>
  <si>
    <t>3) Insert the Values required: Number of Periods (Nper) = 13; Payment (Pmt) = 25.45; Present Value (Pv) = -995; Future Value (Fv) = 1000</t>
  </si>
  <si>
    <t>[(1 + .025908/2)^2] - 1</t>
  </si>
  <si>
    <t>= .0260758</t>
  </si>
  <si>
    <t>Weighted Average Cost of Capital for APL (AquaLuxe Pool Limited)</t>
  </si>
  <si>
    <t>CHINESE TECHNOLOGY</t>
  </si>
  <si>
    <t>Ongoing Maintainance</t>
  </si>
  <si>
    <t>Additional Utility Bills (Year 1)</t>
  </si>
  <si>
    <t>*Staff salary expected to increase by 3%</t>
  </si>
  <si>
    <t>*Utility bills expected to increase by 3%</t>
  </si>
  <si>
    <t>Total Cost before tax (EBIT)</t>
  </si>
  <si>
    <t>Total saved on Costs</t>
  </si>
  <si>
    <t>Total Cost after tax (NI)</t>
  </si>
  <si>
    <t>Net Operating Cash Flow (EBIT 1-TAX)[After Tax Profit]</t>
  </si>
  <si>
    <t>Gain Loss on Salvage</t>
  </si>
  <si>
    <t>NPV of Cash Flows Years 1 to 6</t>
  </si>
  <si>
    <t>FRENCH TECHNOLOGY</t>
  </si>
  <si>
    <t>Initial Outlay (Acquisition for Land)</t>
  </si>
  <si>
    <t>Initial Outlay (Acquisition for Plant)</t>
  </si>
  <si>
    <t xml:space="preserve">Maintainance necessitate increased by 1% Per annum  </t>
  </si>
  <si>
    <t>Maintainance necessitate increased by 1.5%</t>
  </si>
  <si>
    <t>Tax on Gain</t>
  </si>
  <si>
    <t>YEAR</t>
  </si>
  <si>
    <t>FENCH TECHNOLOGY</t>
  </si>
  <si>
    <r>
      <t>= (.0894869 x -1,592,355) / (1 – (1 + .0894869)</t>
    </r>
    <r>
      <rPr>
        <vertAlign val="superscript"/>
        <sz val="14"/>
        <color rgb="FF111111"/>
        <rFont val="Calibri"/>
        <family val="2"/>
        <scheme val="minor"/>
      </rPr>
      <t xml:space="preserve"> -6</t>
    </r>
  </si>
  <si>
    <t>Year 0</t>
  </si>
  <si>
    <t>Year 1</t>
  </si>
  <si>
    <t>Year 2</t>
  </si>
  <si>
    <t>Year 3</t>
  </si>
  <si>
    <t>Year 4</t>
  </si>
  <si>
    <t>Year 5</t>
  </si>
  <si>
    <t>Year 6</t>
  </si>
  <si>
    <t xml:space="preserve"> NET CASH FLOW</t>
  </si>
  <si>
    <t xml:space="preserve">       NET CASH FLOW</t>
  </si>
  <si>
    <t>Technology</t>
  </si>
  <si>
    <t>EAC (Equivalent Annual Cost)</t>
  </si>
  <si>
    <t>NPV (Net Present Value)</t>
  </si>
  <si>
    <t>CHINESE</t>
  </si>
  <si>
    <t>FRENCH</t>
  </si>
  <si>
    <t>NPV ANALYSIS FOR DECISION MAKING</t>
  </si>
  <si>
    <r>
      <t>= (.0894869 x -3176426) / (1 – (1 + .0894869)</t>
    </r>
    <r>
      <rPr>
        <vertAlign val="superscript"/>
        <sz val="14"/>
        <color rgb="FF111111"/>
        <rFont val="Calibri"/>
        <family val="2"/>
        <scheme val="minor"/>
      </rPr>
      <t xml:space="preserve"> -6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</si>
</sst>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00"/>
    <numFmt numFmtId="165" formatCode="0.0000%"/>
    <numFmt numFmtId="166" formatCode="0.000000"/>
    <numFmt numFmtId="167" formatCode="&quot;$&quot;#,##0.00"/>
    <numFmt numFmtId="168" formatCode="&quot;$&quot;#,##0.000"/>
    <numFmt numFmtId="169" formatCode="0.000"/>
    <numFmt numFmtId="170" formatCode="#,##0.000"/>
  </numFmts>
  <fonts count="4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.4"/>
      <color rgb="FF000000"/>
      <name val="Arial"/>
      <family val="2"/>
    </font>
    <font>
      <sz val="17"/>
      <color rgb="FF333333"/>
      <name val="STIXGeneral-Italic"/>
    </font>
    <font>
      <b/>
      <sz val="18"/>
      <color rgb="FF4D5968"/>
      <name val="Helvetica"/>
      <family val="2"/>
    </font>
    <font>
      <b/>
      <sz val="18"/>
      <color theme="1"/>
      <name val="Helvetica"/>
      <family val="2"/>
    </font>
    <font>
      <b/>
      <sz val="14"/>
      <color theme="1"/>
      <name val="Helvetica"/>
      <family val="2"/>
    </font>
    <font>
      <sz val="14.5"/>
      <color theme="1"/>
      <name val="Times New Roman"/>
      <family val="1"/>
    </font>
    <font>
      <b/>
      <i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111111"/>
      <name val="Arial"/>
      <family val="2"/>
    </font>
    <font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u/>
      <sz val="16"/>
      <color rgb="FF1111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111111"/>
      <name val="Calibri"/>
      <family val="2"/>
      <scheme val="minor"/>
    </font>
    <font>
      <b/>
      <sz val="16"/>
      <color rgb="FF1111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4"/>
      <color rgb="FF11111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vertAlign val="superscript"/>
      <sz val="14"/>
      <color rgb="FF111111"/>
      <name val="Calibri"/>
      <family val="2"/>
      <scheme val="minor"/>
    </font>
    <font>
      <sz val="14"/>
      <color rgb="FF111111"/>
      <name val="Calibri"/>
      <family val="2"/>
      <scheme val="minor"/>
    </font>
    <font>
      <vertAlign val="superscript"/>
      <sz val="14"/>
      <color rgb="FF111111"/>
      <name val="Calibri"/>
      <family val="2"/>
      <scheme val="minor"/>
    </font>
    <font>
      <b/>
      <i/>
      <sz val="14"/>
      <color rgb="FF111111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333333"/>
      <name val="Helvetica Neue"/>
      <family val="2"/>
    </font>
    <font>
      <sz val="18"/>
      <color rgb="FF1C1D20"/>
      <name val="Arial"/>
      <family val="2"/>
    </font>
    <font>
      <b/>
      <sz val="12"/>
      <color rgb="FF1C1D20"/>
      <name val="Arial"/>
      <family val="2"/>
    </font>
    <font>
      <u/>
      <sz val="12"/>
      <color theme="1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7" fillId="0" borderId="0" applyNumberFormat="0" applyFill="0" applyBorder="0" applyAlignment="0" applyProtection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3" fontId="0" fillId="0" borderId="0" xfId="0" applyNumberFormat="1"/>
    <xf numFmtId="3" fontId="3" fillId="0" borderId="1" xfId="0" applyNumberFormat="1" applyFont="1" applyBorder="1"/>
    <xf numFmtId="3" fontId="0" fillId="0" borderId="1" xfId="0" applyNumberFormat="1" applyBorder="1"/>
    <xf numFmtId="3" fontId="3" fillId="0" borderId="0" xfId="0" applyNumberFormat="1" applyFont="1"/>
    <xf numFmtId="3" fontId="4" fillId="0" borderId="1" xfId="0" applyNumberFormat="1" applyFont="1" applyBorder="1"/>
    <xf numFmtId="3" fontId="0" fillId="2" borderId="0" xfId="0" applyNumberFormat="1" applyFill="1"/>
    <xf numFmtId="4" fontId="0" fillId="0" borderId="0" xfId="0" applyNumberFormat="1"/>
    <xf numFmtId="10" fontId="0" fillId="0" borderId="0" xfId="0" applyNumberFormat="1"/>
    <xf numFmtId="2" fontId="0" fillId="0" borderId="0" xfId="0" applyNumberFormat="1"/>
    <xf numFmtId="3" fontId="3" fillId="0" borderId="2" xfId="0" applyNumberFormat="1" applyFont="1" applyBorder="1"/>
    <xf numFmtId="0" fontId="0" fillId="2" borderId="0" xfId="0" applyFill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3" fontId="3" fillId="2" borderId="0" xfId="0" applyNumberFormat="1" applyFont="1" applyFill="1"/>
    <xf numFmtId="0" fontId="0" fillId="0" borderId="0" xfId="0" quotePrefix="1"/>
    <xf numFmtId="0" fontId="3" fillId="3" borderId="1" xfId="0" applyFont="1" applyFill="1" applyBorder="1"/>
    <xf numFmtId="0" fontId="0" fillId="3" borderId="0" xfId="0" applyFill="1"/>
    <xf numFmtId="3" fontId="0" fillId="3" borderId="0" xfId="0" applyNumberFormat="1" applyFill="1"/>
    <xf numFmtId="0" fontId="3" fillId="3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3" fontId="3" fillId="3" borderId="2" xfId="0" applyNumberFormat="1" applyFont="1" applyFill="1" applyBorder="1"/>
    <xf numFmtId="0" fontId="3" fillId="4" borderId="1" xfId="0" applyFont="1" applyFill="1" applyBorder="1"/>
    <xf numFmtId="0" fontId="0" fillId="4" borderId="0" xfId="0" applyFill="1"/>
    <xf numFmtId="10" fontId="0" fillId="4" borderId="0" xfId="0" applyNumberFormat="1" applyFill="1"/>
    <xf numFmtId="0" fontId="2" fillId="3" borderId="1" xfId="0" applyFont="1" applyFill="1" applyBorder="1"/>
    <xf numFmtId="10" fontId="0" fillId="3" borderId="0" xfId="0" applyNumberFormat="1" applyFill="1"/>
    <xf numFmtId="0" fontId="3" fillId="5" borderId="1" xfId="0" applyFont="1" applyFill="1" applyBorder="1"/>
    <xf numFmtId="0" fontId="0" fillId="5" borderId="0" xfId="0" applyFill="1"/>
    <xf numFmtId="10" fontId="0" fillId="5" borderId="0" xfId="0" applyNumberFormat="1" applyFill="1"/>
    <xf numFmtId="0" fontId="11" fillId="0" borderId="1" xfId="0" applyFont="1" applyBorder="1"/>
    <xf numFmtId="0" fontId="3" fillId="2" borderId="0" xfId="0" applyFont="1" applyFill="1"/>
    <xf numFmtId="10" fontId="0" fillId="2" borderId="0" xfId="0" applyNumberFormat="1" applyFill="1"/>
    <xf numFmtId="0" fontId="12" fillId="0" borderId="0" xfId="0" applyFont="1"/>
    <xf numFmtId="0" fontId="13" fillId="0" borderId="0" xfId="0" applyFont="1"/>
    <xf numFmtId="8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14" fillId="0" borderId="0" xfId="0" applyFont="1"/>
    <xf numFmtId="0" fontId="10" fillId="0" borderId="0" xfId="0" applyFont="1"/>
    <xf numFmtId="3" fontId="0" fillId="3" borderId="1" xfId="0" applyNumberFormat="1" applyFill="1" applyBorder="1"/>
    <xf numFmtId="3" fontId="0" fillId="3" borderId="2" xfId="0" applyNumberFormat="1" applyFill="1" applyBorder="1"/>
    <xf numFmtId="3" fontId="0" fillId="5" borderId="2" xfId="0" applyNumberFormat="1" applyFill="1" applyBorder="1"/>
    <xf numFmtId="9" fontId="0" fillId="4" borderId="0" xfId="0" applyNumberFormat="1" applyFill="1"/>
    <xf numFmtId="0" fontId="3" fillId="6" borderId="1" xfId="0" applyFont="1" applyFill="1" applyBorder="1"/>
    <xf numFmtId="165" fontId="0" fillId="6" borderId="0" xfId="0" applyNumberFormat="1" applyFill="1"/>
    <xf numFmtId="0" fontId="0" fillId="6" borderId="0" xfId="0" applyFill="1"/>
    <xf numFmtId="0" fontId="3" fillId="7" borderId="1" xfId="0" applyFont="1" applyFill="1" applyBorder="1"/>
    <xf numFmtId="164" fontId="0" fillId="7" borderId="0" xfId="0" applyNumberFormat="1" applyFill="1"/>
    <xf numFmtId="0" fontId="17" fillId="0" borderId="1" xfId="0" applyFont="1" applyBorder="1"/>
    <xf numFmtId="0" fontId="18" fillId="0" borderId="1" xfId="0" applyFont="1" applyBorder="1"/>
    <xf numFmtId="0" fontId="3" fillId="4" borderId="0" xfId="0" applyFont="1" applyFill="1"/>
    <xf numFmtId="0" fontId="3" fillId="0" borderId="1" xfId="0" applyFont="1" applyBorder="1" applyAlignment="1">
      <alignment wrapText="1"/>
    </xf>
    <xf numFmtId="9" fontId="0" fillId="2" borderId="0" xfId="0" applyNumberFormat="1" applyFill="1"/>
    <xf numFmtId="0" fontId="19" fillId="0" borderId="1" xfId="0" applyFont="1" applyBorder="1"/>
    <xf numFmtId="10" fontId="0" fillId="0" borderId="1" xfId="0" applyNumberFormat="1" applyBorder="1"/>
    <xf numFmtId="0" fontId="2" fillId="0" borderId="0" xfId="0" applyFont="1" applyAlignment="1">
      <alignment wrapText="1"/>
    </xf>
    <xf numFmtId="0" fontId="16" fillId="2" borderId="0" xfId="0" applyFont="1" applyFill="1"/>
    <xf numFmtId="0" fontId="20" fillId="0" borderId="1" xfId="0" applyFont="1" applyBorder="1"/>
    <xf numFmtId="0" fontId="21" fillId="0" borderId="1" xfId="0" applyFont="1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3" fontId="23" fillId="0" borderId="0" xfId="0" applyNumberFormat="1" applyFont="1"/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vertical="center"/>
    </xf>
    <xf numFmtId="0" fontId="25" fillId="0" borderId="0" xfId="0" applyFont="1" applyAlignment="1">
      <alignment vertical="center"/>
    </xf>
    <xf numFmtId="3" fontId="26" fillId="0" borderId="0" xfId="0" applyNumberFormat="1" applyFont="1"/>
    <xf numFmtId="0" fontId="25" fillId="0" borderId="0" xfId="0" applyFont="1" applyAlignment="1">
      <alignment horizontal="left" vertical="center" indent="1"/>
    </xf>
    <xf numFmtId="0" fontId="23" fillId="0" borderId="0" xfId="0" applyFont="1"/>
    <xf numFmtId="0" fontId="27" fillId="0" borderId="0" xfId="0" applyFont="1" applyAlignment="1">
      <alignment vertical="center"/>
    </xf>
    <xf numFmtId="3" fontId="12" fillId="0" borderId="0" xfId="0" applyNumberFormat="1" applyFont="1"/>
    <xf numFmtId="0" fontId="28" fillId="0" borderId="0" xfId="0" applyFont="1" applyAlignment="1">
      <alignment vertical="center"/>
    </xf>
    <xf numFmtId="3" fontId="13" fillId="0" borderId="0" xfId="0" applyNumberFormat="1" applyFont="1"/>
    <xf numFmtId="0" fontId="28" fillId="0" borderId="0" xfId="0" applyFont="1" applyAlignment="1">
      <alignment horizontal="left" vertical="center" indent="1"/>
    </xf>
    <xf numFmtId="0" fontId="30" fillId="0" borderId="0" xfId="0" applyFont="1" applyAlignment="1">
      <alignment vertical="center"/>
    </xf>
    <xf numFmtId="0" fontId="30" fillId="0" borderId="0" xfId="0" quotePrefix="1" applyFont="1" applyAlignment="1">
      <alignment vertical="center"/>
    </xf>
    <xf numFmtId="167" fontId="30" fillId="0" borderId="0" xfId="0" quotePrefix="1" applyNumberFormat="1" applyFont="1" applyAlignment="1">
      <alignment vertical="center"/>
    </xf>
    <xf numFmtId="0" fontId="32" fillId="3" borderId="1" xfId="0" applyFont="1" applyFill="1" applyBorder="1" applyAlignment="1">
      <alignment vertical="center"/>
    </xf>
    <xf numFmtId="3" fontId="12" fillId="3" borderId="1" xfId="0" applyNumberFormat="1" applyFont="1" applyFill="1" applyBorder="1"/>
    <xf numFmtId="0" fontId="28" fillId="3" borderId="0" xfId="0" applyFont="1" applyFill="1" applyAlignment="1">
      <alignment vertical="center"/>
    </xf>
    <xf numFmtId="3" fontId="13" fillId="3" borderId="0" xfId="0" applyNumberFormat="1" applyFont="1" applyFill="1"/>
    <xf numFmtId="0" fontId="28" fillId="3" borderId="0" xfId="0" applyFont="1" applyFill="1" applyAlignment="1">
      <alignment horizontal="left" vertical="center" indent="1"/>
    </xf>
    <xf numFmtId="0" fontId="12" fillId="3" borderId="0" xfId="0" applyFont="1" applyFill="1"/>
    <xf numFmtId="0" fontId="27" fillId="3" borderId="0" xfId="0" applyFont="1" applyFill="1" applyAlignment="1">
      <alignment vertical="center"/>
    </xf>
    <xf numFmtId="3" fontId="12" fillId="3" borderId="0" xfId="0" applyNumberFormat="1" applyFont="1" applyFill="1"/>
    <xf numFmtId="0" fontId="30" fillId="3" borderId="0" xfId="0" applyFont="1" applyFill="1" applyAlignment="1">
      <alignment vertical="center"/>
    </xf>
    <xf numFmtId="0" fontId="30" fillId="3" borderId="0" xfId="0" quotePrefix="1" applyFont="1" applyFill="1" applyAlignment="1">
      <alignment vertical="center"/>
    </xf>
    <xf numFmtId="167" fontId="32" fillId="3" borderId="1" xfId="0" quotePrefix="1" applyNumberFormat="1" applyFont="1" applyFill="1" applyBorder="1" applyAlignment="1">
      <alignment vertical="center"/>
    </xf>
    <xf numFmtId="0" fontId="0" fillId="5" borderId="0" xfId="0" applyFill="1" applyAlignment="1">
      <alignment wrapText="1"/>
    </xf>
    <xf numFmtId="3" fontId="1" fillId="5" borderId="0" xfId="0" applyNumberFormat="1" applyFont="1" applyFill="1"/>
    <xf numFmtId="1" fontId="3" fillId="4" borderId="0" xfId="0" applyNumberFormat="1" applyFont="1" applyFill="1"/>
    <xf numFmtId="2" fontId="3" fillId="4" borderId="0" xfId="0" applyNumberFormat="1" applyFont="1" applyFill="1"/>
    <xf numFmtId="0" fontId="2" fillId="2" borderId="0" xfId="0" applyFont="1" applyFill="1"/>
    <xf numFmtId="0" fontId="0" fillId="8" borderId="1" xfId="0" applyFill="1" applyBorder="1"/>
    <xf numFmtId="0" fontId="17" fillId="8" borderId="1" xfId="0" applyFont="1" applyFill="1" applyBorder="1"/>
    <xf numFmtId="0" fontId="34" fillId="0" borderId="0" xfId="0" applyFont="1"/>
    <xf numFmtId="0" fontId="33" fillId="0" borderId="0" xfId="0" applyFont="1"/>
    <xf numFmtId="0" fontId="35" fillId="0" borderId="0" xfId="0" applyFont="1"/>
    <xf numFmtId="0" fontId="37" fillId="0" borderId="0" xfId="1"/>
    <xf numFmtId="0" fontId="36" fillId="0" borderId="0" xfId="0" applyFont="1"/>
    <xf numFmtId="0" fontId="3" fillId="0" borderId="2" xfId="0" applyFont="1" applyBorder="1"/>
    <xf numFmtId="0" fontId="3" fillId="8" borderId="0" xfId="0" applyFont="1" applyFill="1"/>
    <xf numFmtId="0" fontId="37" fillId="2" borderId="0" xfId="1" applyFill="1"/>
    <xf numFmtId="0" fontId="0" fillId="3" borderId="1" xfId="0" applyFill="1" applyBorder="1"/>
    <xf numFmtId="4" fontId="3" fillId="8" borderId="0" xfId="0" applyNumberFormat="1" applyFont="1" applyFill="1"/>
    <xf numFmtId="166" fontId="0" fillId="2" borderId="0" xfId="0" applyNumberFormat="1" applyFill="1"/>
    <xf numFmtId="168" fontId="0" fillId="0" borderId="0" xfId="0" applyNumberFormat="1"/>
    <xf numFmtId="166" fontId="0" fillId="0" borderId="3" xfId="0" applyNumberFormat="1" applyBorder="1"/>
    <xf numFmtId="0" fontId="0" fillId="0" borderId="3" xfId="0" applyBorder="1"/>
    <xf numFmtId="0" fontId="39" fillId="8" borderId="1" xfId="0" applyFont="1" applyFill="1" applyBorder="1"/>
    <xf numFmtId="0" fontId="40" fillId="8" borderId="1" xfId="0" applyFont="1" applyFill="1" applyBorder="1"/>
    <xf numFmtId="0" fontId="1" fillId="8" borderId="1" xfId="0" applyFont="1" applyFill="1" applyBorder="1"/>
    <xf numFmtId="2" fontId="0" fillId="0" borderId="0" xfId="3" applyNumberFormat="1" applyFont="1"/>
    <xf numFmtId="3" fontId="0" fillId="0" borderId="4" xfId="0" applyNumberFormat="1" applyBorder="1"/>
    <xf numFmtId="3" fontId="42" fillId="0" borderId="0" xfId="0" applyNumberFormat="1" applyFont="1"/>
    <xf numFmtId="3" fontId="43" fillId="0" borderId="1" xfId="0" applyNumberFormat="1" applyFont="1" applyBorder="1"/>
    <xf numFmtId="0" fontId="37" fillId="0" borderId="0" xfId="1" applyFill="1"/>
    <xf numFmtId="167" fontId="3" fillId="0" borderId="0" xfId="0" applyNumberFormat="1" applyFont="1"/>
    <xf numFmtId="0" fontId="15" fillId="0" borderId="0" xfId="0" applyFont="1"/>
    <xf numFmtId="3" fontId="0" fillId="0" borderId="0" xfId="0" applyNumberFormat="1" applyAlignment="1">
      <alignment wrapText="1"/>
    </xf>
    <xf numFmtId="0" fontId="0" fillId="0" borderId="4" xfId="0" applyBorder="1"/>
    <xf numFmtId="0" fontId="32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2" fillId="0" borderId="9" xfId="0" applyFont="1" applyBorder="1"/>
    <xf numFmtId="0" fontId="2" fillId="0" borderId="10" xfId="0" applyFont="1" applyBorder="1"/>
    <xf numFmtId="3" fontId="0" fillId="0" borderId="9" xfId="0" applyNumberFormat="1" applyBorder="1"/>
    <xf numFmtId="3" fontId="0" fillId="0" borderId="8" xfId="0" applyNumberFormat="1" applyBorder="1"/>
    <xf numFmtId="0" fontId="2" fillId="0" borderId="4" xfId="0" applyFont="1" applyBorder="1"/>
    <xf numFmtId="3" fontId="0" fillId="0" borderId="11" xfId="0" applyNumberFormat="1" applyBorder="1"/>
    <xf numFmtId="3" fontId="0" fillId="0" borderId="7" xfId="0" applyNumberFormat="1" applyBorder="1"/>
    <xf numFmtId="2" fontId="0" fillId="0" borderId="0" xfId="2" applyNumberFormat="1" applyFont="1"/>
    <xf numFmtId="169" fontId="0" fillId="0" borderId="0" xfId="3" applyNumberFormat="1" applyFont="1"/>
    <xf numFmtId="170" fontId="0" fillId="0" borderId="0" xfId="0" applyNumberFormat="1"/>
    <xf numFmtId="0" fontId="0" fillId="0" borderId="13" xfId="0" applyBorder="1"/>
    <xf numFmtId="3" fontId="0" fillId="0" borderId="13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0" fontId="44" fillId="0" borderId="0" xfId="0" applyFont="1"/>
    <xf numFmtId="0" fontId="0" fillId="0" borderId="7" xfId="0" applyBorder="1"/>
    <xf numFmtId="0" fontId="0" fillId="0" borderId="16" xfId="0" applyBorder="1"/>
    <xf numFmtId="0" fontId="0" fillId="0" borderId="8" xfId="0" applyBorder="1"/>
    <xf numFmtId="0" fontId="0" fillId="0" borderId="12" xfId="0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4" borderId="19" xfId="0" applyFill="1" applyBorder="1"/>
    <xf numFmtId="3" fontId="0" fillId="4" borderId="8" xfId="0" applyNumberFormat="1" applyFill="1" applyBorder="1"/>
    <xf numFmtId="167" fontId="0" fillId="4" borderId="8" xfId="0" applyNumberFormat="1" applyFill="1" applyBorder="1"/>
    <xf numFmtId="0" fontId="0" fillId="5" borderId="18" xfId="0" applyFill="1" applyBorder="1"/>
    <xf numFmtId="3" fontId="0" fillId="5" borderId="9" xfId="0" applyNumberFormat="1" applyFill="1" applyBorder="1"/>
    <xf numFmtId="167" fontId="0" fillId="5" borderId="9" xfId="0" applyNumberFormat="1" applyFill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7D49-3DF6-D448-B453-74AAF36172DF}">
  <dimension ref="A1:BJ411"/>
  <sheetViews>
    <sheetView topLeftCell="A21" zoomScale="70" zoomScaleNormal="70" workbookViewId="0">
      <selection activeCell="M25" sqref="M25"/>
    </sheetView>
  </sheetViews>
  <sheetFormatPr defaultColWidth="10.625" defaultRowHeight="15.75"/>
  <cols>
    <col min="3" max="3" width="18.625" customWidth="1"/>
    <col min="4" max="4" width="18" customWidth="1"/>
    <col min="5" max="5" width="9.75" customWidth="1"/>
    <col min="7" max="7" width="11.625" customWidth="1"/>
    <col min="8" max="8" width="12.5" customWidth="1"/>
    <col min="11" max="11" width="18.375" customWidth="1"/>
    <col min="12" max="12" width="14" customWidth="1"/>
  </cols>
  <sheetData>
    <row r="1" spans="1:6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23.25">
      <c r="A3" s="9" t="s">
        <v>102</v>
      </c>
      <c r="B3" s="4"/>
      <c r="C3" s="9"/>
      <c r="D3" s="9"/>
      <c r="E3" s="7"/>
      <c r="F3" s="5"/>
      <c r="G3" s="5"/>
      <c r="H3" s="5"/>
      <c r="I3" s="9" t="s">
        <v>103</v>
      </c>
      <c r="J3" s="7"/>
      <c r="K3" s="7"/>
      <c r="L3" s="7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>
      <c r="A5" s="5"/>
      <c r="B5" s="5" t="s">
        <v>0</v>
      </c>
      <c r="C5" s="5"/>
      <c r="D5" s="5"/>
      <c r="E5" s="5">
        <v>6</v>
      </c>
      <c r="F5" s="5" t="s">
        <v>1</v>
      </c>
      <c r="G5" s="5"/>
      <c r="H5" s="5"/>
      <c r="I5" s="5" t="s">
        <v>0</v>
      </c>
      <c r="J5" s="5"/>
      <c r="K5" s="5"/>
      <c r="L5" s="5">
        <v>4</v>
      </c>
      <c r="M5" s="5" t="s">
        <v>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>
      <c r="A6" s="5"/>
      <c r="B6" s="24"/>
      <c r="C6" s="10"/>
      <c r="D6" s="10"/>
      <c r="E6" s="10"/>
      <c r="F6" s="10"/>
      <c r="G6" s="5"/>
      <c r="H6" s="5"/>
      <c r="I6" s="24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>
      <c r="A7" s="5"/>
      <c r="B7" s="5" t="s">
        <v>115</v>
      </c>
      <c r="C7" s="5"/>
      <c r="D7" s="5"/>
      <c r="E7" s="5">
        <v>787500</v>
      </c>
      <c r="F7" s="5" t="s">
        <v>2</v>
      </c>
      <c r="G7" s="5"/>
      <c r="H7" s="5"/>
      <c r="I7" s="5"/>
      <c r="J7" s="5"/>
      <c r="K7" s="5"/>
      <c r="L7" s="5">
        <v>675000</v>
      </c>
      <c r="M7" s="5" t="s">
        <v>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>
      <c r="A8" s="5"/>
      <c r="B8" s="15"/>
      <c r="C8" s="10"/>
      <c r="D8" s="10"/>
      <c r="E8" s="10"/>
      <c r="F8" s="10"/>
      <c r="G8" s="5"/>
      <c r="H8" s="5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>
      <c r="A9" s="5"/>
      <c r="B9" s="127" t="s">
        <v>118</v>
      </c>
      <c r="C9" s="5"/>
      <c r="D9" s="5"/>
      <c r="E9" s="5"/>
      <c r="F9" s="5"/>
      <c r="G9" s="5"/>
      <c r="H9" s="5"/>
      <c r="I9" s="127" t="s">
        <v>118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>
      <c r="A10" s="5"/>
      <c r="B10" s="5" t="s">
        <v>119</v>
      </c>
      <c r="C10" s="5"/>
      <c r="D10" s="5"/>
      <c r="E10" s="5">
        <v>262500</v>
      </c>
      <c r="F10" s="5" t="s">
        <v>2</v>
      </c>
      <c r="G10" s="5"/>
      <c r="H10" s="5"/>
      <c r="I10" s="5" t="s">
        <v>119</v>
      </c>
      <c r="J10" s="5"/>
      <c r="K10" s="5"/>
      <c r="L10" s="5">
        <v>248000</v>
      </c>
      <c r="M10" s="5" t="s">
        <v>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ht="16.5" thickBot="1">
      <c r="A11" s="5"/>
      <c r="B11" s="5" t="s">
        <v>120</v>
      </c>
      <c r="C11" s="5"/>
      <c r="D11" s="5"/>
      <c r="E11" s="125">
        <v>81900</v>
      </c>
      <c r="F11" s="5" t="s">
        <v>2</v>
      </c>
      <c r="G11" s="5"/>
      <c r="H11" s="5"/>
      <c r="I11" s="5" t="s">
        <v>120</v>
      </c>
      <c r="J11" s="5"/>
      <c r="K11" s="5"/>
      <c r="L11" s="125">
        <v>52000</v>
      </c>
      <c r="M11" s="5" t="s">
        <v>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>
      <c r="A12" s="5"/>
      <c r="B12" s="126" t="s">
        <v>121</v>
      </c>
      <c r="C12" s="5"/>
      <c r="D12" s="5"/>
      <c r="E12" s="5">
        <f>SUM(E10:E11)</f>
        <v>344400</v>
      </c>
      <c r="F12" s="5" t="s">
        <v>2</v>
      </c>
      <c r="G12" s="5"/>
      <c r="H12" s="5"/>
      <c r="I12" s="126" t="s">
        <v>121</v>
      </c>
      <c r="J12" s="5"/>
      <c r="K12" s="5"/>
      <c r="L12" s="5">
        <f>SUM(L10:L11)</f>
        <v>300000</v>
      </c>
      <c r="M12" s="5" t="s">
        <v>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>
      <c r="A13" s="5"/>
      <c r="B13" s="24"/>
      <c r="C13" s="10"/>
      <c r="D13" s="10"/>
      <c r="E13" s="10"/>
      <c r="F13" s="10"/>
      <c r="G13" s="5"/>
      <c r="H13" s="5"/>
      <c r="I13" s="24"/>
      <c r="J13" s="10"/>
      <c r="K13" s="10"/>
      <c r="L13" s="10"/>
      <c r="M13" s="1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>
      <c r="A14" s="5"/>
      <c r="B14" s="5" t="s">
        <v>116</v>
      </c>
      <c r="C14" s="5"/>
      <c r="D14" s="5"/>
      <c r="E14" s="5">
        <v>105000</v>
      </c>
      <c r="F14" s="5" t="s">
        <v>2</v>
      </c>
      <c r="G14" s="5"/>
      <c r="H14" s="5"/>
      <c r="I14" s="8"/>
      <c r="J14" s="5"/>
      <c r="K14" s="5"/>
      <c r="L14" s="5">
        <v>108000</v>
      </c>
      <c r="M14" s="5" t="s">
        <v>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>
      <c r="A15" s="5"/>
      <c r="B15" s="10"/>
      <c r="C15" s="10"/>
      <c r="D15" s="10"/>
      <c r="E15" s="10"/>
      <c r="F15" s="10"/>
      <c r="G15" s="5"/>
      <c r="H15" s="5"/>
      <c r="I15" s="24"/>
      <c r="J15" s="24"/>
      <c r="K15" s="24"/>
      <c r="L15" s="10"/>
      <c r="M15" s="2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>
      <c r="A16" s="5"/>
      <c r="B16" s="5" t="s">
        <v>122</v>
      </c>
      <c r="C16" s="5"/>
      <c r="D16" s="5"/>
      <c r="E16" s="5">
        <v>21000</v>
      </c>
      <c r="F16" s="5" t="s">
        <v>2</v>
      </c>
      <c r="G16" s="5"/>
      <c r="H16" s="5"/>
      <c r="I16" s="5"/>
      <c r="J16" s="5"/>
      <c r="K16" s="5"/>
      <c r="L16" s="5">
        <v>20500</v>
      </c>
      <c r="M16" s="5" t="s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>
      <c r="A17" s="5"/>
      <c r="B17" s="10"/>
      <c r="C17" s="10"/>
      <c r="D17" s="10"/>
      <c r="E17" s="10"/>
      <c r="F17" s="10"/>
      <c r="G17" s="5"/>
      <c r="H17" s="5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>
      <c r="A18" s="5"/>
      <c r="B18" s="5" t="s">
        <v>104</v>
      </c>
      <c r="C18" s="5"/>
      <c r="D18" s="5"/>
      <c r="E18" s="5">
        <v>52500</v>
      </c>
      <c r="F18" s="5" t="s">
        <v>32</v>
      </c>
      <c r="G18" s="5"/>
      <c r="H18" s="5"/>
      <c r="I18" s="5" t="s">
        <v>104</v>
      </c>
      <c r="J18" s="5"/>
      <c r="K18" s="5"/>
      <c r="L18" s="5">
        <v>47250</v>
      </c>
      <c r="M18" s="5" t="s">
        <v>32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>
      <c r="A19" s="5"/>
      <c r="B19" s="5" t="s">
        <v>171</v>
      </c>
      <c r="C19" s="5"/>
      <c r="D19" s="5"/>
      <c r="E19" s="145">
        <v>0.01</v>
      </c>
      <c r="F19" s="5" t="s">
        <v>4</v>
      </c>
      <c r="G19" s="5"/>
      <c r="H19" s="5"/>
      <c r="I19" s="5" t="s">
        <v>172</v>
      </c>
      <c r="J19" s="5"/>
      <c r="K19" s="5"/>
      <c r="L19" s="144">
        <v>1.4999999999999999E-2</v>
      </c>
      <c r="M19" s="5" t="s">
        <v>4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>
      <c r="A20" s="5"/>
      <c r="B20" s="10"/>
      <c r="C20" s="10"/>
      <c r="D20" s="10"/>
      <c r="E20" s="10"/>
      <c r="F20" s="10"/>
      <c r="G20" s="5"/>
      <c r="H20" s="5"/>
      <c r="I20" s="10"/>
      <c r="J20" s="10"/>
      <c r="K20" s="10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>
      <c r="A21" s="5"/>
      <c r="B21" s="6" t="s">
        <v>3</v>
      </c>
      <c r="C21" s="7"/>
      <c r="D21" s="5"/>
      <c r="E21" s="5"/>
      <c r="F21" s="5"/>
      <c r="G21" s="5"/>
      <c r="H21" s="5"/>
      <c r="I21" s="6" t="s">
        <v>3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>
      <c r="A22" s="5"/>
      <c r="B22" s="5" t="s">
        <v>117</v>
      </c>
      <c r="C22" s="5"/>
      <c r="D22" s="5"/>
      <c r="E22" s="5">
        <v>147000</v>
      </c>
      <c r="F22" s="5" t="s">
        <v>2</v>
      </c>
      <c r="G22" s="5"/>
      <c r="H22" s="5"/>
      <c r="I22" s="5" t="s">
        <v>117</v>
      </c>
      <c r="J22" s="146"/>
      <c r="K22" s="5"/>
      <c r="L22" s="5">
        <v>162000</v>
      </c>
      <c r="M22" s="5" t="s">
        <v>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>
      <c r="A23" s="5"/>
      <c r="B23" s="5" t="s">
        <v>160</v>
      </c>
      <c r="C23" s="5"/>
      <c r="D23" s="5"/>
      <c r="E23" s="13">
        <v>0.03</v>
      </c>
      <c r="F23" s="5" t="s">
        <v>4</v>
      </c>
      <c r="G23" s="5"/>
      <c r="H23" s="5"/>
      <c r="I23" s="5" t="s">
        <v>160</v>
      </c>
      <c r="J23" s="5"/>
      <c r="K23" s="5"/>
      <c r="L23">
        <v>0.03</v>
      </c>
      <c r="M23" s="5" t="s">
        <v>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>
      <c r="A24" s="5"/>
      <c r="B24" s="10"/>
      <c r="C24" s="10"/>
      <c r="D24" s="10"/>
      <c r="E24" s="10"/>
      <c r="F24" s="10"/>
      <c r="G24" s="5"/>
      <c r="H24" s="5"/>
      <c r="I24" s="24"/>
      <c r="J24" s="10"/>
      <c r="K24" s="10"/>
      <c r="L24" s="10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>
      <c r="A25" s="5"/>
      <c r="B25" s="5" t="s">
        <v>159</v>
      </c>
      <c r="E25" s="5">
        <v>100000</v>
      </c>
      <c r="F25" t="s">
        <v>2</v>
      </c>
      <c r="I25" t="s">
        <v>123</v>
      </c>
      <c r="L25" s="5">
        <v>80000</v>
      </c>
      <c r="M25" t="s">
        <v>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>
      <c r="A26" s="5"/>
      <c r="B26" s="5" t="s">
        <v>161</v>
      </c>
      <c r="E26" s="13">
        <v>0.03</v>
      </c>
      <c r="F26" t="s">
        <v>4</v>
      </c>
      <c r="I26" t="s">
        <v>161</v>
      </c>
      <c r="L26" s="13">
        <v>0.03</v>
      </c>
      <c r="M26" t="s">
        <v>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>
      <c r="A27" s="5"/>
      <c r="B27" s="10"/>
      <c r="C27" s="15"/>
      <c r="D27" s="10"/>
      <c r="E27" s="10"/>
      <c r="F27" s="10"/>
      <c r="G27" s="5"/>
      <c r="H27" s="5"/>
      <c r="I27" s="10"/>
      <c r="J27" s="10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>
      <c r="A28" s="5"/>
      <c r="B28" s="5" t="s">
        <v>105</v>
      </c>
      <c r="C28" s="5"/>
      <c r="D28" s="5"/>
      <c r="E28" s="124">
        <v>0.3</v>
      </c>
      <c r="F28" s="5" t="s">
        <v>4</v>
      </c>
      <c r="G28" s="5"/>
      <c r="H28" s="5"/>
      <c r="I28" s="5" t="s">
        <v>105</v>
      </c>
      <c r="J28" s="5"/>
      <c r="K28" s="5"/>
      <c r="L28" s="124">
        <v>0.3</v>
      </c>
      <c r="M28" s="5" t="s">
        <v>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>
      <c r="A29" s="5"/>
      <c r="B29" s="10"/>
      <c r="C29" s="10"/>
      <c r="D29" s="10"/>
      <c r="E29" s="10"/>
      <c r="F29" s="10"/>
      <c r="G29" s="5"/>
      <c r="H29" s="5"/>
      <c r="I29" s="10"/>
      <c r="J29" s="10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>
      <c r="A30" s="5"/>
      <c r="B30" s="5" t="s">
        <v>124</v>
      </c>
      <c r="C30" s="5"/>
      <c r="D30" s="5"/>
      <c r="E30" s="5">
        <v>50000</v>
      </c>
      <c r="F30" s="5" t="s">
        <v>2</v>
      </c>
      <c r="G30" s="5"/>
      <c r="H30" s="5"/>
      <c r="I30" s="5" t="s">
        <v>124</v>
      </c>
      <c r="J30" s="5"/>
      <c r="K30" s="5"/>
      <c r="L30" s="5">
        <v>35000</v>
      </c>
      <c r="M30" s="5" t="s">
        <v>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>
      <c r="A31" s="5"/>
      <c r="B31" s="10"/>
      <c r="C31" s="10"/>
      <c r="D31" s="10"/>
      <c r="E31" s="10"/>
      <c r="F31" s="10"/>
      <c r="G31" s="5"/>
      <c r="H31" s="5"/>
      <c r="I31" s="10"/>
      <c r="J31" s="10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>
      <c r="A32" s="5"/>
      <c r="B32" s="5" t="s">
        <v>5</v>
      </c>
      <c r="C32" s="5"/>
      <c r="D32" s="5"/>
      <c r="E32" s="5">
        <v>0</v>
      </c>
      <c r="F32" s="5" t="s">
        <v>2</v>
      </c>
      <c r="G32" s="5"/>
      <c r="H32" s="5"/>
      <c r="I32" s="5" t="s">
        <v>5</v>
      </c>
      <c r="J32" s="5"/>
      <c r="K32" s="5"/>
      <c r="L32" s="5">
        <v>0</v>
      </c>
      <c r="M32" s="5" t="s">
        <v>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>
      <c r="A33" s="5"/>
      <c r="B33" s="10"/>
      <c r="C33" s="10"/>
      <c r="D33" s="10"/>
      <c r="E33" s="10"/>
      <c r="F33" s="10"/>
      <c r="G33" s="5"/>
      <c r="H33" s="5"/>
      <c r="I33" s="10"/>
      <c r="J33" s="10"/>
      <c r="K33" s="10"/>
      <c r="L33" s="10"/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>
      <c r="A34" s="5"/>
      <c r="B34" s="5" t="s">
        <v>6</v>
      </c>
      <c r="C34" s="5"/>
      <c r="D34" s="5"/>
      <c r="E34" s="5">
        <f>E12/E5</f>
        <v>57400</v>
      </c>
      <c r="F34" s="5" t="s">
        <v>2</v>
      </c>
      <c r="G34" s="5"/>
      <c r="H34" s="5"/>
      <c r="I34" s="5" t="s">
        <v>125</v>
      </c>
      <c r="J34" s="5"/>
      <c r="K34" s="5"/>
      <c r="L34" s="5">
        <f>L12/L5</f>
        <v>75000</v>
      </c>
      <c r="M34" s="5" t="s">
        <v>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>
      <c r="A36" s="5"/>
      <c r="B36" s="6" t="s">
        <v>7</v>
      </c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>
      <c r="A37" s="5"/>
      <c r="B37" s="5" t="s">
        <v>8</v>
      </c>
      <c r="C37" s="5"/>
      <c r="D37" s="5"/>
      <c r="G37" s="5">
        <f>SUM(D38:D40)</f>
        <v>16000000</v>
      </c>
      <c r="H37" s="5" t="s">
        <v>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>
      <c r="A38" s="5"/>
      <c r="B38" s="5" t="s">
        <v>106</v>
      </c>
      <c r="C38" s="5"/>
      <c r="D38" s="5">
        <v>3500000</v>
      </c>
      <c r="E38" s="13">
        <v>4.5</v>
      </c>
      <c r="F38" t="s">
        <v>4</v>
      </c>
      <c r="G38" s="5"/>
      <c r="H38" s="5"/>
      <c r="I38" s="5" t="s">
        <v>24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>
      <c r="A39" s="5"/>
      <c r="B39" s="5" t="s">
        <v>107</v>
      </c>
      <c r="C39" s="5"/>
      <c r="D39" s="5">
        <v>2500000</v>
      </c>
      <c r="E39">
        <v>3</v>
      </c>
      <c r="F39" t="s">
        <v>4</v>
      </c>
      <c r="G39" s="5"/>
      <c r="H39" s="5"/>
      <c r="I39" s="5" t="s">
        <v>110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>
      <c r="A40" s="5"/>
      <c r="B40" s="5" t="s">
        <v>109</v>
      </c>
      <c r="C40" s="5"/>
      <c r="D40" s="5">
        <v>10000000</v>
      </c>
      <c r="E40">
        <v>5</v>
      </c>
      <c r="F40" t="s">
        <v>4</v>
      </c>
      <c r="G40" s="5"/>
      <c r="H40" s="5"/>
      <c r="I40" s="5" t="s">
        <v>137</v>
      </c>
      <c r="J40" s="5" t="s">
        <v>132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>
      <c r="A41" s="5"/>
      <c r="B41" s="5"/>
      <c r="C41" s="5"/>
      <c r="D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>
      <c r="A42" s="5"/>
      <c r="B42" s="5" t="s">
        <v>108</v>
      </c>
      <c r="C42" s="5"/>
      <c r="D42" s="5"/>
      <c r="G42" s="7">
        <v>24000000</v>
      </c>
      <c r="H42" s="5" t="s">
        <v>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>
      <c r="A43" s="5"/>
      <c r="B43" s="8" t="s">
        <v>11</v>
      </c>
      <c r="C43" s="8"/>
      <c r="D43" s="8"/>
      <c r="E43" s="8"/>
      <c r="F43" s="2"/>
      <c r="G43" s="14">
        <f>SUM(G37:G42)</f>
        <v>40000000</v>
      </c>
      <c r="H43" s="5" t="s">
        <v>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>
      <c r="A44" s="5"/>
      <c r="B44" s="10"/>
      <c r="C44" s="10"/>
      <c r="D44" s="10"/>
      <c r="E44" s="10"/>
      <c r="F44" s="15"/>
      <c r="G44" s="10"/>
      <c r="H44" s="10"/>
      <c r="I44" s="10"/>
      <c r="J44" s="10"/>
      <c r="K44" s="10"/>
      <c r="L44" s="10"/>
      <c r="M44" s="1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>
      <c r="A45" s="5"/>
      <c r="B45" s="6" t="s">
        <v>12</v>
      </c>
      <c r="C45" s="7"/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>
      <c r="A46" s="5"/>
      <c r="B46" s="5" t="s">
        <v>126</v>
      </c>
      <c r="C46" s="5"/>
      <c r="D46" s="47">
        <v>1000</v>
      </c>
      <c r="E46" s="5" t="s">
        <v>112</v>
      </c>
      <c r="F46" s="5"/>
      <c r="G46" s="5" t="s">
        <v>131</v>
      </c>
      <c r="H46" s="5" t="s">
        <v>132</v>
      </c>
      <c r="I46" s="5"/>
      <c r="J46" s="5" t="s">
        <v>133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>
      <c r="A47" s="5"/>
      <c r="B47" s="5" t="s">
        <v>127</v>
      </c>
      <c r="C47" s="5"/>
      <c r="D47" s="5">
        <v>995</v>
      </c>
      <c r="E47" s="5" t="s">
        <v>111</v>
      </c>
      <c r="F47" s="5"/>
      <c r="G47" s="5" t="s">
        <v>134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>
      <c r="A49" s="5"/>
      <c r="B49" s="5" t="s">
        <v>129</v>
      </c>
      <c r="C49" s="5"/>
      <c r="D49" s="11">
        <v>0.25</v>
      </c>
      <c r="E49" s="5" t="s">
        <v>113</v>
      </c>
      <c r="F49" s="5" t="s">
        <v>114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>
      <c r="A50" s="5"/>
      <c r="B50" s="5" t="s">
        <v>128</v>
      </c>
      <c r="C50" s="5"/>
      <c r="D50" s="11">
        <v>3.5</v>
      </c>
      <c r="E50" s="5" t="s">
        <v>2</v>
      </c>
      <c r="F50" s="5" t="s">
        <v>111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>
      <c r="A51" s="5"/>
      <c r="B51" s="5" t="s">
        <v>130</v>
      </c>
      <c r="C51" s="5"/>
      <c r="D51" s="47">
        <v>5</v>
      </c>
      <c r="E51" s="5" t="s">
        <v>4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6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1:6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1:6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1:6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1:6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1:6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1:6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1:6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1:6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1:6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1:6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1:6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1:6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1:6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1:6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1:6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1:6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1:6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1:6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1:6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1:6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1:6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1:6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1:6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1:6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1:6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1:6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1:6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1:6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1:6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1:6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1:6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1:6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1:6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1:6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1:6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1:6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1:6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6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6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6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6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6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6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6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6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6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:6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:6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:6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:6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:6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:6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:6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:6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:6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1:6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1:6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1:6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1:6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1:6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1:6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1:6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1:6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1:6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1:6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1:6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1:6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1:6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1:6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1:6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1:6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1:6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1:6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1:6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1:6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1:6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1:6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1: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1:6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1:6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1:6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1:6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1:6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1:6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1:6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1:6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1:6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1:6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1:6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1:6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1:6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1:6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1:6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1:6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1:6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1:6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1:6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1:6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1:6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1:6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1:6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1:6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1:6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1:6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1:6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1:6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1:6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1:6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1:6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1:6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1:6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1:6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1:6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1:6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1:6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1:6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1:6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1:6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1:6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1:6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1:6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1:6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1:6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1:6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1:6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1:6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1:6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1:6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1:6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1:6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1:6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1:6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1:6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1:6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1:6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1:6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1:6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1:6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1:6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1:6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1:6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1:6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1:6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1:6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1:6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1:6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1:6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1:6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1:6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1:6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1:6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1:6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1:6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1:6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1:6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1:6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1:6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1:6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1:6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1:6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1:6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1:6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1:6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1:6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1:6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1:6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1:6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1:6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1:6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1:6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1:6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1:6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1:6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1:6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1:6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1:6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1:6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1: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1:6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1:6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1:6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1:6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1:6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1:6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1:6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1:6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1:6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1:6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1:6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1:6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1:6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1:6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1:6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1:6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1:6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1:6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1:6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1:6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1:6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1:6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1:6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1:6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1:6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1:6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1:6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1:6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1:6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1:6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1:6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1:6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1:6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1:6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1:6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1:6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1:6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1:6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1:6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1:6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1:6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1:6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1:6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1:6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1:6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1:6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1:6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1:6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1:6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1:6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1:6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1:6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1:6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1:6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1:6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1:6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1:6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1:6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1:6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1:6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1:6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1:6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1:6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1:6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1:6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1:6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1:6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1:6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1:6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1:6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1:6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1:6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1:6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1:6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1:6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1:6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1:6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1:6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1:6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1:6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1:6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1:6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1:6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1:6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1:6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1:6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1:6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1:6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1:6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1:6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1:6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1:6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1:6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  <row r="356" spans="1:6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</row>
    <row r="357" spans="1:6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</row>
    <row r="358" spans="1:6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</row>
    <row r="359" spans="1:6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</row>
    <row r="360" spans="1:6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</row>
    <row r="361" spans="1:6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</row>
    <row r="362" spans="1: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</row>
    <row r="363" spans="1:6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</row>
    <row r="364" spans="1:6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</row>
    <row r="365" spans="1:6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</row>
    <row r="366" spans="1:6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</row>
    <row r="367" spans="1:6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</row>
    <row r="368" spans="1:6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</row>
    <row r="369" spans="1:6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</row>
    <row r="370" spans="1:6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</row>
    <row r="371" spans="1:6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</row>
    <row r="372" spans="1:6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</row>
    <row r="373" spans="1:6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</row>
    <row r="374" spans="1:6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</row>
    <row r="375" spans="1:6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</row>
    <row r="376" spans="1:6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</row>
    <row r="377" spans="1:6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</row>
    <row r="378" spans="1:6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</row>
    <row r="379" spans="1:6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</row>
    <row r="380" spans="1:6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</row>
    <row r="381" spans="1:6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</row>
    <row r="382" spans="1:6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</row>
    <row r="383" spans="1:6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</row>
    <row r="384" spans="1:6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</row>
    <row r="385" spans="1:6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</row>
    <row r="386" spans="1:6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</row>
    <row r="387" spans="1:6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</row>
    <row r="388" spans="1:6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</row>
    <row r="389" spans="1:6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</row>
    <row r="390" spans="1:6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</row>
    <row r="391" spans="1:6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</row>
    <row r="392" spans="1:6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</row>
    <row r="393" spans="1:6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</row>
    <row r="394" spans="1:6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</row>
    <row r="395" spans="1:6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</row>
    <row r="396" spans="1:6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</row>
    <row r="397" spans="1:6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</row>
    <row r="398" spans="1:6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</row>
    <row r="399" spans="1:6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</row>
    <row r="400" spans="1:6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</row>
    <row r="401" spans="1:6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</row>
    <row r="402" spans="1:6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</row>
    <row r="403" spans="1:6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</row>
    <row r="404" spans="1:6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</row>
    <row r="405" spans="1:6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</row>
    <row r="406" spans="1:6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</row>
    <row r="407" spans="1:6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</row>
    <row r="408" spans="1:6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</row>
    <row r="409" spans="1:6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</row>
    <row r="410" spans="1:6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</row>
    <row r="411" spans="1:6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72E4-A1D0-1E45-A880-AF361E43193D}">
  <dimension ref="A1:U102"/>
  <sheetViews>
    <sheetView topLeftCell="A8" zoomScale="70" zoomScaleNormal="70" workbookViewId="0">
      <selection activeCell="F23" sqref="F23"/>
    </sheetView>
  </sheetViews>
  <sheetFormatPr defaultColWidth="10.625" defaultRowHeight="15.75"/>
  <cols>
    <col min="2" max="2" width="26.375" customWidth="1"/>
    <col min="3" max="3" width="14" customWidth="1"/>
    <col min="4" max="4" width="17.375" customWidth="1"/>
    <col min="5" max="5" width="20.875" customWidth="1"/>
    <col min="6" max="6" width="13.5" customWidth="1"/>
    <col min="7" max="7" width="13.125" customWidth="1"/>
    <col min="8" max="8" width="12.875" customWidth="1"/>
    <col min="12" max="12" width="18.375" customWidth="1"/>
    <col min="13" max="13" width="11.5" customWidth="1"/>
    <col min="17" max="17" width="14.5" customWidth="1"/>
    <col min="18" max="18" width="13.125" customWidth="1"/>
  </cols>
  <sheetData>
    <row r="1" spans="1:9">
      <c r="I1" s="15"/>
    </row>
    <row r="2" spans="1:9" ht="31.5">
      <c r="A2" s="62" t="s">
        <v>156</v>
      </c>
      <c r="B2" s="71"/>
      <c r="C2" s="71"/>
      <c r="I2" s="15"/>
    </row>
    <row r="3" spans="1:9">
      <c r="A3" s="42"/>
      <c r="B3" s="69"/>
      <c r="C3" s="15"/>
      <c r="D3" s="15"/>
      <c r="E3" s="15"/>
      <c r="F3" s="15"/>
      <c r="G3" s="15"/>
      <c r="H3" s="15"/>
      <c r="I3" s="15"/>
    </row>
    <row r="4" spans="1:9" ht="31.5">
      <c r="A4" s="2"/>
      <c r="B4" s="62" t="s">
        <v>67</v>
      </c>
      <c r="I4" s="15"/>
    </row>
    <row r="5" spans="1:9">
      <c r="A5" s="2"/>
      <c r="B5" s="3" t="s">
        <v>13</v>
      </c>
      <c r="C5" s="3"/>
      <c r="D5" s="3"/>
      <c r="E5" s="26" t="s">
        <v>14</v>
      </c>
      <c r="I5" s="15"/>
    </row>
    <row r="6" spans="1:9">
      <c r="A6" s="2"/>
      <c r="B6" s="5" t="s">
        <v>106</v>
      </c>
      <c r="E6" s="28">
        <f>'Given_MCACA(APL)_Data_Part B'!D38</f>
        <v>3500000</v>
      </c>
      <c r="I6" s="15"/>
    </row>
    <row r="7" spans="1:9">
      <c r="A7" s="2"/>
      <c r="B7" s="5" t="s">
        <v>135</v>
      </c>
      <c r="E7" s="28">
        <f>'Given_MCACA(APL)_Data_Part B'!D39</f>
        <v>2500000</v>
      </c>
      <c r="I7" s="15"/>
    </row>
    <row r="8" spans="1:9">
      <c r="A8" s="2"/>
      <c r="B8" s="5" t="s">
        <v>136</v>
      </c>
      <c r="E8" s="28">
        <f>'Given_MCACA(APL)_Data_Part B'!D40</f>
        <v>10000000</v>
      </c>
      <c r="I8" s="15"/>
    </row>
    <row r="9" spans="1:9">
      <c r="A9" s="2"/>
      <c r="B9" t="s">
        <v>9</v>
      </c>
      <c r="E9" s="52">
        <f>'Given_MCACA(APL)_Data_Part B'!G42</f>
        <v>24000000</v>
      </c>
      <c r="I9" s="15"/>
    </row>
    <row r="10" spans="1:9">
      <c r="A10" s="2"/>
      <c r="B10" s="2" t="s">
        <v>19</v>
      </c>
      <c r="E10" s="53">
        <f>SUM(E6:E9)</f>
        <v>40000000</v>
      </c>
      <c r="I10" s="15"/>
    </row>
    <row r="11" spans="1:9">
      <c r="A11" s="2"/>
      <c r="I11" s="15"/>
    </row>
    <row r="12" spans="1:9">
      <c r="A12" s="2"/>
      <c r="B12" s="3" t="s">
        <v>13</v>
      </c>
      <c r="C12" s="3"/>
      <c r="D12" s="3"/>
      <c r="E12" s="26" t="s">
        <v>14</v>
      </c>
      <c r="F12" s="38" t="s">
        <v>15</v>
      </c>
      <c r="I12" s="15"/>
    </row>
    <row r="13" spans="1:9">
      <c r="A13" s="2"/>
      <c r="B13" s="5" t="s">
        <v>106</v>
      </c>
      <c r="E13" s="28">
        <f>'Given_MCACA(APL)_Data_Part B'!D38</f>
        <v>3500000</v>
      </c>
      <c r="F13" s="39">
        <f>E13/E17</f>
        <v>8.7499999999999994E-2</v>
      </c>
      <c r="I13" s="15"/>
    </row>
    <row r="14" spans="1:9">
      <c r="A14" s="2"/>
      <c r="B14" s="5" t="s">
        <v>135</v>
      </c>
      <c r="E14" s="28">
        <f>'Given_MCACA(APL)_Data_Part B'!D39</f>
        <v>2500000</v>
      </c>
      <c r="F14" s="39">
        <f>E14/E17</f>
        <v>6.25E-2</v>
      </c>
      <c r="I14" s="15"/>
    </row>
    <row r="15" spans="1:9">
      <c r="A15" s="2"/>
      <c r="B15" s="5" t="s">
        <v>136</v>
      </c>
      <c r="E15" s="28">
        <f>'Given_MCACA(APL)_Data_Part B'!D40</f>
        <v>10000000</v>
      </c>
      <c r="F15" s="39">
        <f>E15/E17</f>
        <v>0.25</v>
      </c>
      <c r="I15" s="15"/>
    </row>
    <row r="16" spans="1:9">
      <c r="A16" s="2"/>
      <c r="B16" t="s">
        <v>9</v>
      </c>
      <c r="E16" s="52">
        <f>'Given_MCACA(APL)_Data_Part B'!G42</f>
        <v>24000000</v>
      </c>
      <c r="F16" s="39">
        <f>E16/E17</f>
        <v>0.6</v>
      </c>
      <c r="I16" s="15"/>
    </row>
    <row r="17" spans="1:20">
      <c r="A17" s="2"/>
      <c r="B17" s="2" t="s">
        <v>19</v>
      </c>
      <c r="E17" s="53">
        <f>SUM(E13:E16)</f>
        <v>40000000</v>
      </c>
      <c r="F17" s="54">
        <f>SUM(F13:F16)</f>
        <v>1</v>
      </c>
      <c r="I17" s="15"/>
    </row>
    <row r="18" spans="1:20">
      <c r="A18" s="42"/>
      <c r="B18" s="42"/>
      <c r="C18" s="15"/>
      <c r="D18" s="15"/>
      <c r="E18" s="10"/>
      <c r="F18" s="1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31.5">
      <c r="A19" s="2"/>
      <c r="B19" s="62" t="s">
        <v>71</v>
      </c>
      <c r="C19" s="4"/>
      <c r="D19" s="4"/>
      <c r="I19" s="15"/>
      <c r="J19" s="61" t="s">
        <v>73</v>
      </c>
      <c r="K19" s="66"/>
      <c r="L19" s="4"/>
      <c r="M19" s="4"/>
    </row>
    <row r="20" spans="1:20" ht="33">
      <c r="A20" s="2"/>
      <c r="B20" s="3" t="s">
        <v>13</v>
      </c>
      <c r="C20" s="64" t="s">
        <v>69</v>
      </c>
      <c r="D20" s="64" t="s">
        <v>70</v>
      </c>
      <c r="E20" s="33" t="s">
        <v>68</v>
      </c>
      <c r="F20" s="2"/>
      <c r="I20" s="15"/>
      <c r="K20" s="17" t="s">
        <v>20</v>
      </c>
      <c r="M20" s="20" t="s">
        <v>25</v>
      </c>
      <c r="R20" s="19"/>
      <c r="S20" s="18"/>
    </row>
    <row r="21" spans="1:20">
      <c r="A21" s="2"/>
      <c r="B21" s="5" t="s">
        <v>106</v>
      </c>
      <c r="C21" s="12">
        <v>4.4999999999999998E-2</v>
      </c>
      <c r="D21">
        <v>365</v>
      </c>
      <c r="E21" s="35">
        <f>K26</f>
        <v>4.6024958498596558E-2</v>
      </c>
      <c r="I21" s="15"/>
      <c r="J21" s="42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33.75">
      <c r="A22" s="2"/>
      <c r="B22" s="131" t="s">
        <v>144</v>
      </c>
      <c r="C22" s="21">
        <v>0.03</v>
      </c>
      <c r="D22">
        <v>26</v>
      </c>
      <c r="E22" s="35">
        <f>K29</f>
        <v>3.0436713024814432E-2</v>
      </c>
      <c r="I22" s="15"/>
      <c r="J22" s="61" t="s">
        <v>21</v>
      </c>
      <c r="K22" s="66"/>
      <c r="L22" s="4"/>
      <c r="M22" s="4"/>
    </row>
    <row r="23" spans="1:20" ht="31.5">
      <c r="A23" s="2"/>
      <c r="B23" s="131" t="s">
        <v>145</v>
      </c>
      <c r="C23" s="21">
        <v>0.05</v>
      </c>
      <c r="D23">
        <v>6</v>
      </c>
      <c r="E23" s="35">
        <f>K32</f>
        <v>5.1053313320164939E-2</v>
      </c>
      <c r="G23" s="12"/>
      <c r="I23" s="15"/>
      <c r="J23" s="41" t="s">
        <v>44</v>
      </c>
      <c r="P23" t="s">
        <v>4</v>
      </c>
      <c r="Q23" s="68" t="s">
        <v>53</v>
      </c>
    </row>
    <row r="24" spans="1:20">
      <c r="A24" s="2"/>
      <c r="B24" t="s">
        <v>9</v>
      </c>
      <c r="C24" s="12"/>
      <c r="E24" s="55">
        <f>L53</f>
        <v>0.125</v>
      </c>
      <c r="I24" s="15"/>
      <c r="J24" s="33" t="s">
        <v>10</v>
      </c>
      <c r="K24" s="33" t="s">
        <v>24</v>
      </c>
      <c r="L24" s="63"/>
      <c r="M24" s="34"/>
      <c r="N24" s="34"/>
      <c r="O24" s="34" t="s">
        <v>52</v>
      </c>
      <c r="P24" s="34">
        <v>4.4999999999999998E-2</v>
      </c>
      <c r="Q24" s="34">
        <v>365</v>
      </c>
    </row>
    <row r="25" spans="1:20">
      <c r="A25" s="42"/>
      <c r="B25" s="15"/>
      <c r="C25" s="43"/>
      <c r="D25" s="15"/>
      <c r="E25" s="65"/>
      <c r="F25" s="15"/>
      <c r="G25" s="15"/>
      <c r="H25" s="15"/>
      <c r="I25" s="15"/>
      <c r="J25" s="34" t="s">
        <v>138</v>
      </c>
      <c r="K25" s="34"/>
      <c r="L25" s="34"/>
      <c r="M25" s="34"/>
      <c r="N25" s="34"/>
      <c r="O25" s="34"/>
      <c r="P25" s="34"/>
      <c r="Q25" s="34"/>
    </row>
    <row r="26" spans="1:20" ht="31.5">
      <c r="A26" s="2"/>
      <c r="B26" s="62" t="s">
        <v>72</v>
      </c>
      <c r="C26" s="67"/>
      <c r="D26" s="4"/>
      <c r="E26" s="21"/>
      <c r="I26" s="15"/>
      <c r="J26" s="34" t="s">
        <v>22</v>
      </c>
      <c r="K26" s="35">
        <f>EFFECT(P24,Q24)</f>
        <v>4.6024958498596558E-2</v>
      </c>
      <c r="L26" s="35"/>
      <c r="M26" s="34"/>
      <c r="N26" s="34"/>
      <c r="O26" s="34"/>
      <c r="P26" s="34"/>
      <c r="Q26" s="34"/>
    </row>
    <row r="27" spans="1:20">
      <c r="A27" s="2"/>
      <c r="C27" s="12"/>
      <c r="E27" s="21"/>
      <c r="I27" s="15"/>
      <c r="J27" s="36" t="s">
        <v>139</v>
      </c>
      <c r="K27" s="26" t="s">
        <v>110</v>
      </c>
      <c r="L27" s="26"/>
      <c r="M27" s="36"/>
      <c r="N27" s="27"/>
      <c r="O27" s="27" t="s">
        <v>54</v>
      </c>
      <c r="P27" s="27">
        <v>0.03</v>
      </c>
      <c r="Q27" s="27">
        <v>26</v>
      </c>
    </row>
    <row r="28" spans="1:20">
      <c r="A28" s="2"/>
      <c r="B28" s="3" t="s">
        <v>13</v>
      </c>
      <c r="C28" s="33" t="s">
        <v>16</v>
      </c>
      <c r="D28" s="59" t="s">
        <v>17</v>
      </c>
      <c r="E28" s="56" t="s">
        <v>26</v>
      </c>
      <c r="G28" s="12"/>
      <c r="I28" s="15"/>
      <c r="J28" s="27" t="s">
        <v>140</v>
      </c>
      <c r="K28" s="27"/>
      <c r="L28" s="27"/>
      <c r="M28" s="27"/>
      <c r="N28" s="27"/>
      <c r="O28" s="27"/>
      <c r="P28" s="27"/>
      <c r="Q28" s="27"/>
    </row>
    <row r="29" spans="1:20">
      <c r="A29" s="2"/>
      <c r="B29" s="5" t="s">
        <v>106</v>
      </c>
      <c r="C29" s="35">
        <f>K26</f>
        <v>4.6024958498596558E-2</v>
      </c>
      <c r="D29" s="60">
        <f>'Given_MCACA(APL)_Data_Part B'!$E$28</f>
        <v>0.3</v>
      </c>
      <c r="E29" s="57">
        <f>C29*(1-D29)</f>
        <v>3.2217470949017592E-2</v>
      </c>
      <c r="I29" s="15"/>
      <c r="J29" s="27" t="s">
        <v>23</v>
      </c>
      <c r="K29" s="37">
        <f>EFFECT(P27,Q27)</f>
        <v>3.0436713024814432E-2</v>
      </c>
      <c r="L29" s="37"/>
      <c r="M29" s="27"/>
      <c r="N29" s="27"/>
      <c r="O29" s="27"/>
      <c r="P29" s="27"/>
      <c r="Q29" s="27"/>
    </row>
    <row r="30" spans="1:20" ht="31.5">
      <c r="A30" s="2"/>
      <c r="B30" s="131" t="s">
        <v>144</v>
      </c>
      <c r="C30" s="35">
        <f>K29</f>
        <v>3.0436713024814432E-2</v>
      </c>
      <c r="D30" s="60">
        <f>'Given_MCACA(APL)_Data_Part B'!$E$28</f>
        <v>0.3</v>
      </c>
      <c r="E30" s="57">
        <f t="shared" ref="E30:E32" si="0">C30*(1-D30)</f>
        <v>2.1305699117370101E-2</v>
      </c>
      <c r="I30" s="15"/>
      <c r="J30" s="38" t="s">
        <v>141</v>
      </c>
      <c r="K30" s="38" t="s">
        <v>148</v>
      </c>
      <c r="L30" s="38"/>
      <c r="M30" s="38"/>
      <c r="N30" s="39"/>
      <c r="O30" s="39" t="s">
        <v>54</v>
      </c>
      <c r="P30" s="39">
        <v>0.05</v>
      </c>
      <c r="Q30" s="39">
        <v>6</v>
      </c>
    </row>
    <row r="31" spans="1:20" ht="31.5">
      <c r="A31" s="2"/>
      <c r="B31" s="131" t="s">
        <v>145</v>
      </c>
      <c r="C31" s="35">
        <f>K32</f>
        <v>5.1053313320164939E-2</v>
      </c>
      <c r="D31" s="60">
        <f>'Given_MCACA(APL)_Data_Part B'!$E$28</f>
        <v>0.3</v>
      </c>
      <c r="E31" s="57">
        <f t="shared" si="0"/>
        <v>3.5737319324115453E-2</v>
      </c>
      <c r="I31" s="15"/>
      <c r="J31" s="39" t="s">
        <v>147</v>
      </c>
      <c r="K31" s="39"/>
      <c r="L31" s="39"/>
      <c r="M31" s="39"/>
      <c r="N31" s="39"/>
      <c r="O31" s="39"/>
      <c r="P31" s="39"/>
      <c r="Q31" s="39"/>
    </row>
    <row r="32" spans="1:20">
      <c r="A32" s="2"/>
      <c r="B32" t="s">
        <v>9</v>
      </c>
      <c r="C32" s="55">
        <f>L53</f>
        <v>0.125</v>
      </c>
      <c r="D32" s="60">
        <f>'Given_MCACA(APL)_Data_Part B'!$E$28</f>
        <v>0.3</v>
      </c>
      <c r="E32" s="57">
        <f t="shared" si="0"/>
        <v>8.7499999999999994E-2</v>
      </c>
      <c r="I32" s="15"/>
      <c r="J32" s="39" t="s">
        <v>22</v>
      </c>
      <c r="K32" s="40">
        <f>EFFECT(P30,Q30)</f>
        <v>5.1053313320164939E-2</v>
      </c>
      <c r="L32" s="40"/>
      <c r="M32" s="39"/>
      <c r="N32" s="39"/>
      <c r="O32" s="39"/>
      <c r="P32" s="39"/>
      <c r="Q32" s="39"/>
    </row>
    <row r="33" spans="1:21">
      <c r="A33" s="42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43"/>
      <c r="M33" s="43"/>
      <c r="N33" s="15"/>
      <c r="O33" s="15"/>
      <c r="P33" s="15"/>
      <c r="Q33" s="15"/>
      <c r="R33" s="15"/>
      <c r="S33" s="15"/>
      <c r="T33" s="15"/>
      <c r="U33" s="15"/>
    </row>
    <row r="34" spans="1:21" ht="26.25">
      <c r="A34" s="2"/>
      <c r="B34" s="106" t="s">
        <v>74</v>
      </c>
      <c r="C34" s="105"/>
      <c r="I34" s="15"/>
      <c r="J34" s="121" t="s">
        <v>149</v>
      </c>
      <c r="K34" s="122"/>
      <c r="L34" s="122"/>
      <c r="M34" s="122"/>
      <c r="N34" s="122"/>
      <c r="O34" s="122"/>
      <c r="P34" s="122"/>
      <c r="Q34" s="123"/>
    </row>
    <row r="35" spans="1:21">
      <c r="A35" s="2"/>
      <c r="I35" s="15"/>
    </row>
    <row r="36" spans="1:21">
      <c r="B36" s="3" t="s">
        <v>13</v>
      </c>
      <c r="C36" s="26" t="s">
        <v>14</v>
      </c>
      <c r="D36" s="38" t="s">
        <v>15</v>
      </c>
      <c r="E36" s="33" t="s">
        <v>16</v>
      </c>
      <c r="F36" s="59" t="s">
        <v>17</v>
      </c>
      <c r="G36" s="56" t="s">
        <v>26</v>
      </c>
      <c r="H36" s="3" t="s">
        <v>18</v>
      </c>
      <c r="I36" s="15"/>
      <c r="J36" s="26" t="s">
        <v>98</v>
      </c>
      <c r="K36" s="26"/>
      <c r="L36" s="26"/>
      <c r="M36" s="26"/>
      <c r="N36" s="115"/>
      <c r="O36" s="115"/>
      <c r="T36" s="130"/>
    </row>
    <row r="37" spans="1:21">
      <c r="B37" s="5" t="s">
        <v>106</v>
      </c>
      <c r="C37" s="28">
        <f>'Given_MCACA(APL)_Data_Part B'!D38</f>
        <v>3500000</v>
      </c>
      <c r="D37" s="39">
        <f>C37/C41</f>
        <v>8.7499999999999994E-2</v>
      </c>
      <c r="E37" s="35">
        <f>K26</f>
        <v>4.6024958498596558E-2</v>
      </c>
      <c r="F37" s="60">
        <f>'Given_MCACA(APL)_Data_Part B'!$E$28</f>
        <v>0.3</v>
      </c>
      <c r="G37" s="57">
        <f>E37*(1-F37)</f>
        <v>3.2217470949017592E-2</v>
      </c>
      <c r="H37" s="22">
        <f>D37*G37</f>
        <v>2.8190287080390392E-3</v>
      </c>
      <c r="I37" s="15"/>
      <c r="T37" s="130"/>
    </row>
    <row r="38" spans="1:21" ht="31.5">
      <c r="B38" s="131" t="s">
        <v>144</v>
      </c>
      <c r="C38" s="28">
        <f>'Given_MCACA(APL)_Data_Part B'!D39</f>
        <v>2500000</v>
      </c>
      <c r="D38" s="39">
        <f>C38/C41</f>
        <v>6.25E-2</v>
      </c>
      <c r="E38" s="35">
        <f>K29</f>
        <v>3.0436713024814432E-2</v>
      </c>
      <c r="F38" s="60">
        <f>'Given_MCACA(APL)_Data_Part B'!$E$28</f>
        <v>0.3</v>
      </c>
      <c r="G38" s="57">
        <f t="shared" ref="G38:G40" si="1">E38*(1-F38)</f>
        <v>2.1305699117370101E-2</v>
      </c>
      <c r="H38" s="22">
        <f t="shared" ref="H38:H40" si="2">D38*G38</f>
        <v>1.3316061948356313E-3</v>
      </c>
      <c r="I38" s="15"/>
      <c r="J38" s="112" t="s">
        <v>85</v>
      </c>
      <c r="T38" s="130"/>
    </row>
    <row r="39" spans="1:21" ht="31.5">
      <c r="B39" s="131" t="s">
        <v>145</v>
      </c>
      <c r="C39" s="28">
        <f>'Given_MCACA(APL)_Data_Part B'!D40</f>
        <v>10000000</v>
      </c>
      <c r="D39" s="39">
        <f>C39/C41</f>
        <v>0.25</v>
      </c>
      <c r="E39" s="35">
        <f>K32</f>
        <v>5.1053313320164939E-2</v>
      </c>
      <c r="F39" s="60">
        <f>'Given_MCACA(APL)_Data_Part B'!$E$28</f>
        <v>0.3</v>
      </c>
      <c r="G39" s="57">
        <f t="shared" si="1"/>
        <v>3.5737319324115453E-2</v>
      </c>
      <c r="H39" s="22">
        <f t="shared" si="2"/>
        <v>8.9343298310288633E-3</v>
      </c>
      <c r="I39" s="15"/>
      <c r="J39" t="s">
        <v>142</v>
      </c>
      <c r="T39" s="130"/>
    </row>
    <row r="40" spans="1:21">
      <c r="B40" t="s">
        <v>9</v>
      </c>
      <c r="C40" s="52">
        <f>'Given_MCACA(APL)_Data_Part B'!G42</f>
        <v>24000000</v>
      </c>
      <c r="D40" s="39">
        <f>C40/C41</f>
        <v>0.6</v>
      </c>
      <c r="E40" s="55">
        <f>L53</f>
        <v>0.125</v>
      </c>
      <c r="F40" s="60">
        <f>'Given_MCACA(APL)_Data_Part B'!$E$28</f>
        <v>0.3</v>
      </c>
      <c r="G40" s="57">
        <f t="shared" si="1"/>
        <v>8.7499999999999994E-2</v>
      </c>
      <c r="H40" s="22">
        <f t="shared" si="2"/>
        <v>5.2499999999999998E-2</v>
      </c>
      <c r="I40" s="15"/>
      <c r="J40" t="s">
        <v>143</v>
      </c>
      <c r="K40" s="107"/>
      <c r="T40" s="130"/>
    </row>
    <row r="41" spans="1:21" ht="23.25">
      <c r="B41" s="2" t="s">
        <v>19</v>
      </c>
      <c r="C41" s="53">
        <f>SUM(C37:C40)</f>
        <v>40000000</v>
      </c>
      <c r="D41" s="54">
        <f>SUM(D37:D40)</f>
        <v>1</v>
      </c>
      <c r="E41" s="34"/>
      <c r="F41" s="60">
        <f>'Given_MCACA(APL)_Data_Part B'!$E$28</f>
        <v>0.3</v>
      </c>
      <c r="G41" s="58"/>
      <c r="H41" s="23">
        <f>SUM(H37:H40)</f>
        <v>6.5584964733903531E-2</v>
      </c>
      <c r="I41" s="15"/>
      <c r="J41" s="109"/>
      <c r="K41" s="108"/>
      <c r="T41" s="130"/>
    </row>
    <row r="42" spans="1:21">
      <c r="A42" s="15"/>
      <c r="B42" s="15"/>
      <c r="C42" s="15"/>
      <c r="D42" s="15"/>
      <c r="E42" s="15"/>
      <c r="F42" s="15"/>
      <c r="G42" s="15"/>
      <c r="H42" s="15"/>
      <c r="I42" s="15"/>
      <c r="J42" s="3" t="s">
        <v>86</v>
      </c>
      <c r="T42" s="130"/>
    </row>
    <row r="43" spans="1:21" ht="26.25">
      <c r="A43" s="70" t="s">
        <v>150</v>
      </c>
      <c r="B43" s="4"/>
      <c r="C43" s="4"/>
      <c r="I43" s="15"/>
      <c r="J43" s="110"/>
      <c r="T43" s="130"/>
    </row>
    <row r="44" spans="1:21">
      <c r="A44" s="16" t="s">
        <v>45</v>
      </c>
      <c r="B44" s="1"/>
      <c r="C44" s="1"/>
      <c r="D44" s="1"/>
      <c r="E44" s="1"/>
      <c r="I44" s="15"/>
      <c r="J44" t="s">
        <v>87</v>
      </c>
      <c r="L44" t="s">
        <v>100</v>
      </c>
    </row>
    <row r="45" spans="1:21" ht="18.75">
      <c r="A45" s="1"/>
      <c r="B45" s="45" t="s">
        <v>152</v>
      </c>
      <c r="C45" s="45"/>
      <c r="D45" s="45"/>
      <c r="E45" s="45"/>
      <c r="I45" s="15"/>
      <c r="J45" t="s">
        <v>75</v>
      </c>
      <c r="K45" s="72" t="s">
        <v>93</v>
      </c>
      <c r="L45" t="s">
        <v>88</v>
      </c>
      <c r="N45" s="46">
        <v>3.5</v>
      </c>
    </row>
    <row r="46" spans="1:21" ht="18.75">
      <c r="B46" s="45" t="s">
        <v>151</v>
      </c>
      <c r="C46" s="45"/>
      <c r="D46" s="45"/>
      <c r="E46" s="45"/>
      <c r="I46" s="15"/>
      <c r="K46" s="72" t="s">
        <v>94</v>
      </c>
      <c r="L46" t="s">
        <v>89</v>
      </c>
      <c r="N46" s="118">
        <v>0.25</v>
      </c>
    </row>
    <row r="47" spans="1:21" ht="18.75">
      <c r="I47" s="15"/>
      <c r="K47" s="72" t="s">
        <v>95</v>
      </c>
      <c r="L47" t="s">
        <v>90</v>
      </c>
      <c r="N47" s="118">
        <f>N46*(1+N48)</f>
        <v>0.26250000000000001</v>
      </c>
    </row>
    <row r="48" spans="1:21">
      <c r="B48" s="33" t="s">
        <v>84</v>
      </c>
      <c r="C48" s="33"/>
      <c r="D48" s="33"/>
      <c r="I48" s="15"/>
      <c r="K48" t="s">
        <v>91</v>
      </c>
      <c r="L48" t="s">
        <v>92</v>
      </c>
      <c r="N48">
        <v>0.05</v>
      </c>
    </row>
    <row r="49" spans="1:14">
      <c r="B49" s="63" t="s">
        <v>57</v>
      </c>
      <c r="C49" s="63"/>
      <c r="D49" s="63">
        <v>0.05</v>
      </c>
      <c r="I49" s="15"/>
      <c r="K49" s="72" t="s">
        <v>99</v>
      </c>
      <c r="L49" t="s">
        <v>96</v>
      </c>
      <c r="N49" s="21">
        <v>0.13</v>
      </c>
    </row>
    <row r="50" spans="1:14">
      <c r="B50" s="63" t="s">
        <v>58</v>
      </c>
      <c r="C50" s="63"/>
      <c r="D50" s="102">
        <v>2</v>
      </c>
      <c r="I50" s="15"/>
    </row>
    <row r="51" spans="1:14">
      <c r="B51" s="63" t="s">
        <v>55</v>
      </c>
      <c r="C51" s="63"/>
      <c r="D51" s="102">
        <v>13</v>
      </c>
      <c r="I51" s="15"/>
      <c r="J51" s="111"/>
    </row>
    <row r="52" spans="1:14">
      <c r="B52" s="63" t="s">
        <v>56</v>
      </c>
      <c r="C52" s="63"/>
      <c r="D52" s="103">
        <v>25.45</v>
      </c>
      <c r="I52" s="15"/>
    </row>
    <row r="53" spans="1:14">
      <c r="B53" s="63" t="s">
        <v>59</v>
      </c>
      <c r="C53" s="63"/>
      <c r="D53" s="102">
        <v>1000</v>
      </c>
      <c r="I53" s="15"/>
      <c r="J53" s="113" t="s">
        <v>97</v>
      </c>
      <c r="K53" s="113" t="s">
        <v>101</v>
      </c>
      <c r="L53" s="116">
        <f>(N47/N45)+N48</f>
        <v>0.125</v>
      </c>
    </row>
    <row r="54" spans="1:14">
      <c r="B54" s="63" t="s">
        <v>66</v>
      </c>
      <c r="C54" s="63"/>
      <c r="D54" s="102">
        <v>-995</v>
      </c>
      <c r="I54" s="15"/>
    </row>
    <row r="55" spans="1:14">
      <c r="I55" s="15"/>
      <c r="K55" s="107"/>
    </row>
    <row r="56" spans="1:14" ht="23.25">
      <c r="I56" s="15"/>
      <c r="J56" s="109"/>
      <c r="K56" s="108"/>
    </row>
    <row r="57" spans="1:14">
      <c r="A57" s="16" t="s">
        <v>46</v>
      </c>
      <c r="I57" s="15"/>
      <c r="J57" s="111" t="s">
        <v>146</v>
      </c>
    </row>
    <row r="58" spans="1:14">
      <c r="B58" t="s">
        <v>47</v>
      </c>
      <c r="I58" s="15"/>
      <c r="J58" s="128"/>
    </row>
    <row r="59" spans="1:14">
      <c r="B59" t="s">
        <v>48</v>
      </c>
      <c r="I59" s="15"/>
    </row>
    <row r="60" spans="1:14">
      <c r="I60" s="15"/>
      <c r="K60" s="72"/>
    </row>
    <row r="61" spans="1:14" ht="16.5" thickBot="1">
      <c r="B61" s="16" t="s">
        <v>60</v>
      </c>
      <c r="C61" s="4"/>
      <c r="I61" s="15"/>
      <c r="K61" s="72"/>
      <c r="N61" s="118"/>
    </row>
    <row r="62" spans="1:14" ht="16.5" thickBot="1">
      <c r="B62" t="s">
        <v>49</v>
      </c>
      <c r="F62" s="119"/>
      <c r="I62" s="15"/>
      <c r="K62" s="72"/>
      <c r="N62" s="118"/>
    </row>
    <row r="63" spans="1:14">
      <c r="B63" t="s">
        <v>50</v>
      </c>
      <c r="I63" s="15"/>
    </row>
    <row r="64" spans="1:14">
      <c r="B64" t="s">
        <v>153</v>
      </c>
      <c r="I64" s="15"/>
      <c r="K64" s="72"/>
    </row>
    <row r="65" spans="1:20">
      <c r="I65" s="15"/>
    </row>
    <row r="66" spans="1:20">
      <c r="B66" s="16" t="s">
        <v>61</v>
      </c>
      <c r="C66" s="4"/>
      <c r="D66" s="4"/>
      <c r="E66" s="4" t="s">
        <v>64</v>
      </c>
      <c r="I66" s="15"/>
      <c r="J66" s="111"/>
    </row>
    <row r="67" spans="1:20">
      <c r="B67" t="s">
        <v>62</v>
      </c>
      <c r="E67" s="48">
        <f>RATE(D51,D52,D54,D53)</f>
        <v>2.5907929144588393E-2</v>
      </c>
      <c r="F67" s="48" t="s">
        <v>63</v>
      </c>
      <c r="G67" s="48"/>
      <c r="H67" s="48"/>
      <c r="I67" s="15"/>
    </row>
    <row r="68" spans="1:20">
      <c r="E68" s="48">
        <f>E67*2</f>
        <v>5.1815858289176786E-2</v>
      </c>
      <c r="F68" s="48" t="s">
        <v>32</v>
      </c>
      <c r="G68" s="48"/>
      <c r="H68" s="48"/>
      <c r="I68" s="15"/>
      <c r="J68" s="2"/>
      <c r="K68" s="2"/>
      <c r="L68" s="129"/>
    </row>
    <row r="69" spans="1:20">
      <c r="B69" s="21"/>
      <c r="E69" s="48"/>
      <c r="F69" s="48"/>
      <c r="G69" s="48"/>
      <c r="H69" s="48"/>
      <c r="I69" s="15"/>
    </row>
    <row r="70" spans="1:20">
      <c r="B70" s="16" t="s">
        <v>51</v>
      </c>
      <c r="C70" s="4"/>
      <c r="D70" s="4"/>
      <c r="E70" s="49" t="s">
        <v>65</v>
      </c>
      <c r="F70" s="48"/>
      <c r="G70" s="48"/>
      <c r="H70" s="48"/>
      <c r="I70" s="15"/>
      <c r="J70" s="114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24" thickBot="1">
      <c r="B71" s="20" t="s">
        <v>25</v>
      </c>
      <c r="E71">
        <f>EFFECT(E68,D50)</f>
        <v>5.2487079081737997E-2</v>
      </c>
      <c r="I71" s="15"/>
      <c r="T71" s="15"/>
    </row>
    <row r="72" spans="1:20" ht="16.5" thickBot="1">
      <c r="F72" s="120"/>
      <c r="I72" s="15"/>
      <c r="T72" s="15"/>
    </row>
    <row r="73" spans="1:20">
      <c r="B73" t="s">
        <v>154</v>
      </c>
      <c r="I73" s="15"/>
      <c r="T73" s="15"/>
    </row>
    <row r="74" spans="1:20">
      <c r="B74" s="25" t="s">
        <v>155</v>
      </c>
      <c r="I74" s="15"/>
      <c r="T74" s="15"/>
    </row>
    <row r="75" spans="1:20">
      <c r="A75" s="15"/>
      <c r="B75" s="15"/>
      <c r="C75" s="15"/>
      <c r="D75" s="15"/>
      <c r="E75" s="15"/>
      <c r="F75" s="15"/>
      <c r="G75" s="15"/>
      <c r="H75" s="15"/>
      <c r="I75" s="104"/>
      <c r="T75" s="15"/>
    </row>
    <row r="76" spans="1:20">
      <c r="I76" s="104"/>
      <c r="T76" s="15"/>
    </row>
    <row r="77" spans="1:20">
      <c r="I77" s="15"/>
      <c r="T77" s="15"/>
    </row>
    <row r="78" spans="1:20">
      <c r="I78" s="15"/>
      <c r="T78" s="15"/>
    </row>
    <row r="79" spans="1:20">
      <c r="I79" s="15"/>
      <c r="T79" s="15"/>
    </row>
    <row r="80" spans="1:20">
      <c r="I80" s="15"/>
      <c r="T80" s="15"/>
    </row>
    <row r="81" spans="9:20">
      <c r="I81" s="15"/>
      <c r="T81" s="15"/>
    </row>
    <row r="82" spans="9:20">
      <c r="I82" s="15"/>
      <c r="T82" s="15"/>
    </row>
    <row r="83" spans="9:20">
      <c r="I83" s="15"/>
      <c r="T83" s="15"/>
    </row>
    <row r="84" spans="9:20">
      <c r="I84" s="15"/>
      <c r="T84" s="15"/>
    </row>
    <row r="85" spans="9:20">
      <c r="I85" s="15"/>
      <c r="T85" s="15"/>
    </row>
    <row r="86" spans="9:20">
      <c r="I86" s="15"/>
      <c r="T86" s="15"/>
    </row>
    <row r="87" spans="9:20">
      <c r="I87" s="15"/>
      <c r="T87" s="15"/>
    </row>
    <row r="88" spans="9:20">
      <c r="I88" s="15"/>
      <c r="T88" s="15"/>
    </row>
    <row r="89" spans="9:20">
      <c r="I89" s="117"/>
      <c r="T89" s="15"/>
    </row>
    <row r="90" spans="9:20">
      <c r="I90" s="117"/>
      <c r="T90" s="15"/>
    </row>
    <row r="91" spans="9:20">
      <c r="I91" s="117"/>
      <c r="T91" s="15"/>
    </row>
    <row r="92" spans="9:20">
      <c r="I92" s="117"/>
      <c r="J92" s="114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9:20">
      <c r="N93" s="47"/>
      <c r="O93" s="47"/>
    </row>
    <row r="94" spans="9:20">
      <c r="N94" s="47"/>
      <c r="O94" s="47"/>
    </row>
    <row r="95" spans="9:20">
      <c r="N95" s="47"/>
      <c r="O95" s="47"/>
    </row>
    <row r="96" spans="9:20">
      <c r="N96" s="47"/>
      <c r="O96" s="47"/>
    </row>
    <row r="97" spans="2:15">
      <c r="N97" s="47"/>
      <c r="O97" s="47"/>
    </row>
    <row r="98" spans="2:15">
      <c r="M98" s="47"/>
      <c r="N98" s="47"/>
      <c r="O98" s="47"/>
    </row>
    <row r="99" spans="2:15">
      <c r="B99" s="21"/>
      <c r="M99" s="47"/>
      <c r="N99" s="47"/>
      <c r="O99" s="47"/>
    </row>
    <row r="100" spans="2:15">
      <c r="M100" s="47"/>
      <c r="N100" s="47"/>
      <c r="O100" s="47"/>
    </row>
    <row r="101" spans="2:15">
      <c r="M101" s="47"/>
      <c r="N101" s="47"/>
      <c r="O101" s="47"/>
    </row>
    <row r="102" spans="2:15">
      <c r="M102" s="47"/>
      <c r="N102" s="47"/>
      <c r="O10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CC45-5CDF-BC4D-89BF-916C09ED5EE8}">
  <dimension ref="A1:R45"/>
  <sheetViews>
    <sheetView tabSelected="1" zoomScale="70" zoomScaleNormal="70" workbookViewId="0">
      <pane ySplit="4" topLeftCell="A13" activePane="bottomLeft" state="frozen"/>
      <selection activeCell="A4" sqref="A4"/>
      <selection pane="bottomLeft" activeCell="K31" sqref="K31"/>
    </sheetView>
  </sheetViews>
  <sheetFormatPr defaultColWidth="10.625" defaultRowHeight="15.75"/>
  <cols>
    <col min="1" max="1" width="47.375" customWidth="1"/>
    <col min="3" max="3" width="36.875" customWidth="1"/>
    <col min="4" max="4" width="12.125" customWidth="1"/>
    <col min="8" max="8" width="12.5" customWidth="1"/>
    <col min="10" max="10" width="15.375" bestFit="1" customWidth="1"/>
  </cols>
  <sheetData>
    <row r="1" spans="1:18">
      <c r="A1" s="1" t="s">
        <v>27</v>
      </c>
      <c r="B1" s="1"/>
      <c r="J1" s="136"/>
    </row>
    <row r="2" spans="1:18" ht="16.5" thickBot="1">
      <c r="A2" s="141" t="s">
        <v>157</v>
      </c>
      <c r="B2" s="1"/>
      <c r="J2" s="136"/>
    </row>
    <row r="3" spans="1:18">
      <c r="B3" s="1" t="s">
        <v>30</v>
      </c>
      <c r="C3" s="1"/>
      <c r="D3" s="1" t="s">
        <v>29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37" t="s">
        <v>28</v>
      </c>
    </row>
    <row r="4" spans="1:18" ht="23.25">
      <c r="B4" s="16"/>
      <c r="C4" s="16"/>
      <c r="D4" s="16">
        <v>0</v>
      </c>
      <c r="E4" s="16">
        <v>1</v>
      </c>
      <c r="F4" s="16">
        <v>2</v>
      </c>
      <c r="G4" s="16">
        <v>3</v>
      </c>
      <c r="H4" s="16">
        <v>4</v>
      </c>
      <c r="I4" s="16">
        <v>5</v>
      </c>
      <c r="J4" s="138">
        <v>6</v>
      </c>
      <c r="L4" s="50"/>
    </row>
    <row r="5" spans="1:18">
      <c r="A5" t="s">
        <v>34</v>
      </c>
      <c r="B5" t="s">
        <v>169</v>
      </c>
      <c r="D5" s="150">
        <f>'Given_MCACA(APL)_Data_Part B'!E7*-1</f>
        <v>-787500</v>
      </c>
      <c r="E5" s="150"/>
      <c r="F5" s="150"/>
      <c r="G5" s="150"/>
      <c r="H5" s="150"/>
      <c r="I5" s="150"/>
      <c r="J5" s="151"/>
      <c r="K5" s="5"/>
      <c r="M5" s="5"/>
      <c r="N5" s="5"/>
      <c r="O5" s="5"/>
      <c r="P5" s="5"/>
      <c r="Q5" s="5"/>
      <c r="R5" s="5"/>
    </row>
    <row r="6" spans="1:18">
      <c r="A6" t="s">
        <v>34</v>
      </c>
      <c r="B6" t="s">
        <v>170</v>
      </c>
      <c r="D6" s="5">
        <f>'Given_MCACA(APL)_Data_Part B'!E12*-1</f>
        <v>-344400</v>
      </c>
      <c r="E6" s="5"/>
      <c r="F6" s="5"/>
      <c r="G6" s="5"/>
      <c r="H6" s="5"/>
      <c r="I6" s="5"/>
      <c r="J6" s="139"/>
      <c r="K6" s="5"/>
      <c r="M6" s="5"/>
      <c r="N6" s="5"/>
      <c r="O6" s="5"/>
      <c r="P6" s="5"/>
      <c r="Q6" s="5"/>
      <c r="R6" s="5"/>
    </row>
    <row r="7" spans="1:18" ht="16.5" thickBot="1">
      <c r="A7" s="132" t="s">
        <v>34</v>
      </c>
      <c r="B7" s="132" t="s">
        <v>116</v>
      </c>
      <c r="C7" s="132"/>
      <c r="D7" s="125">
        <f>'Given_MCACA(APL)_Data_Part B'!E14*-1</f>
        <v>-105000</v>
      </c>
      <c r="E7" s="125"/>
      <c r="F7" s="125"/>
      <c r="G7" s="125"/>
      <c r="H7" s="125"/>
      <c r="I7" s="125"/>
      <c r="J7" s="140"/>
      <c r="K7" s="5"/>
      <c r="M7" s="5"/>
      <c r="N7" s="5"/>
      <c r="O7" s="5"/>
      <c r="P7" s="5"/>
      <c r="Q7" s="5"/>
      <c r="R7" s="5"/>
    </row>
    <row r="8" spans="1:18" ht="18.75">
      <c r="A8" t="s">
        <v>35</v>
      </c>
      <c r="B8" t="s">
        <v>122</v>
      </c>
      <c r="D8" s="5">
        <f>'Given_MCACA(APL)_Data_Part B'!E16*-1</f>
        <v>-21000</v>
      </c>
      <c r="E8" s="5"/>
      <c r="F8" s="5"/>
      <c r="G8" s="5"/>
      <c r="H8" s="5"/>
      <c r="I8" s="5"/>
      <c r="J8" s="139"/>
      <c r="K8" s="5"/>
      <c r="L8" s="51"/>
      <c r="M8" s="5"/>
      <c r="N8" s="5"/>
      <c r="O8" s="5"/>
      <c r="P8" s="5"/>
      <c r="Q8" s="5"/>
      <c r="R8" s="5"/>
    </row>
    <row r="9" spans="1:18">
      <c r="A9" t="s">
        <v>35</v>
      </c>
      <c r="B9" t="s">
        <v>158</v>
      </c>
      <c r="D9" s="5"/>
      <c r="E9" s="5">
        <f>'Given_MCACA(APL)_Data_Part B'!E18*-1</f>
        <v>-52500</v>
      </c>
      <c r="F9" s="5">
        <f>E9*(1 + 'Given_MCACA(APL)_Data_Part B'!E19)</f>
        <v>-53025</v>
      </c>
      <c r="G9" s="5">
        <f>F9*(1 +'Given_MCACA(APL)_Data_Part B'!E19)</f>
        <v>-53555.25</v>
      </c>
      <c r="H9" s="5">
        <f>G9 *(1 + 'Given_MCACA(APL)_Data_Part B'!E19)</f>
        <v>-54090.802499999998</v>
      </c>
      <c r="I9" s="5">
        <f>H9*(1+'Given_MCACA(APL)_Data_Part B'!E19)</f>
        <v>-54631.710524999995</v>
      </c>
      <c r="J9" s="139">
        <f>I9*(1+'Given_MCACA(APL)_Data_Part B'!E19)</f>
        <v>-55178.027630249999</v>
      </c>
      <c r="K9" s="5"/>
      <c r="L9" s="5"/>
      <c r="M9" s="5"/>
      <c r="N9" s="5"/>
      <c r="O9" s="5"/>
      <c r="P9" s="5"/>
      <c r="Q9" s="5"/>
      <c r="R9" s="5"/>
    </row>
    <row r="10" spans="1:18">
      <c r="A10" t="s">
        <v>35</v>
      </c>
      <c r="B10" t="s">
        <v>117</v>
      </c>
      <c r="D10" s="5"/>
      <c r="E10" s="5">
        <f>'Given_MCACA(APL)_Data_Part B'!E22*-1</f>
        <v>-147000</v>
      </c>
      <c r="F10" s="5">
        <f>E10*(1+'Given_MCACA(APL)_Data_Part B'!$E$23)</f>
        <v>-151410</v>
      </c>
      <c r="G10" s="5">
        <f>F10*(1+'Given_MCACA(APL)_Data_Part B'!$E$23)</f>
        <v>-155952.30000000002</v>
      </c>
      <c r="H10" s="5">
        <f>G10*(1+'Given_MCACA(APL)_Data_Part B'!$E$23)</f>
        <v>-160630.86900000004</v>
      </c>
      <c r="I10" s="5">
        <f>H10*(1+'Given_MCACA(APL)_Data_Part B'!$E$23)</f>
        <v>-165449.79507000005</v>
      </c>
      <c r="J10" s="139">
        <f>I10*(1+'Given_MCACA(APL)_Data_Part B'!$E$23)</f>
        <v>-170413.28892210007</v>
      </c>
      <c r="K10" s="5"/>
      <c r="L10" s="5"/>
      <c r="M10" s="5"/>
      <c r="N10" s="5"/>
      <c r="O10" s="5"/>
      <c r="P10" s="5"/>
      <c r="Q10" s="5"/>
      <c r="R10" s="5"/>
    </row>
    <row r="11" spans="1:18" ht="16.5" thickBot="1">
      <c r="A11" t="s">
        <v>35</v>
      </c>
      <c r="B11" s="132" t="s">
        <v>159</v>
      </c>
      <c r="C11" s="132"/>
      <c r="D11" s="125"/>
      <c r="E11" s="125">
        <f>'Given_MCACA(APL)_Data_Part B'!E25*-1</f>
        <v>-100000</v>
      </c>
      <c r="F11" s="125">
        <f>E11*(1+'Given_MCACA(APL)_Data_Part B'!$E$26)</f>
        <v>-103000</v>
      </c>
      <c r="G11" s="125">
        <f>F11*(1+'Given_MCACA(APL)_Data_Part B'!$E$26)</f>
        <v>-106090</v>
      </c>
      <c r="H11" s="125">
        <f>G11*(1+'Given_MCACA(APL)_Data_Part B'!$E$26)</f>
        <v>-109272.7</v>
      </c>
      <c r="I11" s="125">
        <f>H11*(1+'Given_MCACA(APL)_Data_Part B'!$E$26)</f>
        <v>-112550.88099999999</v>
      </c>
      <c r="J11" s="140">
        <f>I11*(1+'Given_MCACA(APL)_Data_Part B'!$E$26)</f>
        <v>-115927.40742999999</v>
      </c>
      <c r="K11" s="5"/>
      <c r="L11" s="5"/>
      <c r="M11" s="5"/>
      <c r="N11" s="5"/>
      <c r="O11" s="5"/>
      <c r="P11" s="5"/>
      <c r="Q11" s="5"/>
      <c r="R11" s="5"/>
    </row>
    <row r="12" spans="1:18">
      <c r="A12" t="s">
        <v>35</v>
      </c>
      <c r="B12" t="s">
        <v>162</v>
      </c>
      <c r="D12" s="5">
        <f>SUM(D8:D11)</f>
        <v>-21000</v>
      </c>
      <c r="E12" s="5">
        <f t="shared" ref="E12:J12" si="0">SUM(E5:E11)</f>
        <v>-299500</v>
      </c>
      <c r="F12" s="5">
        <f t="shared" si="0"/>
        <v>-307435</v>
      </c>
      <c r="G12" s="5">
        <f t="shared" si="0"/>
        <v>-315597.55000000005</v>
      </c>
      <c r="H12" s="5">
        <f t="shared" si="0"/>
        <v>-323994.37150000001</v>
      </c>
      <c r="I12" s="5">
        <f t="shared" si="0"/>
        <v>-332632.38659500005</v>
      </c>
      <c r="J12" s="139">
        <f t="shared" si="0"/>
        <v>-341518.72398235009</v>
      </c>
      <c r="K12" s="5"/>
      <c r="L12" s="5"/>
      <c r="M12" s="5"/>
      <c r="N12" s="5"/>
      <c r="O12" s="5"/>
      <c r="P12" s="5"/>
      <c r="Q12" s="5"/>
      <c r="R12" s="5"/>
    </row>
    <row r="13" spans="1:18" ht="16.5" thickBot="1">
      <c r="A13" t="s">
        <v>35</v>
      </c>
      <c r="B13" s="132" t="s">
        <v>163</v>
      </c>
      <c r="C13" s="132"/>
      <c r="D13" s="125">
        <f>D8*'Given_MCACA(APL)_Data_Part B'!E28*-1</f>
        <v>6300</v>
      </c>
      <c r="E13" s="125">
        <f>E12*'Given_MCACA(APL)_Data_Part B'!$E$28*-1</f>
        <v>89850</v>
      </c>
      <c r="F13" s="125">
        <f>F12*'Given_MCACA(APL)_Data_Part B'!$E$28*-1</f>
        <v>92230.5</v>
      </c>
      <c r="G13" s="125">
        <f>G12*'Given_MCACA(APL)_Data_Part B'!$E$28*-1</f>
        <v>94679.265000000014</v>
      </c>
      <c r="H13" s="125">
        <f>H12*'Given_MCACA(APL)_Data_Part B'!$E$28*-1</f>
        <v>97198.311449999994</v>
      </c>
      <c r="I13" s="125">
        <f>I12*'Given_MCACA(APL)_Data_Part B'!$E$28*-1</f>
        <v>99789.715978500011</v>
      </c>
      <c r="J13" s="140">
        <f>J12*'Given_MCACA(APL)_Data_Part B'!$E$28*-1</f>
        <v>102455.61719470502</v>
      </c>
      <c r="K13" s="5"/>
      <c r="L13" s="5"/>
      <c r="M13" s="5"/>
      <c r="N13" s="5"/>
      <c r="O13" s="5"/>
      <c r="P13" s="5"/>
      <c r="Q13" s="5"/>
      <c r="R13" s="5"/>
    </row>
    <row r="14" spans="1:18">
      <c r="A14" t="s">
        <v>35</v>
      </c>
      <c r="B14" t="s">
        <v>164</v>
      </c>
      <c r="D14" s="5">
        <f>D12+D13</f>
        <v>-14700</v>
      </c>
      <c r="E14" s="5">
        <f t="shared" ref="E14:J14" si="1">E12+E13</f>
        <v>-209650</v>
      </c>
      <c r="F14" s="5">
        <f t="shared" si="1"/>
        <v>-215204.5</v>
      </c>
      <c r="G14" s="5">
        <f t="shared" si="1"/>
        <v>-220918.28500000003</v>
      </c>
      <c r="H14" s="5">
        <f t="shared" si="1"/>
        <v>-226796.06005000003</v>
      </c>
      <c r="I14" s="5">
        <f t="shared" si="1"/>
        <v>-232842.67061650002</v>
      </c>
      <c r="J14" s="139">
        <f t="shared" si="1"/>
        <v>-239063.10678764508</v>
      </c>
      <c r="K14" s="5"/>
      <c r="L14" s="5"/>
      <c r="M14" s="5"/>
      <c r="N14" s="5"/>
      <c r="O14" s="5"/>
      <c r="P14" s="5"/>
      <c r="Q14" s="5"/>
      <c r="R14" s="5"/>
    </row>
    <row r="15" spans="1:18" ht="16.5" thickBot="1">
      <c r="A15" t="s">
        <v>35</v>
      </c>
      <c r="B15" s="132" t="s">
        <v>31</v>
      </c>
      <c r="C15" s="132"/>
      <c r="D15" s="125">
        <v>0</v>
      </c>
      <c r="E15" s="125">
        <f>'Given_MCACA(APL)_Data_Part B'!$E$34*'Given_MCACA(APL)_Data_Part B'!$E$28</f>
        <v>17220</v>
      </c>
      <c r="F15" s="125">
        <f>'Given_MCACA(APL)_Data_Part B'!$E$34*'Given_MCACA(APL)_Data_Part B'!$E$28</f>
        <v>17220</v>
      </c>
      <c r="G15" s="125">
        <f>'Given_MCACA(APL)_Data_Part B'!$E$34*'Given_MCACA(APL)_Data_Part B'!$E$28</f>
        <v>17220</v>
      </c>
      <c r="H15" s="125">
        <f>'Given_MCACA(APL)_Data_Part B'!$E$34*'Given_MCACA(APL)_Data_Part B'!$E$28</f>
        <v>17220</v>
      </c>
      <c r="I15" s="125">
        <f>'Given_MCACA(APL)_Data_Part B'!$E$34*'Given_MCACA(APL)_Data_Part B'!$E$28</f>
        <v>17220</v>
      </c>
      <c r="J15" s="140">
        <f>'Given_MCACA(APL)_Data_Part B'!$E$34*'Given_MCACA(APL)_Data_Part B'!$E$28</f>
        <v>17220</v>
      </c>
      <c r="K15" s="5"/>
      <c r="L15" s="5"/>
      <c r="M15" s="5"/>
      <c r="N15" s="5"/>
      <c r="O15" s="5"/>
      <c r="P15" s="5"/>
      <c r="Q15" s="5"/>
      <c r="R15" s="5"/>
    </row>
    <row r="16" spans="1:18">
      <c r="A16" t="s">
        <v>35</v>
      </c>
      <c r="B16" t="s">
        <v>165</v>
      </c>
      <c r="D16" s="5">
        <f>D14+D15</f>
        <v>-14700</v>
      </c>
      <c r="E16" s="5">
        <f t="shared" ref="E16:J16" si="2">E14+E15</f>
        <v>-192430</v>
      </c>
      <c r="F16" s="5">
        <f t="shared" si="2"/>
        <v>-197984.5</v>
      </c>
      <c r="G16" s="5">
        <f t="shared" si="2"/>
        <v>-203698.28500000003</v>
      </c>
      <c r="H16" s="5">
        <f t="shared" si="2"/>
        <v>-209576.06005000003</v>
      </c>
      <c r="I16" s="5">
        <f t="shared" si="2"/>
        <v>-215622.67061650002</v>
      </c>
      <c r="J16" s="139">
        <f t="shared" si="2"/>
        <v>-221843.10678764508</v>
      </c>
      <c r="K16" s="5"/>
      <c r="L16" s="5"/>
      <c r="M16" s="5"/>
      <c r="N16" s="5"/>
      <c r="O16" s="5"/>
      <c r="P16" s="5"/>
      <c r="Q16" s="5"/>
      <c r="R16" s="5"/>
    </row>
    <row r="17" spans="1:18">
      <c r="A17" t="s">
        <v>33</v>
      </c>
      <c r="B17" t="s">
        <v>166</v>
      </c>
      <c r="D17" s="5"/>
      <c r="E17" s="5"/>
      <c r="F17" s="5"/>
      <c r="G17" s="5"/>
      <c r="H17" s="5"/>
      <c r="I17" s="5"/>
      <c r="J17" s="139">
        <f>'Given_MCACA(APL)_Data_Part B'!E30-'Given_MCACA(APL)_Data_Part B'!E32</f>
        <v>50000</v>
      </c>
      <c r="K17" s="5"/>
      <c r="L17" s="5"/>
      <c r="M17" s="5"/>
      <c r="N17" s="5"/>
      <c r="O17" s="5"/>
      <c r="P17" s="5"/>
      <c r="Q17" s="5"/>
      <c r="R17" s="5"/>
    </row>
    <row r="18" spans="1:18">
      <c r="B18" t="s">
        <v>116</v>
      </c>
      <c r="D18" s="5"/>
      <c r="E18" s="5"/>
      <c r="F18" s="5"/>
      <c r="G18" s="5"/>
      <c r="H18" s="5"/>
      <c r="I18" s="5"/>
      <c r="J18" s="139">
        <f>'Given_MCACA(APL)_Data_Part B'!E14</f>
        <v>105000</v>
      </c>
      <c r="K18" s="5"/>
      <c r="L18" s="5"/>
      <c r="M18" s="5"/>
      <c r="N18" s="5"/>
      <c r="O18" s="5"/>
      <c r="P18" s="5"/>
      <c r="Q18" s="5"/>
      <c r="R18" s="5"/>
    </row>
    <row r="19" spans="1:18" ht="16.5" thickBot="1">
      <c r="A19" t="s">
        <v>33</v>
      </c>
      <c r="B19" t="s">
        <v>173</v>
      </c>
      <c r="D19" s="125"/>
      <c r="E19" s="125"/>
      <c r="F19" s="125"/>
      <c r="G19" s="125"/>
      <c r="H19" s="125"/>
      <c r="I19" s="125"/>
      <c r="J19" s="140">
        <f>J17*'Given_MCACA(APL)_Data_Part B'!E28*-1</f>
        <v>-15000</v>
      </c>
      <c r="K19" s="5"/>
      <c r="L19" s="5"/>
      <c r="M19" s="5"/>
      <c r="N19" s="5"/>
      <c r="O19" s="5"/>
      <c r="P19" s="5"/>
      <c r="Q19" s="5"/>
      <c r="R19" s="5"/>
    </row>
    <row r="20" spans="1:18" ht="16.5" thickBot="1">
      <c r="A20" s="134" t="s">
        <v>36</v>
      </c>
      <c r="B20" s="135"/>
      <c r="C20" s="135"/>
      <c r="D20" s="125">
        <f>(D5+D6)+D16</f>
        <v>-1146600</v>
      </c>
      <c r="E20" s="125">
        <f t="shared" ref="E20:I20" si="3">SUM(E16:E19)</f>
        <v>-192430</v>
      </c>
      <c r="F20" s="125">
        <f t="shared" si="3"/>
        <v>-197984.5</v>
      </c>
      <c r="G20" s="125">
        <f t="shared" si="3"/>
        <v>-203698.28500000003</v>
      </c>
      <c r="H20" s="125">
        <f t="shared" si="3"/>
        <v>-209576.06005000003</v>
      </c>
      <c r="I20" s="125">
        <f t="shared" si="3"/>
        <v>-215622.67061650002</v>
      </c>
      <c r="J20" s="140">
        <f>SUM(J16:J19)</f>
        <v>-81843.106787645083</v>
      </c>
      <c r="K20" s="5"/>
      <c r="L20" s="5"/>
      <c r="M20" s="5"/>
      <c r="N20" s="5"/>
      <c r="O20" s="5"/>
      <c r="P20" s="5"/>
      <c r="Q20" s="5"/>
      <c r="R20" s="5"/>
    </row>
    <row r="21" spans="1:18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39" t="s">
        <v>39</v>
      </c>
      <c r="B22" s="39">
        <f>'Q1.Solution_WACC_APL'!H41</f>
        <v>6.5584964733903531E-2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8.75">
      <c r="A25" s="26" t="s">
        <v>41</v>
      </c>
      <c r="B25" s="27"/>
      <c r="C25" s="27"/>
      <c r="D25" s="28"/>
      <c r="E25" s="5"/>
      <c r="F25" s="5"/>
      <c r="G25" s="5"/>
      <c r="H25" s="5"/>
      <c r="I25" s="5"/>
      <c r="J25" s="133"/>
      <c r="K25" s="82"/>
      <c r="L25" s="82"/>
      <c r="M25" s="82"/>
      <c r="N25" s="82"/>
      <c r="O25" s="82"/>
      <c r="P25" s="5"/>
      <c r="Q25" s="5"/>
      <c r="R25" s="5"/>
    </row>
    <row r="26" spans="1:18" ht="18.75">
      <c r="A26" s="29" t="s">
        <v>37</v>
      </c>
      <c r="B26" s="27" t="s">
        <v>38</v>
      </c>
      <c r="C26" s="30" t="s">
        <v>167</v>
      </c>
      <c r="D26" s="28">
        <f>NPV(B22,E20,F20,G20,H20,I20)</f>
        <v>-842801.64900176367</v>
      </c>
      <c r="E26" s="5"/>
      <c r="G26" s="5"/>
      <c r="H26" s="5"/>
      <c r="I26" s="5"/>
      <c r="J26" s="83"/>
      <c r="K26" s="84"/>
      <c r="L26" s="84"/>
      <c r="M26" s="84"/>
      <c r="N26" s="84"/>
      <c r="O26" s="82"/>
      <c r="P26" s="5"/>
      <c r="Q26" s="5"/>
      <c r="R26" s="5"/>
    </row>
    <row r="27" spans="1:18" ht="18.75">
      <c r="A27" s="27"/>
      <c r="B27" s="27" t="s">
        <v>38</v>
      </c>
      <c r="C27" s="31" t="s">
        <v>40</v>
      </c>
      <c r="D27" s="32">
        <f>SUM(D20,D26)</f>
        <v>-1989401.6490017637</v>
      </c>
      <c r="E27" s="5"/>
      <c r="F27" s="5"/>
      <c r="G27" s="5"/>
      <c r="H27" s="5"/>
      <c r="I27" s="5"/>
      <c r="J27" s="83"/>
      <c r="K27" s="84"/>
      <c r="L27" s="84"/>
      <c r="M27" s="84"/>
      <c r="N27" s="84"/>
      <c r="O27" s="82"/>
      <c r="P27" s="5"/>
      <c r="Q27" s="5"/>
      <c r="R27" s="5"/>
    </row>
    <row r="28" spans="1:18" ht="18.75">
      <c r="A28" s="39"/>
      <c r="B28" s="39"/>
      <c r="C28" s="100"/>
      <c r="D28" s="101"/>
      <c r="E28" s="5"/>
      <c r="F28" s="5"/>
      <c r="G28" s="5"/>
      <c r="H28" s="5"/>
      <c r="I28" s="5"/>
      <c r="J28" s="85"/>
      <c r="K28" s="84"/>
      <c r="L28" s="84"/>
      <c r="M28" s="84"/>
      <c r="N28" s="84"/>
      <c r="O28" s="82"/>
      <c r="P28" s="5"/>
      <c r="Q28" s="5"/>
      <c r="R28" s="5"/>
    </row>
    <row r="29" spans="1:18" ht="18.75">
      <c r="A29" s="89" t="s">
        <v>83</v>
      </c>
      <c r="B29" s="90"/>
      <c r="C29" s="90"/>
      <c r="D29" s="90"/>
      <c r="E29" s="82"/>
      <c r="F29" s="82"/>
      <c r="G29" s="5"/>
      <c r="H29" s="5"/>
      <c r="I29" s="5"/>
      <c r="J29" s="85"/>
      <c r="K29" s="84"/>
      <c r="L29" s="84"/>
      <c r="M29" s="84"/>
      <c r="N29" s="84"/>
      <c r="O29" s="82"/>
      <c r="P29" s="5"/>
      <c r="Q29" s="5"/>
      <c r="R29" s="5"/>
    </row>
    <row r="30" spans="1:18" ht="21">
      <c r="A30" s="91" t="s">
        <v>81</v>
      </c>
      <c r="B30" s="92"/>
      <c r="C30" s="92"/>
      <c r="D30" s="92"/>
      <c r="E30" s="84"/>
      <c r="F30" s="82"/>
      <c r="G30" s="5"/>
      <c r="H30" s="5"/>
      <c r="I30" s="5"/>
      <c r="J30" s="85"/>
      <c r="K30" s="84"/>
      <c r="L30" s="84"/>
      <c r="M30" s="84"/>
      <c r="N30" s="84"/>
      <c r="O30" s="82"/>
      <c r="P30" s="5"/>
      <c r="Q30" s="5"/>
      <c r="R30" s="5"/>
    </row>
    <row r="31" spans="1:18" ht="18.75">
      <c r="A31" s="91" t="s">
        <v>75</v>
      </c>
      <c r="B31" s="92"/>
      <c r="C31" s="92"/>
      <c r="D31" s="92"/>
      <c r="E31" s="84"/>
      <c r="F31" s="82"/>
      <c r="G31" s="5"/>
      <c r="H31" s="5"/>
      <c r="I31" s="5"/>
      <c r="J31" s="85"/>
      <c r="K31" s="84"/>
      <c r="L31" s="84"/>
      <c r="M31" s="84"/>
      <c r="N31" s="84"/>
      <c r="O31" s="82"/>
      <c r="P31" s="5"/>
      <c r="Q31" s="5"/>
      <c r="R31" s="5"/>
    </row>
    <row r="32" spans="1:18" ht="18.75">
      <c r="A32" s="93" t="s">
        <v>76</v>
      </c>
      <c r="B32" s="92"/>
      <c r="C32" s="92"/>
      <c r="D32" s="92"/>
      <c r="E32" s="84"/>
      <c r="F32" s="82"/>
      <c r="G32" s="5"/>
      <c r="H32" s="5"/>
      <c r="I32" s="5"/>
      <c r="J32" s="44"/>
      <c r="K32" s="44"/>
      <c r="L32" s="44"/>
      <c r="M32" s="44"/>
      <c r="N32" s="82"/>
      <c r="O32" s="82"/>
      <c r="P32" s="5"/>
      <c r="Q32" s="5"/>
      <c r="R32" s="5"/>
    </row>
    <row r="33" spans="1:18" ht="18.75">
      <c r="A33" s="93" t="s">
        <v>77</v>
      </c>
      <c r="B33" s="92"/>
      <c r="C33" s="92"/>
      <c r="D33" s="92"/>
      <c r="E33" s="84"/>
      <c r="F33" s="82"/>
      <c r="G33" s="5"/>
      <c r="H33" s="5"/>
      <c r="I33" s="5"/>
      <c r="J33" s="81"/>
      <c r="K33" s="82"/>
      <c r="L33" s="82"/>
      <c r="M33" s="82"/>
      <c r="N33" s="82"/>
      <c r="O33" s="82"/>
      <c r="P33" s="5"/>
      <c r="Q33" s="5"/>
      <c r="R33" s="5"/>
    </row>
    <row r="34" spans="1:18" ht="18.75">
      <c r="A34" s="93" t="s">
        <v>78</v>
      </c>
      <c r="B34" s="92"/>
      <c r="C34" s="92"/>
      <c r="D34" s="92"/>
      <c r="E34" s="84"/>
      <c r="F34" s="82"/>
      <c r="G34" s="5"/>
      <c r="H34" s="5"/>
      <c r="I34" s="5"/>
      <c r="J34" s="86"/>
      <c r="K34" s="82"/>
      <c r="L34" s="82"/>
      <c r="M34" s="82"/>
      <c r="N34" s="82"/>
      <c r="O34" s="82"/>
      <c r="P34" s="5"/>
      <c r="Q34" s="5"/>
      <c r="R34" s="5"/>
    </row>
    <row r="35" spans="1:18" ht="18.75">
      <c r="A35" s="93" t="s">
        <v>79</v>
      </c>
      <c r="B35" s="92"/>
      <c r="C35" s="92"/>
      <c r="D35" s="92"/>
      <c r="E35" s="84"/>
      <c r="F35" s="82"/>
      <c r="G35" s="5"/>
      <c r="H35" s="5"/>
      <c r="I35" s="5"/>
      <c r="J35" s="87"/>
      <c r="K35" s="82"/>
      <c r="L35" s="82"/>
      <c r="M35" s="82"/>
      <c r="N35" s="82"/>
      <c r="O35" s="82"/>
      <c r="P35" s="5"/>
      <c r="Q35" s="5"/>
      <c r="R35" s="5"/>
    </row>
    <row r="36" spans="1:18" ht="18.75">
      <c r="A36" s="94"/>
      <c r="B36" s="94"/>
      <c r="C36" s="94"/>
      <c r="D36" s="94"/>
      <c r="E36" s="82"/>
      <c r="F36" s="82"/>
      <c r="G36" s="5"/>
      <c r="H36" s="5"/>
      <c r="I36" s="5"/>
      <c r="J36" s="88"/>
      <c r="K36" s="82"/>
      <c r="L36" s="82"/>
      <c r="M36" s="82"/>
      <c r="N36" s="82"/>
      <c r="O36" s="82"/>
      <c r="P36" s="5"/>
      <c r="Q36" s="5"/>
      <c r="R36" s="5"/>
    </row>
    <row r="37" spans="1:18" ht="18.75">
      <c r="A37" s="95" t="s">
        <v>80</v>
      </c>
      <c r="B37" s="96"/>
      <c r="C37" s="96"/>
      <c r="D37" s="96"/>
      <c r="E37" s="82"/>
      <c r="F37" s="82"/>
      <c r="G37" s="5"/>
      <c r="H37" s="5"/>
      <c r="I37" s="5"/>
      <c r="J37" s="87"/>
      <c r="K37" s="82"/>
      <c r="L37" s="82"/>
      <c r="M37" s="82"/>
      <c r="N37" s="82"/>
      <c r="O37" s="82"/>
      <c r="P37" s="5"/>
      <c r="Q37" s="5"/>
      <c r="R37" s="5"/>
    </row>
    <row r="38" spans="1:18" ht="21">
      <c r="A38" s="97" t="s">
        <v>82</v>
      </c>
      <c r="B38" s="96"/>
      <c r="C38" s="96"/>
      <c r="D38" s="96"/>
      <c r="E38" s="82"/>
      <c r="F38" s="82"/>
      <c r="G38" s="5"/>
      <c r="H38" s="5"/>
      <c r="I38" s="5"/>
      <c r="J38" s="87"/>
      <c r="K38" s="82"/>
      <c r="L38" s="82"/>
      <c r="M38" s="82"/>
      <c r="N38" s="82"/>
      <c r="O38" s="82"/>
      <c r="P38" s="5"/>
      <c r="Q38" s="5"/>
      <c r="R38" s="5"/>
    </row>
    <row r="39" spans="1:18" ht="21">
      <c r="A39" s="98" t="s">
        <v>176</v>
      </c>
      <c r="B39" s="96"/>
      <c r="C39" s="96"/>
      <c r="D39" s="96"/>
      <c r="E39" s="82"/>
      <c r="F39" s="82"/>
      <c r="G39" s="5"/>
      <c r="H39" s="5"/>
      <c r="I39" s="5"/>
      <c r="P39" s="5"/>
      <c r="Q39" s="5"/>
      <c r="R39" s="5"/>
    </row>
    <row r="40" spans="1:18" ht="18.75">
      <c r="A40" s="99">
        <f>(B22*D27)/(1-((1+B22)^-6))</f>
        <v>-411696.2928119495</v>
      </c>
      <c r="B40" s="96"/>
      <c r="C40" s="96"/>
      <c r="D40" s="96"/>
      <c r="E40" s="82"/>
      <c r="F40" s="82"/>
      <c r="G40" s="5"/>
      <c r="H40" s="5"/>
      <c r="I40" s="5"/>
      <c r="P40" s="5"/>
      <c r="Q40" s="5"/>
      <c r="R40" s="5"/>
    </row>
    <row r="41" spans="1:18">
      <c r="D41" s="5"/>
      <c r="E41" s="5"/>
      <c r="F41" s="5"/>
      <c r="G41" s="5"/>
      <c r="H41" s="5"/>
      <c r="I41" s="5"/>
      <c r="P41" s="5"/>
      <c r="Q41" s="5"/>
      <c r="R41" s="5"/>
    </row>
    <row r="42" spans="1:18">
      <c r="D42" s="5"/>
      <c r="E42" s="5"/>
      <c r="F42" s="5"/>
      <c r="G42" s="5"/>
      <c r="H42" s="5"/>
      <c r="I42" s="5"/>
      <c r="P42" s="5"/>
      <c r="Q42" s="5"/>
      <c r="R42" s="5"/>
    </row>
    <row r="43" spans="1:18">
      <c r="D43" s="5"/>
      <c r="E43" s="5"/>
      <c r="F43" s="5"/>
      <c r="G43" s="5"/>
      <c r="H43" s="5"/>
      <c r="I43" s="5"/>
      <c r="P43" s="5"/>
      <c r="Q43" s="5"/>
      <c r="R43" s="5"/>
    </row>
    <row r="44" spans="1:18">
      <c r="D44" s="5"/>
      <c r="E44" s="5"/>
      <c r="F44" s="5"/>
      <c r="G44" s="5"/>
      <c r="H44" s="5"/>
      <c r="I44" s="5"/>
      <c r="P44" s="5"/>
      <c r="Q44" s="5"/>
      <c r="R44" s="5"/>
    </row>
    <row r="45" spans="1:18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3F5F-1483-334B-BD2A-5E379419493B}">
  <dimension ref="A1:P40"/>
  <sheetViews>
    <sheetView zoomScale="70" zoomScaleNormal="70" workbookViewId="0">
      <pane ySplit="4" topLeftCell="A25" activePane="bottomLeft" state="frozen"/>
      <selection activeCell="A4" sqref="A4"/>
      <selection pane="bottomLeft" activeCell="G38" sqref="G38"/>
    </sheetView>
  </sheetViews>
  <sheetFormatPr defaultColWidth="10.625" defaultRowHeight="15.75"/>
  <cols>
    <col min="1" max="1" width="40.375" customWidth="1"/>
    <col min="3" max="3" width="47.25" customWidth="1"/>
    <col min="4" max="4" width="12.875" customWidth="1"/>
    <col min="7" max="7" width="14" bestFit="1" customWidth="1"/>
  </cols>
  <sheetData>
    <row r="1" spans="1:10">
      <c r="A1" s="1" t="s">
        <v>42</v>
      </c>
      <c r="B1" s="1"/>
      <c r="H1" s="136"/>
    </row>
    <row r="2" spans="1:10" ht="16.5" thickBot="1">
      <c r="A2" s="141" t="s">
        <v>168</v>
      </c>
      <c r="B2" s="1"/>
      <c r="H2" s="136"/>
    </row>
    <row r="3" spans="1:10">
      <c r="B3" s="1" t="s">
        <v>30</v>
      </c>
      <c r="C3" s="1"/>
      <c r="D3" s="1" t="s">
        <v>29</v>
      </c>
      <c r="E3" s="1" t="s">
        <v>28</v>
      </c>
      <c r="F3" s="1" t="s">
        <v>28</v>
      </c>
      <c r="G3" s="1" t="s">
        <v>28</v>
      </c>
      <c r="H3" s="137" t="s">
        <v>28</v>
      </c>
      <c r="I3" s="1"/>
    </row>
    <row r="4" spans="1:10">
      <c r="B4" s="16"/>
      <c r="C4" s="16"/>
      <c r="D4" s="16">
        <v>0</v>
      </c>
      <c r="E4" s="16">
        <v>1</v>
      </c>
      <c r="F4" s="16">
        <v>2</v>
      </c>
      <c r="G4" s="16">
        <v>3</v>
      </c>
      <c r="H4" s="138">
        <v>4</v>
      </c>
      <c r="I4" s="1"/>
    </row>
    <row r="5" spans="1:10">
      <c r="A5" t="s">
        <v>34</v>
      </c>
      <c r="B5" t="s">
        <v>169</v>
      </c>
      <c r="D5" s="150">
        <f>'Given_MCACA(APL)_Data_Part B'!L7*-1</f>
        <v>-675000</v>
      </c>
      <c r="E5" s="150"/>
      <c r="F5" s="150"/>
      <c r="G5" s="150"/>
      <c r="H5" s="151"/>
      <c r="I5" s="5"/>
      <c r="J5" s="5"/>
    </row>
    <row r="6" spans="1:10">
      <c r="A6" t="s">
        <v>34</v>
      </c>
      <c r="B6" t="s">
        <v>170</v>
      </c>
      <c r="D6" s="5">
        <f>'Given_MCACA(APL)_Data_Part B'!L12*-1</f>
        <v>-300000</v>
      </c>
      <c r="E6" s="5"/>
      <c r="F6" s="5"/>
      <c r="G6" s="5"/>
      <c r="H6" s="139"/>
      <c r="I6" s="5"/>
      <c r="J6" s="5"/>
    </row>
    <row r="7" spans="1:10" ht="16.5" thickBot="1">
      <c r="A7" s="132" t="s">
        <v>34</v>
      </c>
      <c r="B7" s="132" t="s">
        <v>116</v>
      </c>
      <c r="C7" s="132"/>
      <c r="D7" s="125">
        <f>'Given_MCACA(APL)_Data_Part B'!L14*-1</f>
        <v>-108000</v>
      </c>
      <c r="E7" s="5"/>
      <c r="F7" s="5"/>
      <c r="G7" s="5"/>
      <c r="H7" s="139"/>
      <c r="I7" s="5"/>
      <c r="J7" s="5"/>
    </row>
    <row r="8" spans="1:10">
      <c r="A8" t="s">
        <v>35</v>
      </c>
      <c r="B8" t="s">
        <v>122</v>
      </c>
      <c r="D8" s="5">
        <f>'Given_MCACA(APL)_Data_Part B'!L16*-1</f>
        <v>-20500</v>
      </c>
      <c r="E8" s="5"/>
      <c r="F8" s="5"/>
      <c r="G8" s="5"/>
      <c r="H8" s="139"/>
      <c r="I8" s="5"/>
      <c r="J8" s="5"/>
    </row>
    <row r="9" spans="1:10">
      <c r="A9" t="s">
        <v>35</v>
      </c>
      <c r="B9" t="s">
        <v>158</v>
      </c>
      <c r="D9" s="5"/>
      <c r="E9" s="5">
        <f>'Given_MCACA(APL)_Data_Part B'!L18*-1</f>
        <v>-47250</v>
      </c>
      <c r="F9" s="5">
        <f>E9*(1+'Given_MCACA(APL)_Data_Part B'!$L$19)</f>
        <v>-47958.749999999993</v>
      </c>
      <c r="G9" s="5">
        <f>F9*(1+'Given_MCACA(APL)_Data_Part B'!$L$19)</f>
        <v>-48678.131249999991</v>
      </c>
      <c r="H9" s="139">
        <f>G9*(1+'Given_MCACA(APL)_Data_Part B'!$L$19)</f>
        <v>-49408.303218749985</v>
      </c>
      <c r="I9" s="5"/>
      <c r="J9" s="5"/>
    </row>
    <row r="10" spans="1:10">
      <c r="A10" t="s">
        <v>35</v>
      </c>
      <c r="B10" t="s">
        <v>117</v>
      </c>
      <c r="D10" s="5"/>
      <c r="E10" s="5">
        <f>'Given_MCACA(APL)_Data_Part B'!L22*-1</f>
        <v>-162000</v>
      </c>
      <c r="F10" s="5">
        <f>E10*(1+'Given_MCACA(APL)_Data_Part B'!$L$23)</f>
        <v>-166860</v>
      </c>
      <c r="G10" s="5">
        <f>F10*(1+'Given_MCACA(APL)_Data_Part B'!$L$23)</f>
        <v>-171865.80000000002</v>
      </c>
      <c r="H10" s="139">
        <f>G10*(1+'Given_MCACA(APL)_Data_Part B'!$L$23)</f>
        <v>-177021.77400000003</v>
      </c>
      <c r="I10" s="5"/>
      <c r="J10" s="5"/>
    </row>
    <row r="11" spans="1:10" ht="16.5" thickBot="1">
      <c r="A11" t="s">
        <v>35</v>
      </c>
      <c r="B11" s="132" t="s">
        <v>159</v>
      </c>
      <c r="C11" s="132"/>
      <c r="D11" s="125"/>
      <c r="E11" s="125">
        <f>'Given_MCACA(APL)_Data_Part B'!L25*-1</f>
        <v>-80000</v>
      </c>
      <c r="F11" s="125">
        <f>E11*(1+'Given_MCACA(APL)_Data_Part B'!$L$26)</f>
        <v>-82400</v>
      </c>
      <c r="G11" s="125">
        <f>F11*(1+'Given_MCACA(APL)_Data_Part B'!$L$26)</f>
        <v>-84872</v>
      </c>
      <c r="H11" s="140">
        <f>G11*(1+'Given_MCACA(APL)_Data_Part B'!$L$26)</f>
        <v>-87418.16</v>
      </c>
      <c r="I11" s="5"/>
      <c r="J11" s="5"/>
    </row>
    <row r="12" spans="1:10">
      <c r="A12" t="s">
        <v>35</v>
      </c>
      <c r="B12" t="s">
        <v>162</v>
      </c>
      <c r="D12" s="5">
        <f>SUM(D8:D11)</f>
        <v>-20500</v>
      </c>
      <c r="E12" s="5">
        <f t="shared" ref="E12:H12" si="0">SUM(E5:E11)</f>
        <v>-289250</v>
      </c>
      <c r="F12" s="5">
        <f t="shared" si="0"/>
        <v>-297218.75</v>
      </c>
      <c r="G12" s="5">
        <f t="shared" si="0"/>
        <v>-305415.93125000002</v>
      </c>
      <c r="H12" s="139">
        <f t="shared" si="0"/>
        <v>-313848.23721875006</v>
      </c>
      <c r="I12" s="5"/>
      <c r="J12" s="5"/>
    </row>
    <row r="13" spans="1:10" ht="16.5" thickBot="1">
      <c r="A13" t="s">
        <v>35</v>
      </c>
      <c r="B13" s="132" t="s">
        <v>163</v>
      </c>
      <c r="C13" s="132"/>
      <c r="D13" s="125">
        <f>D8*'Given_MCACA(APL)_Data_Part B'!L28*-1</f>
        <v>6150</v>
      </c>
      <c r="E13" s="125">
        <f>E12*(1+'Given_MCACA(APL)_Data_Part B'!$L$28)</f>
        <v>-376025</v>
      </c>
      <c r="F13" s="125">
        <f>F12*(1+'Given_MCACA(APL)_Data_Part B'!$L$28)</f>
        <v>-386384.375</v>
      </c>
      <c r="G13" s="125">
        <f>G12*(1+'Given_MCACA(APL)_Data_Part B'!$L$28)</f>
        <v>-397040.71062500007</v>
      </c>
      <c r="H13" s="140">
        <f>H12*(1+'Given_MCACA(APL)_Data_Part B'!$L$28)</f>
        <v>-408002.70838437509</v>
      </c>
      <c r="I13" s="5"/>
      <c r="J13" s="5"/>
    </row>
    <row r="14" spans="1:10">
      <c r="A14" t="s">
        <v>35</v>
      </c>
      <c r="B14" s="147" t="s">
        <v>164</v>
      </c>
      <c r="C14" s="147"/>
      <c r="D14" s="148">
        <f>D12+D13</f>
        <v>-14350</v>
      </c>
      <c r="E14" s="148">
        <f>E12+E13</f>
        <v>-665275</v>
      </c>
      <c r="F14" s="148">
        <f t="shared" ref="F14:H14" si="1">F12+F13</f>
        <v>-683603.125</v>
      </c>
      <c r="G14" s="148">
        <f t="shared" si="1"/>
        <v>-702456.64187500009</v>
      </c>
      <c r="H14" s="149">
        <f t="shared" si="1"/>
        <v>-721850.94560312515</v>
      </c>
      <c r="I14" s="5"/>
      <c r="J14" s="5"/>
    </row>
    <row r="15" spans="1:10" ht="16.5" thickBot="1">
      <c r="A15" t="s">
        <v>35</v>
      </c>
      <c r="B15" s="132" t="s">
        <v>31</v>
      </c>
      <c r="C15" s="132"/>
      <c r="D15" s="125">
        <v>0</v>
      </c>
      <c r="E15" s="125">
        <f>'Given_MCACA(APL)_Data_Part B'!$L$34*'Given_MCACA(APL)_Data_Part B'!$L$28</f>
        <v>22500</v>
      </c>
      <c r="F15" s="125">
        <f>'Given_MCACA(APL)_Data_Part B'!$L$34*'Given_MCACA(APL)_Data_Part B'!$L$28</f>
        <v>22500</v>
      </c>
      <c r="G15" s="125">
        <f>'Given_MCACA(APL)_Data_Part B'!$L$34*'Given_MCACA(APL)_Data_Part B'!$L$28</f>
        <v>22500</v>
      </c>
      <c r="H15" s="140">
        <f>'Given_MCACA(APL)_Data_Part B'!$L$34*'Given_MCACA(APL)_Data_Part B'!$L$28</f>
        <v>22500</v>
      </c>
      <c r="I15" s="5"/>
      <c r="J15" s="5"/>
    </row>
    <row r="16" spans="1:10">
      <c r="A16" t="s">
        <v>35</v>
      </c>
      <c r="B16" t="s">
        <v>165</v>
      </c>
      <c r="D16" s="5">
        <f>D14+D15</f>
        <v>-14350</v>
      </c>
      <c r="E16" s="5">
        <f t="shared" ref="E16:H16" si="2">E14+E15</f>
        <v>-642775</v>
      </c>
      <c r="F16" s="5">
        <f t="shared" si="2"/>
        <v>-661103.125</v>
      </c>
      <c r="G16" s="5">
        <f t="shared" si="2"/>
        <v>-679956.64187500009</v>
      </c>
      <c r="H16" s="139">
        <f t="shared" si="2"/>
        <v>-699350.94560312515</v>
      </c>
      <c r="I16" s="5"/>
      <c r="J16" s="5"/>
    </row>
    <row r="17" spans="1:16">
      <c r="A17" t="s">
        <v>33</v>
      </c>
      <c r="B17" t="s">
        <v>166</v>
      </c>
      <c r="D17" s="5"/>
      <c r="E17" s="5"/>
      <c r="F17" s="5"/>
      <c r="G17" s="5"/>
      <c r="H17" s="139">
        <f>'Given_MCACA(APL)_Data_Part B'!L30-'Given_MCACA(APL)_Data_Part B'!L32</f>
        <v>35000</v>
      </c>
      <c r="I17" s="5"/>
      <c r="J17" s="5"/>
    </row>
    <row r="18" spans="1:16">
      <c r="B18" t="s">
        <v>116</v>
      </c>
      <c r="D18" s="5"/>
      <c r="E18" s="5"/>
      <c r="F18" s="5"/>
      <c r="G18" s="5"/>
      <c r="H18" s="139">
        <f>'Given_MCACA(APL)_Data_Part B'!L14</f>
        <v>108000</v>
      </c>
      <c r="I18" s="5"/>
      <c r="J18" s="5"/>
    </row>
    <row r="19" spans="1:16" ht="16.5" thickBot="1">
      <c r="A19" s="132" t="s">
        <v>33</v>
      </c>
      <c r="B19" s="132" t="s">
        <v>173</v>
      </c>
      <c r="C19" s="132"/>
      <c r="D19" s="125"/>
      <c r="E19" s="125"/>
      <c r="F19" s="125"/>
      <c r="G19" s="125"/>
      <c r="H19" s="140">
        <f>H17*'Given_MCACA(APL)_Data_Part B'!L28*-1</f>
        <v>-10500</v>
      </c>
      <c r="I19" s="142"/>
      <c r="J19" s="5"/>
    </row>
    <row r="20" spans="1:16" ht="16.5" thickBot="1">
      <c r="A20" s="132" t="s">
        <v>36</v>
      </c>
      <c r="B20" s="132"/>
      <c r="C20" s="132"/>
      <c r="D20" s="125">
        <f>(D5+D6)+D16</f>
        <v>-989350</v>
      </c>
      <c r="E20" s="125">
        <f>SUM(E16:E19)</f>
        <v>-642775</v>
      </c>
      <c r="F20" s="125">
        <f t="shared" ref="F20:H20" si="3">SUM(F16:F19)</f>
        <v>-661103.125</v>
      </c>
      <c r="G20" s="125">
        <f t="shared" si="3"/>
        <v>-679956.64187500009</v>
      </c>
      <c r="H20" s="143">
        <f t="shared" si="3"/>
        <v>-566850.94560312515</v>
      </c>
      <c r="I20" s="5"/>
      <c r="J20" s="5"/>
    </row>
    <row r="21" spans="1:16">
      <c r="D21" s="5"/>
      <c r="E21" s="5"/>
      <c r="F21" s="5"/>
      <c r="G21" s="5"/>
      <c r="H21" s="5"/>
      <c r="I21" s="5"/>
      <c r="J21" s="5"/>
    </row>
    <row r="22" spans="1:16">
      <c r="D22" s="5"/>
      <c r="E22" s="5"/>
      <c r="F22" s="5"/>
      <c r="G22" s="5"/>
      <c r="H22" s="5"/>
      <c r="I22" s="5"/>
      <c r="J22" s="5"/>
    </row>
    <row r="23" spans="1:16">
      <c r="A23" s="39" t="s">
        <v>39</v>
      </c>
      <c r="B23" s="39">
        <f>'Q1.Solution_WACC_APL'!H41</f>
        <v>6.5584964733903531E-2</v>
      </c>
      <c r="D23" s="5"/>
      <c r="E23" s="5"/>
      <c r="F23" s="5"/>
      <c r="G23" s="5"/>
      <c r="H23" s="5"/>
      <c r="I23" s="5"/>
      <c r="J23" s="5"/>
    </row>
    <row r="24" spans="1:16">
      <c r="D24" s="5"/>
      <c r="E24" s="5"/>
      <c r="F24" s="5"/>
      <c r="G24" s="5"/>
      <c r="H24" s="5"/>
      <c r="I24" s="5"/>
      <c r="J24" s="5"/>
    </row>
    <row r="25" spans="1:16" ht="21">
      <c r="A25" s="26" t="s">
        <v>41</v>
      </c>
      <c r="B25" s="27"/>
      <c r="C25" s="27"/>
      <c r="D25" s="28"/>
      <c r="E25" s="5"/>
      <c r="F25" s="5"/>
      <c r="G25" s="5"/>
      <c r="H25" s="5"/>
      <c r="I25" s="5"/>
      <c r="J25" s="73"/>
      <c r="K25" s="74"/>
      <c r="L25" s="74"/>
      <c r="M25" s="74"/>
      <c r="N25" s="74"/>
      <c r="O25" s="74"/>
      <c r="P25" s="5"/>
    </row>
    <row r="26" spans="1:16" ht="21">
      <c r="A26" s="29" t="s">
        <v>37</v>
      </c>
      <c r="B26" s="27" t="s">
        <v>38</v>
      </c>
      <c r="C26" s="30" t="s">
        <v>43</v>
      </c>
      <c r="D26" s="28">
        <f>NPV(B23,E20,F20,G20,H20)</f>
        <v>-2187075.7603941197</v>
      </c>
      <c r="E26" s="5"/>
      <c r="F26" s="5"/>
      <c r="G26" s="46"/>
      <c r="H26" s="5"/>
      <c r="I26" s="5"/>
      <c r="J26" s="77"/>
      <c r="K26" s="78"/>
      <c r="L26" s="78"/>
      <c r="M26" s="78"/>
      <c r="N26" s="78"/>
      <c r="O26" s="74"/>
      <c r="P26" s="5"/>
    </row>
    <row r="27" spans="1:16" ht="21">
      <c r="A27" s="27"/>
      <c r="B27" s="27" t="s">
        <v>38</v>
      </c>
      <c r="C27" s="31" t="s">
        <v>40</v>
      </c>
      <c r="D27" s="32">
        <f>SUM(D20,D26)</f>
        <v>-3176425.7603941197</v>
      </c>
      <c r="E27" s="5"/>
      <c r="F27" s="5"/>
      <c r="G27" s="5"/>
      <c r="H27" s="5"/>
      <c r="I27" s="5"/>
      <c r="J27" s="77"/>
      <c r="K27" s="78"/>
      <c r="L27" s="78"/>
      <c r="M27" s="78"/>
      <c r="N27" s="78"/>
      <c r="O27" s="74"/>
      <c r="P27" s="5"/>
    </row>
    <row r="28" spans="1:16" ht="21">
      <c r="A28" s="39"/>
      <c r="B28" s="39"/>
      <c r="C28" s="39"/>
      <c r="D28" s="39"/>
      <c r="E28" s="5"/>
      <c r="F28" s="5"/>
      <c r="G28" s="5"/>
      <c r="H28" s="5"/>
      <c r="I28" s="5"/>
      <c r="J28" s="79"/>
      <c r="K28" s="78"/>
      <c r="L28" s="78"/>
      <c r="M28" s="78"/>
      <c r="N28" s="78"/>
      <c r="O28" s="74"/>
      <c r="P28" s="5"/>
    </row>
    <row r="29" spans="1:16" ht="21">
      <c r="A29" s="89" t="s">
        <v>83</v>
      </c>
      <c r="B29" s="90"/>
      <c r="C29" s="90"/>
      <c r="D29" s="90"/>
      <c r="E29" s="5"/>
      <c r="F29" s="5"/>
      <c r="G29" s="5"/>
      <c r="H29" s="5"/>
      <c r="I29" s="5"/>
      <c r="J29" s="79"/>
      <c r="K29" s="78"/>
      <c r="L29" s="78"/>
      <c r="M29" s="78"/>
      <c r="N29" s="78"/>
      <c r="O29" s="74"/>
      <c r="P29" s="5"/>
    </row>
    <row r="30" spans="1:16" ht="21">
      <c r="A30" s="91" t="s">
        <v>81</v>
      </c>
      <c r="B30" s="92"/>
      <c r="C30" s="92"/>
      <c r="D30" s="92"/>
      <c r="E30" s="5"/>
      <c r="F30" s="5"/>
      <c r="G30" s="5"/>
      <c r="H30" s="5"/>
      <c r="I30" s="5"/>
      <c r="J30" s="79"/>
      <c r="K30" s="78"/>
      <c r="L30" s="78"/>
      <c r="M30" s="78"/>
      <c r="N30" s="78"/>
      <c r="O30" s="74"/>
      <c r="P30" s="5"/>
    </row>
    <row r="31" spans="1:16" ht="21">
      <c r="A31" s="91" t="s">
        <v>75</v>
      </c>
      <c r="B31" s="92"/>
      <c r="C31" s="92"/>
      <c r="D31" s="92"/>
      <c r="E31" s="5"/>
      <c r="F31" s="5"/>
      <c r="G31" s="5"/>
      <c r="H31" s="5"/>
      <c r="I31" s="5"/>
      <c r="J31" s="79"/>
      <c r="K31" s="78"/>
      <c r="L31" s="78"/>
      <c r="M31" s="78"/>
      <c r="N31" s="78"/>
      <c r="O31" s="74"/>
      <c r="P31" s="5"/>
    </row>
    <row r="32" spans="1:16" ht="21">
      <c r="A32" s="93" t="s">
        <v>76</v>
      </c>
      <c r="B32" s="92"/>
      <c r="C32" s="92"/>
      <c r="D32" s="92"/>
      <c r="E32" s="5"/>
      <c r="F32" s="5"/>
      <c r="G32" s="5"/>
      <c r="H32" s="5"/>
      <c r="I32" s="5"/>
      <c r="J32" s="80"/>
      <c r="K32" s="80"/>
      <c r="L32" s="80"/>
      <c r="M32" s="80"/>
      <c r="N32" s="74"/>
      <c r="O32" s="74"/>
      <c r="P32" s="5"/>
    </row>
    <row r="33" spans="1:16" ht="21">
      <c r="A33" s="93" t="s">
        <v>77</v>
      </c>
      <c r="B33" s="92"/>
      <c r="C33" s="92"/>
      <c r="D33" s="92"/>
      <c r="E33" s="5"/>
      <c r="F33" s="5"/>
      <c r="G33" s="5"/>
      <c r="H33" s="5"/>
      <c r="I33" s="5"/>
      <c r="J33" s="73"/>
      <c r="K33" s="74"/>
      <c r="L33" s="74"/>
      <c r="M33" s="74"/>
      <c r="N33" s="74"/>
      <c r="O33" s="74"/>
      <c r="P33" s="5"/>
    </row>
    <row r="34" spans="1:16" ht="21">
      <c r="A34" s="93" t="s">
        <v>78</v>
      </c>
      <c r="B34" s="92"/>
      <c r="C34" s="92"/>
      <c r="D34" s="92"/>
      <c r="E34" s="5"/>
      <c r="F34" s="5"/>
      <c r="G34" s="5"/>
      <c r="H34" s="5"/>
      <c r="I34" s="5"/>
      <c r="J34" s="75"/>
      <c r="K34" s="74"/>
      <c r="L34" s="74"/>
      <c r="M34" s="74"/>
      <c r="N34" s="74"/>
      <c r="O34" s="74"/>
      <c r="P34" s="5"/>
    </row>
    <row r="35" spans="1:16" ht="21">
      <c r="A35" s="93" t="s">
        <v>79</v>
      </c>
      <c r="B35" s="92"/>
      <c r="C35" s="92"/>
      <c r="D35" s="92"/>
      <c r="E35" s="5"/>
      <c r="F35" s="5"/>
      <c r="G35" s="5"/>
      <c r="H35" s="5"/>
      <c r="I35" s="5"/>
      <c r="J35" s="76"/>
      <c r="K35" s="74"/>
      <c r="L35" s="74"/>
      <c r="M35" s="74"/>
      <c r="N35" s="74"/>
      <c r="O35" s="74"/>
      <c r="P35" s="5"/>
    </row>
    <row r="36" spans="1:16" ht="21">
      <c r="A36" s="94"/>
      <c r="B36" s="94"/>
      <c r="C36" s="94"/>
      <c r="D36" s="94"/>
      <c r="E36" s="5"/>
      <c r="F36" s="5"/>
      <c r="G36" s="5"/>
      <c r="H36" s="5"/>
      <c r="I36" s="5"/>
      <c r="J36" s="75"/>
      <c r="K36" s="74"/>
      <c r="L36" s="74"/>
      <c r="M36" s="74"/>
      <c r="N36" s="74"/>
      <c r="O36" s="74"/>
      <c r="P36" s="5"/>
    </row>
    <row r="37" spans="1:16" ht="21">
      <c r="A37" s="95" t="s">
        <v>80</v>
      </c>
      <c r="B37" s="96"/>
      <c r="C37" s="96"/>
      <c r="D37" s="96"/>
      <c r="E37" s="5"/>
      <c r="F37" s="5"/>
      <c r="G37" s="5"/>
      <c r="H37" s="5"/>
      <c r="I37" s="5"/>
      <c r="J37" s="76"/>
      <c r="K37" s="74"/>
      <c r="L37" s="74"/>
      <c r="M37" s="74"/>
      <c r="N37" s="74"/>
      <c r="O37" s="74"/>
      <c r="P37" s="5"/>
    </row>
    <row r="38" spans="1:16" ht="21">
      <c r="A38" s="97" t="s">
        <v>82</v>
      </c>
      <c r="B38" s="96"/>
      <c r="C38" s="96"/>
      <c r="D38" s="96"/>
      <c r="E38" s="5"/>
      <c r="F38" s="5"/>
      <c r="G38" s="5"/>
      <c r="H38" s="5"/>
      <c r="I38" s="5"/>
      <c r="J38" s="76"/>
      <c r="K38" s="74"/>
      <c r="L38" s="74"/>
      <c r="M38" s="74"/>
      <c r="N38" s="74"/>
      <c r="O38" s="74"/>
      <c r="P38" s="5"/>
    </row>
    <row r="39" spans="1:16" ht="21">
      <c r="A39" s="98" t="s">
        <v>192</v>
      </c>
      <c r="B39" s="96"/>
      <c r="C39" s="96"/>
      <c r="D39" s="96"/>
    </row>
    <row r="40" spans="1:16" ht="18.75">
      <c r="A40" s="99">
        <f>(B23*D27)/(1-((1+B23)^-6))</f>
        <v>-657344.74011460808</v>
      </c>
      <c r="B40" s="96"/>
      <c r="C40" s="96"/>
      <c r="D40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442C-EEB1-441B-8861-15A015EF482B}">
  <dimension ref="A1:G13"/>
  <sheetViews>
    <sheetView workbookViewId="0">
      <selection activeCell="C19" sqref="C19"/>
    </sheetView>
  </sheetViews>
  <sheetFormatPr defaultRowHeight="15.75"/>
  <cols>
    <col min="2" max="2" width="20.5" customWidth="1"/>
    <col min="3" max="3" width="21.125" customWidth="1"/>
    <col min="5" max="5" width="11.125" customWidth="1"/>
    <col min="6" max="6" width="21.625" customWidth="1"/>
    <col min="7" max="7" width="24.625" customWidth="1"/>
    <col min="8" max="8" width="21" customWidth="1"/>
    <col min="9" max="9" width="24.625" customWidth="1"/>
  </cols>
  <sheetData>
    <row r="1" spans="1:7" ht="23.25">
      <c r="A1" s="152" t="s">
        <v>191</v>
      </c>
    </row>
    <row r="4" spans="1:7" ht="16.5" thickBot="1"/>
    <row r="5" spans="1:7" ht="16.5" thickBot="1">
      <c r="A5" s="120" t="s">
        <v>174</v>
      </c>
      <c r="B5" s="147" t="s">
        <v>157</v>
      </c>
      <c r="C5" s="156" t="s">
        <v>175</v>
      </c>
    </row>
    <row r="6" spans="1:7" ht="16.5" thickBot="1">
      <c r="B6" s="154" t="s">
        <v>185</v>
      </c>
      <c r="C6" s="155" t="s">
        <v>184</v>
      </c>
    </row>
    <row r="7" spans="1:7" ht="16.5" thickBot="1">
      <c r="A7" t="s">
        <v>177</v>
      </c>
      <c r="B7" s="157">
        <f>'Q2.Solution_NPV_CHINESE'!D20</f>
        <v>-1146600</v>
      </c>
      <c r="C7" s="149">
        <f>'Q2.Solution_NPV_FRENCH'!D20</f>
        <v>-989350</v>
      </c>
      <c r="E7" s="120" t="s">
        <v>186</v>
      </c>
      <c r="F7" s="153" t="s">
        <v>188</v>
      </c>
      <c r="G7" s="153" t="s">
        <v>187</v>
      </c>
    </row>
    <row r="8" spans="1:7">
      <c r="A8" t="s">
        <v>178</v>
      </c>
      <c r="B8" s="158">
        <f>'Q2.Solution_NPV_CHINESE'!E20</f>
        <v>-192430</v>
      </c>
      <c r="C8" s="139">
        <f>'Q2.Solution_NPV_FRENCH'!E20</f>
        <v>-642775</v>
      </c>
      <c r="E8" s="163" t="s">
        <v>189</v>
      </c>
      <c r="F8" s="164">
        <f>'Q2.Solution_NPV_CHINESE'!D27</f>
        <v>-1989401.6490017637</v>
      </c>
      <c r="G8" s="165">
        <f>'Q2.Solution_NPV_CHINESE'!A40</f>
        <v>-411696.2928119495</v>
      </c>
    </row>
    <row r="9" spans="1:7" ht="16.5" thickBot="1">
      <c r="A9" t="s">
        <v>179</v>
      </c>
      <c r="B9" s="158">
        <f>'Q2.Solution_NPV_CHINESE'!F20</f>
        <v>-197984.5</v>
      </c>
      <c r="C9" s="139">
        <f>'Q2.Solution_NPV_FRENCH'!F20</f>
        <v>-661103.125</v>
      </c>
      <c r="E9" s="160" t="s">
        <v>190</v>
      </c>
      <c r="F9" s="161">
        <f>'Q2.Solution_NPV_FRENCH'!D27</f>
        <v>-3176425.7603941197</v>
      </c>
      <c r="G9" s="162">
        <f>'Q2.Solution_NPV_FRENCH'!A40</f>
        <v>-657344.74011460808</v>
      </c>
    </row>
    <row r="10" spans="1:7">
      <c r="A10" t="s">
        <v>180</v>
      </c>
      <c r="B10" s="158">
        <f>'Q2.Solution_NPV_CHINESE'!G20</f>
        <v>-203698.28500000003</v>
      </c>
      <c r="C10" s="139">
        <f>'Q2.Solution_NPV_FRENCH'!G20</f>
        <v>-679956.64187500009</v>
      </c>
    </row>
    <row r="11" spans="1:7">
      <c r="A11" t="s">
        <v>181</v>
      </c>
      <c r="B11" s="158">
        <f>'Q2.Solution_NPV_CHINESE'!H20</f>
        <v>-209576.06005000003</v>
      </c>
      <c r="C11" s="139">
        <f>'Q2.Solution_NPV_FRENCH'!H20</f>
        <v>-566850.94560312515</v>
      </c>
    </row>
    <row r="12" spans="1:7">
      <c r="A12" t="s">
        <v>182</v>
      </c>
      <c r="B12" s="158">
        <f>'Q2.Solution_NPV_CHINESE'!I20</f>
        <v>-215622.67061650002</v>
      </c>
      <c r="C12" s="136"/>
    </row>
    <row r="13" spans="1:7" ht="16.5" thickBot="1">
      <c r="A13" s="155" t="s">
        <v>183</v>
      </c>
      <c r="B13" s="159">
        <f>'Q2.Solution_NPV_CHINESE'!J20</f>
        <v>-81843.106787645083</v>
      </c>
      <c r="C13" s="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Given_MCACA(APL)_Data_Part B</vt:lpstr>
      <vt:lpstr>Q1.Solution_WACC_APL</vt:lpstr>
      <vt:lpstr>Q2.Solution_NPV_CHINESE</vt:lpstr>
      <vt:lpstr>Q2.Solution_NPV_FRENCH</vt:lpstr>
      <vt:lpstr>NPV_GRAPH_DECISION MAKING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Clayton</dc:creator>
  <cp:lastModifiedBy>Rokshana Pervin</cp:lastModifiedBy>
  <dcterms:created xsi:type="dcterms:W3CDTF">2021-10-01T02:55:13Z</dcterms:created>
  <dcterms:modified xsi:type="dcterms:W3CDTF">2024-04-20T00:55:12Z</dcterms:modified>
</cp:coreProperties>
</file>