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ychev/Desktop/"/>
    </mc:Choice>
  </mc:AlternateContent>
  <xr:revisionPtr revIDLastSave="0" documentId="13_ncr:1_{049BB68A-A3A4-9A4F-ADB5-990BB429E44B}" xr6:coauthVersionLast="47" xr6:coauthVersionMax="47" xr10:uidLastSave="{00000000-0000-0000-0000-000000000000}"/>
  <bookViews>
    <workbookView xWindow="0" yWindow="0" windowWidth="28800" windowHeight="18000" xr2:uid="{21C50926-C873-904A-8A4E-258343216446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3" i="1" l="1"/>
  <c r="V49" i="1"/>
  <c r="O48" i="1" a="1"/>
  <c r="Q48" i="1" s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A32" i="1"/>
  <c r="A33" i="1" s="1"/>
  <c r="A34" i="1" s="1"/>
  <c r="A35" i="1" s="1"/>
  <c r="P31" i="1"/>
  <c r="P30" i="1"/>
  <c r="F30" i="1"/>
  <c r="P29" i="1"/>
  <c r="P28" i="1"/>
  <c r="P27" i="1"/>
  <c r="P26" i="1"/>
  <c r="P25" i="1"/>
  <c r="P24" i="1"/>
  <c r="P23" i="1"/>
  <c r="W20" i="1"/>
  <c r="W19" i="1"/>
  <c r="T19" i="1"/>
  <c r="G6" i="1" a="1"/>
  <c r="H2" i="1"/>
  <c r="E2" i="1"/>
  <c r="D17" i="1" s="1"/>
  <c r="H1" i="1"/>
  <c r="D9" i="1" l="1"/>
  <c r="E9" i="1" s="1"/>
  <c r="G9" i="1"/>
  <c r="H8" i="1"/>
  <c r="H7" i="1"/>
  <c r="G8" i="1"/>
  <c r="G7" i="1"/>
  <c r="H10" i="1"/>
  <c r="H6" i="1"/>
  <c r="G10" i="1"/>
  <c r="G6" i="1"/>
  <c r="D26" i="1"/>
  <c r="E26" i="1" s="1"/>
  <c r="D21" i="1"/>
  <c r="D15" i="1"/>
  <c r="D7" i="1"/>
  <c r="D6" i="1"/>
  <c r="E6" i="1" s="1"/>
  <c r="D24" i="1"/>
  <c r="D22" i="1"/>
  <c r="D18" i="1"/>
  <c r="E18" i="1" s="1"/>
  <c r="D12" i="1"/>
  <c r="E12" i="1" s="1"/>
  <c r="D10" i="1"/>
  <c r="E10" i="1" s="1"/>
  <c r="D27" i="1"/>
  <c r="D16" i="1"/>
  <c r="E16" i="1" s="1"/>
  <c r="D14" i="1"/>
  <c r="E14" i="1" s="1"/>
  <c r="D8" i="1"/>
  <c r="D23" i="1"/>
  <c r="E23" i="1" s="1"/>
  <c r="D19" i="1"/>
  <c r="E19" i="1" s="1"/>
  <c r="D11" i="1"/>
  <c r="D5" i="1"/>
  <c r="D25" i="1"/>
  <c r="E25" i="1" s="1"/>
  <c r="D28" i="1"/>
  <c r="E28" i="1" s="1"/>
  <c r="D20" i="1"/>
  <c r="E20" i="1" s="1"/>
  <c r="H9" i="1"/>
  <c r="Q45" i="1"/>
  <c r="Q44" i="1"/>
  <c r="Q36" i="1"/>
  <c r="Q35" i="1"/>
  <c r="Q24" i="1"/>
  <c r="D13" i="1"/>
  <c r="O48" i="1"/>
  <c r="P48" i="1"/>
  <c r="Q29" i="1" s="1"/>
  <c r="P52" i="1" l="1"/>
  <c r="T51" i="1"/>
  <c r="O51" i="1"/>
  <c r="E7" i="1"/>
  <c r="Q33" i="1"/>
  <c r="Q37" i="1"/>
  <c r="Q46" i="1"/>
  <c r="E27" i="1"/>
  <c r="E15" i="1"/>
  <c r="Q34" i="1"/>
  <c r="E21" i="1"/>
  <c r="Q40" i="1"/>
  <c r="E13" i="1"/>
  <c r="Q30" i="1"/>
  <c r="Q41" i="1"/>
  <c r="Q28" i="1"/>
  <c r="R51" i="1"/>
  <c r="Q39" i="1"/>
  <c r="Q27" i="1"/>
  <c r="Q31" i="1"/>
  <c r="Q42" i="1"/>
  <c r="E22" i="1"/>
  <c r="R50" i="1"/>
  <c r="T52" i="1"/>
  <c r="Q38" i="1"/>
  <c r="Q23" i="1"/>
  <c r="Q25" i="1"/>
  <c r="Q26" i="1"/>
  <c r="E11" i="1"/>
  <c r="Q32" i="1"/>
  <c r="Q43" i="1"/>
  <c r="E8" i="1"/>
  <c r="E24" i="1"/>
  <c r="J24" i="1"/>
  <c r="K24" i="1" s="1"/>
  <c r="S14" i="1" s="1"/>
  <c r="J22" i="1"/>
  <c r="K22" i="1" s="1"/>
  <c r="S12" i="1" s="1"/>
  <c r="J18" i="1"/>
  <c r="K18" i="1" s="1"/>
  <c r="R12" i="1" s="1"/>
  <c r="J12" i="1"/>
  <c r="K12" i="1" s="1"/>
  <c r="P14" i="1" s="1"/>
  <c r="J10" i="1"/>
  <c r="K10" i="1" s="1"/>
  <c r="P12" i="1" s="1"/>
  <c r="J27" i="1"/>
  <c r="K27" i="1" s="1"/>
  <c r="T13" i="1" s="1"/>
  <c r="J25" i="1"/>
  <c r="K25" i="1" s="1"/>
  <c r="T11" i="1" s="1"/>
  <c r="J23" i="1"/>
  <c r="K23" i="1" s="1"/>
  <c r="S13" i="1" s="1"/>
  <c r="J19" i="1"/>
  <c r="K19" i="1" s="1"/>
  <c r="R13" i="1" s="1"/>
  <c r="J11" i="1"/>
  <c r="K11" i="1" s="1"/>
  <c r="P13" i="1" s="1"/>
  <c r="J16" i="1"/>
  <c r="K16" i="1" s="1"/>
  <c r="Q14" i="1" s="1"/>
  <c r="J14" i="1"/>
  <c r="K14" i="1" s="1"/>
  <c r="Q12" i="1" s="1"/>
  <c r="J8" i="1"/>
  <c r="K8" i="1" s="1"/>
  <c r="O14" i="1" s="1"/>
  <c r="J28" i="1"/>
  <c r="K28" i="1" s="1"/>
  <c r="T14" i="1" s="1"/>
  <c r="J20" i="1"/>
  <c r="K20" i="1" s="1"/>
  <c r="R14" i="1" s="1"/>
  <c r="J6" i="1"/>
  <c r="K6" i="1" s="1"/>
  <c r="O12" i="1" s="1"/>
  <c r="J5" i="1"/>
  <c r="K5" i="1" s="1"/>
  <c r="O11" i="1" s="1"/>
  <c r="J17" i="1"/>
  <c r="K17" i="1" s="1"/>
  <c r="R11" i="1" s="1"/>
  <c r="J13" i="1"/>
  <c r="K13" i="1" s="1"/>
  <c r="Q11" i="1" s="1"/>
  <c r="J9" i="1"/>
  <c r="K9" i="1" s="1"/>
  <c r="P11" i="1" s="1"/>
  <c r="J26" i="1"/>
  <c r="K26" i="1" s="1"/>
  <c r="T12" i="1" s="1"/>
  <c r="J21" i="1"/>
  <c r="K21" i="1" s="1"/>
  <c r="S11" i="1" s="1"/>
  <c r="J15" i="1"/>
  <c r="K15" i="1" s="1"/>
  <c r="Q13" i="1" s="1"/>
  <c r="J7" i="1"/>
  <c r="K7" i="1" s="1"/>
  <c r="O13" i="1" s="1"/>
  <c r="E17" i="1"/>
  <c r="Q52" i="1" l="1"/>
  <c r="L8" i="1"/>
  <c r="L12" i="1" s="1"/>
  <c r="L16" i="1" s="1"/>
  <c r="L20" i="1" s="1"/>
  <c r="L24" i="1" s="1"/>
  <c r="L28" i="1" s="1"/>
  <c r="P50" i="1"/>
  <c r="P51" i="1"/>
  <c r="R24" i="1" s="1"/>
  <c r="Q50" i="1"/>
  <c r="R53" i="1"/>
  <c r="L5" i="1"/>
  <c r="L9" i="1" s="1"/>
  <c r="L13" i="1" s="1"/>
  <c r="L17" i="1" s="1"/>
  <c r="L21" i="1" s="1"/>
  <c r="L25" i="1" s="1"/>
  <c r="O53" i="1"/>
  <c r="R26" i="1" s="1"/>
  <c r="S52" i="1"/>
  <c r="T53" i="1"/>
  <c r="O50" i="1"/>
  <c r="T50" i="1"/>
  <c r="S51" i="1"/>
  <c r="S50" i="1"/>
  <c r="Q51" i="1"/>
  <c r="Q53" i="1"/>
  <c r="L7" i="1"/>
  <c r="L11" i="1" s="1"/>
  <c r="L15" i="1" s="1"/>
  <c r="L19" i="1" s="1"/>
  <c r="L23" i="1" s="1"/>
  <c r="L27" i="1" s="1"/>
  <c r="L6" i="1"/>
  <c r="L10" i="1" s="1"/>
  <c r="L14" i="1" s="1"/>
  <c r="L18" i="1" s="1"/>
  <c r="L22" i="1" s="1"/>
  <c r="L26" i="1" s="1"/>
  <c r="O52" i="1"/>
  <c r="S53" i="1"/>
  <c r="P53" i="1"/>
  <c r="R52" i="1"/>
  <c r="R28" i="1" l="1"/>
  <c r="C33" i="1"/>
  <c r="S24" i="1"/>
  <c r="T24" i="1" s="1"/>
  <c r="R30" i="1"/>
  <c r="C35" i="1"/>
  <c r="S26" i="1"/>
  <c r="T26" i="1" s="1"/>
  <c r="R23" i="1"/>
  <c r="R25" i="1"/>
  <c r="R29" i="1" l="1"/>
  <c r="C34" i="1"/>
  <c r="S25" i="1"/>
  <c r="T25" i="1" s="1"/>
  <c r="R27" i="1"/>
  <c r="C32" i="1"/>
  <c r="S23" i="1"/>
  <c r="T23" i="1" s="1"/>
  <c r="R34" i="1"/>
  <c r="S30" i="1"/>
  <c r="T30" i="1" s="1"/>
  <c r="R32" i="1"/>
  <c r="S28" i="1"/>
  <c r="T28" i="1" s="1"/>
  <c r="U28" i="1" l="1"/>
  <c r="R31" i="1"/>
  <c r="S27" i="1"/>
  <c r="T27" i="1" s="1"/>
  <c r="R36" i="1"/>
  <c r="S32" i="1"/>
  <c r="T32" i="1" s="1"/>
  <c r="U25" i="1"/>
  <c r="U24" i="1"/>
  <c r="R33" i="1"/>
  <c r="S29" i="1"/>
  <c r="T29" i="1" s="1"/>
  <c r="U30" i="1" s="1"/>
  <c r="U26" i="1"/>
  <c r="R38" i="1"/>
  <c r="S34" i="1"/>
  <c r="T34" i="1" s="1"/>
  <c r="R35" i="1" l="1"/>
  <c r="S31" i="1"/>
  <c r="T31" i="1" s="1"/>
  <c r="R37" i="1"/>
  <c r="S33" i="1"/>
  <c r="T33" i="1" s="1"/>
  <c r="R42" i="1"/>
  <c r="S38" i="1"/>
  <c r="T38" i="1" s="1"/>
  <c r="U32" i="1"/>
  <c r="R40" i="1"/>
  <c r="S36" i="1"/>
  <c r="T36" i="1" s="1"/>
  <c r="U29" i="1"/>
  <c r="U27" i="1"/>
  <c r="R46" i="1" l="1"/>
  <c r="S46" i="1" s="1"/>
  <c r="T46" i="1" s="1"/>
  <c r="S42" i="1"/>
  <c r="T42" i="1" s="1"/>
  <c r="U38" i="1"/>
  <c r="R44" i="1"/>
  <c r="S44" i="1" s="1"/>
  <c r="T44" i="1" s="1"/>
  <c r="S40" i="1"/>
  <c r="T40" i="1" s="1"/>
  <c r="U33" i="1"/>
  <c r="R41" i="1"/>
  <c r="S37" i="1"/>
  <c r="T37" i="1" s="1"/>
  <c r="U31" i="1"/>
  <c r="U34" i="1"/>
  <c r="R39" i="1"/>
  <c r="S35" i="1"/>
  <c r="T35" i="1" s="1"/>
  <c r="U35" i="1" l="1"/>
  <c r="V52" i="1"/>
  <c r="U37" i="1"/>
  <c r="R45" i="1"/>
  <c r="S45" i="1" s="1"/>
  <c r="T45" i="1" s="1"/>
  <c r="S41" i="1"/>
  <c r="T41" i="1" s="1"/>
  <c r="R43" i="1"/>
  <c r="S43" i="1" s="1"/>
  <c r="T43" i="1" s="1"/>
  <c r="S39" i="1"/>
  <c r="T39" i="1" s="1"/>
  <c r="V50" i="1" s="1"/>
  <c r="U36" i="1"/>
  <c r="U39" i="1" l="1"/>
  <c r="W21" i="1"/>
  <c r="V41" i="1" s="1"/>
  <c r="T47" i="1"/>
  <c r="U45" i="1"/>
  <c r="U46" i="1"/>
  <c r="U40" i="1"/>
  <c r="U43" i="1"/>
  <c r="U41" i="1"/>
  <c r="U44" i="1"/>
  <c r="U42" i="1"/>
  <c r="Y51" i="1" l="1"/>
  <c r="V45" i="1"/>
  <c r="V26" i="1"/>
  <c r="V24" i="1"/>
  <c r="V30" i="1"/>
  <c r="W30" i="1" s="1"/>
  <c r="V23" i="1"/>
  <c r="V25" i="1"/>
  <c r="W25" i="1" s="1"/>
  <c r="V28" i="1"/>
  <c r="V32" i="1"/>
  <c r="V27" i="1"/>
  <c r="V29" i="1"/>
  <c r="W29" i="1" s="1"/>
  <c r="V34" i="1"/>
  <c r="V36" i="1"/>
  <c r="W36" i="1" s="1"/>
  <c r="V33" i="1"/>
  <c r="W33" i="1" s="1"/>
  <c r="V31" i="1"/>
  <c r="W31" i="1" s="1"/>
  <c r="V38" i="1"/>
  <c r="V40" i="1"/>
  <c r="W40" i="1" s="1"/>
  <c r="V35" i="1"/>
  <c r="V46" i="1"/>
  <c r="W46" i="1" s="1"/>
  <c r="V42" i="1"/>
  <c r="W42" i="1" s="1"/>
  <c r="V44" i="1"/>
  <c r="V37" i="1"/>
  <c r="W37" i="1" s="1"/>
  <c r="V43" i="1"/>
  <c r="W43" i="1" s="1"/>
  <c r="V39" i="1"/>
  <c r="W39" i="1" s="1"/>
  <c r="W44" i="1" l="1"/>
  <c r="W24" i="1"/>
  <c r="W35" i="1"/>
  <c r="W27" i="1"/>
  <c r="W45" i="1"/>
  <c r="W32" i="1"/>
  <c r="W34" i="1"/>
  <c r="W26" i="1"/>
  <c r="W38" i="1"/>
  <c r="W28" i="1"/>
  <c r="W41" i="1"/>
</calcChain>
</file>

<file path=xl/sharedStrings.xml><?xml version="1.0" encoding="utf-8"?>
<sst xmlns="http://schemas.openxmlformats.org/spreadsheetml/2006/main" count="62" uniqueCount="57">
  <si>
    <t>Ккрит</t>
  </si>
  <si>
    <t>К</t>
  </si>
  <si>
    <t>медиана</t>
  </si>
  <si>
    <t>НюКрит</t>
  </si>
  <si>
    <t>Ню</t>
  </si>
  <si>
    <t>индекс</t>
  </si>
  <si>
    <t>t</t>
  </si>
  <si>
    <t>y</t>
  </si>
  <si>
    <t>откл.</t>
  </si>
  <si>
    <t>серия</t>
  </si>
  <si>
    <t>длина сер.</t>
  </si>
  <si>
    <t>тренд</t>
  </si>
  <si>
    <t>у-тренд</t>
  </si>
  <si>
    <t>S</t>
  </si>
  <si>
    <t>1)   Январь – март      1998</t>
  </si>
  <si>
    <t>регрессия</t>
  </si>
  <si>
    <t>2)   Апрель  –  июнь</t>
  </si>
  <si>
    <t>3)   Июль ­­– сентябрь</t>
  </si>
  <si>
    <t>4)   Октябрь – декабрь</t>
  </si>
  <si>
    <t>5)  Январь – март      1999</t>
  </si>
  <si>
    <t>6) Апрель  –  июнь</t>
  </si>
  <si>
    <t>7) Июль ­­– сентябрь</t>
  </si>
  <si>
    <t>8) Октябрь – декабрь</t>
  </si>
  <si>
    <t>9) Январь – март    2000</t>
  </si>
  <si>
    <t>10) Апрель  –  июнь</t>
  </si>
  <si>
    <t>11) Июль ­­– сентябрь</t>
  </si>
  <si>
    <t>12) Октябрь – декабрь</t>
  </si>
  <si>
    <t>13) Январь – март   2001</t>
  </si>
  <si>
    <t>14) Апрель  –  июнь</t>
  </si>
  <si>
    <t>15) Июль ­­– сентябрь</t>
  </si>
  <si>
    <t>серий</t>
  </si>
  <si>
    <t>кол-во серий</t>
  </si>
  <si>
    <t>16) Октябрь – декабрь</t>
  </si>
  <si>
    <t>макс. Длина серии</t>
  </si>
  <si>
    <t>17) Январь – март     2002</t>
  </si>
  <si>
    <t>Точка перелома</t>
  </si>
  <si>
    <t>18) Апрель  –  июнь</t>
  </si>
  <si>
    <t>s</t>
  </si>
  <si>
    <t>у новое</t>
  </si>
  <si>
    <t>остаток</t>
  </si>
  <si>
    <t>длина</t>
  </si>
  <si>
    <t>19) Июль ­­– сентябрь</t>
  </si>
  <si>
    <t>20) Октябрь – декабрь</t>
  </si>
  <si>
    <t>21) Январь – март    2003</t>
  </si>
  <si>
    <t>22) Апрель  –  июнь</t>
  </si>
  <si>
    <t>23) Июль ­­– сентябрь</t>
  </si>
  <si>
    <t>24) Октябрь – декабрь</t>
  </si>
  <si>
    <t>дисп</t>
  </si>
  <si>
    <t>регр.</t>
  </si>
  <si>
    <t>tкрит</t>
  </si>
  <si>
    <t>dL</t>
  </si>
  <si>
    <t>для сез.</t>
  </si>
  <si>
    <t xml:space="preserve">t </t>
  </si>
  <si>
    <t>dU</t>
  </si>
  <si>
    <t>dw</t>
  </si>
  <si>
    <t>Ж-Б</t>
  </si>
  <si>
    <t>Хи2Крит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</si>
</sst>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6" formatCode="#,##0.0000000000000"/>
  </numFmts>
  <fonts count="8">
    <font>
      <sz val="12"/>
      <color theme="1"/>
      <name val="Calibri"/>
      <family val="2"/>
      <charset val="204"/>
      <scheme val="minor"/>
    </font>
    <font>
      <sz val="10"/>
      <color indexed="8"/>
      <name val="Times New Roman"/>
      <family val="1"/>
    </font>
    <font>
      <b/>
      <sz val="14"/>
      <name val="Arial Cyr"/>
      <charset val="204"/>
    </font>
    <font>
      <sz val="14"/>
      <name val="Arial Cyr"/>
      <charset val="204"/>
    </font>
    <font>
      <b/>
      <sz val="14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Arial CYR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right" wrapText="1"/>
    </xf>
    <xf numFmtId="166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3" xfId="0" applyFont="1" applyBorder="1"/>
    <xf numFmtId="166" fontId="0" fillId="0" borderId="8" xfId="0" applyNumberFormat="1" applyBorder="1"/>
    <xf numFmtId="0" fontId="7" fillId="0" borderId="5" xfId="0" applyFont="1" applyBorder="1"/>
    <xf numFmtId="165" fontId="0" fillId="0" borderId="8" xfId="0" applyNumberFormat="1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20" xfId="0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с прогнозом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Лист1!$A$5:$A$28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Лист1!$C$5:$C$28</c:f>
              <c:numCache>
                <c:formatCode>General</c:formatCode>
                <c:ptCount val="24"/>
                <c:pt idx="0">
                  <c:v>30.45965</c:v>
                </c:pt>
                <c:pt idx="1">
                  <c:v>42.903480000000002</c:v>
                </c:pt>
                <c:pt idx="2">
                  <c:v>54.09639</c:v>
                </c:pt>
                <c:pt idx="3">
                  <c:v>41.55471</c:v>
                </c:pt>
                <c:pt idx="4">
                  <c:v>36.347529999999999</c:v>
                </c:pt>
                <c:pt idx="5">
                  <c:v>51.059699999999999</c:v>
                </c:pt>
                <c:pt idx="6">
                  <c:v>54.094619999999999</c:v>
                </c:pt>
                <c:pt idx="7">
                  <c:v>42.928730000000002</c:v>
                </c:pt>
                <c:pt idx="8">
                  <c:v>39.832529999999998</c:v>
                </c:pt>
                <c:pt idx="9">
                  <c:v>50.469949999999997</c:v>
                </c:pt>
                <c:pt idx="10">
                  <c:v>59.974690000000002</c:v>
                </c:pt>
                <c:pt idx="11">
                  <c:v>44.384349999999998</c:v>
                </c:pt>
                <c:pt idx="12">
                  <c:v>39.059629999999999</c:v>
                </c:pt>
                <c:pt idx="13">
                  <c:v>54.273560000000003</c:v>
                </c:pt>
                <c:pt idx="14">
                  <c:v>63.489739999999998</c:v>
                </c:pt>
                <c:pt idx="15">
                  <c:v>51.383099999999999</c:v>
                </c:pt>
                <c:pt idx="16">
                  <c:v>52.618110000000001</c:v>
                </c:pt>
                <c:pt idx="17">
                  <c:v>70.773929999999993</c:v>
                </c:pt>
                <c:pt idx="18">
                  <c:v>84.492279999999994</c:v>
                </c:pt>
                <c:pt idx="19">
                  <c:v>73.651759999999996</c:v>
                </c:pt>
                <c:pt idx="20">
                  <c:v>72.619510000000005</c:v>
                </c:pt>
                <c:pt idx="21">
                  <c:v>90.464640000000003</c:v>
                </c:pt>
                <c:pt idx="22">
                  <c:v>105.944</c:v>
                </c:pt>
                <c:pt idx="23">
                  <c:v>93.712069999999997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89-A74E-AA6A-C6B9D99911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Лист1!$A$32:$A$35</c:f>
              <c:numCache>
                <c:formatCode>General</c:formatCode>
                <c:ptCount val="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</c:numCache>
            </c:numRef>
          </c:xVal>
          <c:yVal>
            <c:numRef>
              <c:f>Лист1!$C$32:$C$35</c:f>
              <c:numCache>
                <c:formatCode>General</c:formatCode>
                <c:ptCount val="4"/>
                <c:pt idx="0">
                  <c:v>90.379187068248257</c:v>
                </c:pt>
                <c:pt idx="1">
                  <c:v>108.14644623998625</c:v>
                </c:pt>
                <c:pt idx="2">
                  <c:v>121.43673207839093</c:v>
                </c:pt>
                <c:pt idx="3">
                  <c:v>111.22330562386109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89-A74E-AA6A-C6B9D9991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073231"/>
        <c:axId val="1773863119"/>
      </c:scatterChart>
      <c:valAx>
        <c:axId val="177407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863119"/>
        <c:crosses val="autoZero"/>
        <c:crossBetween val="midCat"/>
      </c:valAx>
      <c:valAx>
        <c:axId val="17738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407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y(t)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Лист1!$A$5:$A$28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Лист1!$C$5:$C$28</c:f>
              <c:numCache>
                <c:formatCode>General</c:formatCode>
                <c:ptCount val="24"/>
                <c:pt idx="0">
                  <c:v>30.45965</c:v>
                </c:pt>
                <c:pt idx="1">
                  <c:v>42.903480000000002</c:v>
                </c:pt>
                <c:pt idx="2">
                  <c:v>54.09639</c:v>
                </c:pt>
                <c:pt idx="3">
                  <c:v>41.55471</c:v>
                </c:pt>
                <c:pt idx="4">
                  <c:v>36.347529999999999</c:v>
                </c:pt>
                <c:pt idx="5">
                  <c:v>51.059699999999999</c:v>
                </c:pt>
                <c:pt idx="6">
                  <c:v>54.094619999999999</c:v>
                </c:pt>
                <c:pt idx="7">
                  <c:v>42.928730000000002</c:v>
                </c:pt>
                <c:pt idx="8">
                  <c:v>39.832529999999998</c:v>
                </c:pt>
                <c:pt idx="9">
                  <c:v>50.469949999999997</c:v>
                </c:pt>
                <c:pt idx="10">
                  <c:v>59.974690000000002</c:v>
                </c:pt>
                <c:pt idx="11">
                  <c:v>44.384349999999998</c:v>
                </c:pt>
                <c:pt idx="12">
                  <c:v>39.059629999999999</c:v>
                </c:pt>
                <c:pt idx="13">
                  <c:v>54.273560000000003</c:v>
                </c:pt>
                <c:pt idx="14">
                  <c:v>63.489739999999998</c:v>
                </c:pt>
                <c:pt idx="15">
                  <c:v>51.383099999999999</c:v>
                </c:pt>
                <c:pt idx="16">
                  <c:v>52.618110000000001</c:v>
                </c:pt>
                <c:pt idx="17">
                  <c:v>70.773929999999993</c:v>
                </c:pt>
                <c:pt idx="18">
                  <c:v>84.492279999999994</c:v>
                </c:pt>
                <c:pt idx="19">
                  <c:v>73.651759999999996</c:v>
                </c:pt>
                <c:pt idx="20">
                  <c:v>72.619510000000005</c:v>
                </c:pt>
                <c:pt idx="21">
                  <c:v>90.464640000000003</c:v>
                </c:pt>
                <c:pt idx="22">
                  <c:v>105.944</c:v>
                </c:pt>
                <c:pt idx="23">
                  <c:v>93.712069999999997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F-3C4D-82B2-02EF04676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18655"/>
        <c:axId val="1773423119"/>
      </c:scatterChart>
      <c:valAx>
        <c:axId val="177341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423119"/>
        <c:crosses val="autoZero"/>
        <c:crossBetween val="midCat"/>
      </c:valAx>
      <c:valAx>
        <c:axId val="17734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41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Тренд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Лист1!$A$5:$A$28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Лист1!$C$5:$C$28</c:f>
              <c:numCache>
                <c:formatCode>General</c:formatCode>
                <c:ptCount val="24"/>
                <c:pt idx="0">
                  <c:v>30.45965</c:v>
                </c:pt>
                <c:pt idx="1">
                  <c:v>42.903480000000002</c:v>
                </c:pt>
                <c:pt idx="2">
                  <c:v>54.09639</c:v>
                </c:pt>
                <c:pt idx="3">
                  <c:v>41.55471</c:v>
                </c:pt>
                <c:pt idx="4">
                  <c:v>36.347529999999999</c:v>
                </c:pt>
                <c:pt idx="5">
                  <c:v>51.059699999999999</c:v>
                </c:pt>
                <c:pt idx="6">
                  <c:v>54.094619999999999</c:v>
                </c:pt>
                <c:pt idx="7">
                  <c:v>42.928730000000002</c:v>
                </c:pt>
                <c:pt idx="8">
                  <c:v>39.832529999999998</c:v>
                </c:pt>
                <c:pt idx="9">
                  <c:v>50.469949999999997</c:v>
                </c:pt>
                <c:pt idx="10">
                  <c:v>59.974690000000002</c:v>
                </c:pt>
                <c:pt idx="11">
                  <c:v>44.384349999999998</c:v>
                </c:pt>
                <c:pt idx="12">
                  <c:v>39.059629999999999</c:v>
                </c:pt>
                <c:pt idx="13">
                  <c:v>54.273560000000003</c:v>
                </c:pt>
                <c:pt idx="14">
                  <c:v>63.489739999999998</c:v>
                </c:pt>
                <c:pt idx="15">
                  <c:v>51.383099999999999</c:v>
                </c:pt>
                <c:pt idx="16">
                  <c:v>52.618110000000001</c:v>
                </c:pt>
                <c:pt idx="17">
                  <c:v>70.773929999999993</c:v>
                </c:pt>
                <c:pt idx="18">
                  <c:v>84.492279999999994</c:v>
                </c:pt>
                <c:pt idx="19">
                  <c:v>73.651759999999996</c:v>
                </c:pt>
                <c:pt idx="20">
                  <c:v>72.619510000000005</c:v>
                </c:pt>
                <c:pt idx="21">
                  <c:v>90.464640000000003</c:v>
                </c:pt>
                <c:pt idx="22">
                  <c:v>105.944</c:v>
                </c:pt>
                <c:pt idx="23">
                  <c:v>93.712069999999997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D6-CA4E-A5FD-169B2823A45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Лист1!$A$5:$A$28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Лист1!$Q$23:$Q$46</c:f>
              <c:numCache>
                <c:formatCode>General</c:formatCode>
                <c:ptCount val="24"/>
                <c:pt idx="0">
                  <c:v>40.664651824308052</c:v>
                </c:pt>
                <c:pt idx="1">
                  <c:v>41.485993842874322</c:v>
                </c:pt>
                <c:pt idx="2">
                  <c:v>42.307335861440592</c:v>
                </c:pt>
                <c:pt idx="3">
                  <c:v>43.128677880006869</c:v>
                </c:pt>
                <c:pt idx="4">
                  <c:v>43.950019898573139</c:v>
                </c:pt>
                <c:pt idx="5">
                  <c:v>44.771361917139409</c:v>
                </c:pt>
                <c:pt idx="6">
                  <c:v>45.592703935705678</c:v>
                </c:pt>
                <c:pt idx="7">
                  <c:v>46.414045954271948</c:v>
                </c:pt>
                <c:pt idx="8">
                  <c:v>47.235387972838218</c:v>
                </c:pt>
                <c:pt idx="9">
                  <c:v>48.056729991404495</c:v>
                </c:pt>
                <c:pt idx="10">
                  <c:v>48.878072009970765</c:v>
                </c:pt>
                <c:pt idx="11">
                  <c:v>49.699414028537035</c:v>
                </c:pt>
                <c:pt idx="12">
                  <c:v>50.520756047103305</c:v>
                </c:pt>
                <c:pt idx="13">
                  <c:v>51.342098065669575</c:v>
                </c:pt>
                <c:pt idx="14">
                  <c:v>52.163440084235845</c:v>
                </c:pt>
                <c:pt idx="15">
                  <c:v>57.38359586040913</c:v>
                </c:pt>
                <c:pt idx="16">
                  <c:v>62.603751636582423</c:v>
                </c:pt>
                <c:pt idx="17">
                  <c:v>67.823907412755702</c:v>
                </c:pt>
                <c:pt idx="18">
                  <c:v>73.044063188928988</c:v>
                </c:pt>
                <c:pt idx="19">
                  <c:v>78.264218965102273</c:v>
                </c:pt>
                <c:pt idx="20">
                  <c:v>83.484374741275559</c:v>
                </c:pt>
                <c:pt idx="21">
                  <c:v>88.704530517448859</c:v>
                </c:pt>
                <c:pt idx="22">
                  <c:v>93.924686293622131</c:v>
                </c:pt>
                <c:pt idx="23">
                  <c:v>99.14484206979543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D6-CA4E-A5FD-169B2823A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72767"/>
        <c:axId val="1773234239"/>
      </c:scatterChart>
      <c:valAx>
        <c:axId val="177317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234239"/>
        <c:crosses val="autoZero"/>
        <c:crossBetween val="midCat"/>
      </c:valAx>
      <c:valAx>
        <c:axId val="17732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17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y(t),</a:t>
            </a:r>
            <a:r>
              <a:rPr lang="en-US" baseline="0"/>
              <a:t> т</a:t>
            </a:r>
            <a:r>
              <a:rPr lang="ru-RU" baseline="0"/>
              <a:t>ренд и расчет 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Лист1!$A$5:$A$28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Лист1!$C$5:$C$28</c:f>
              <c:numCache>
                <c:formatCode>General</c:formatCode>
                <c:ptCount val="24"/>
                <c:pt idx="0">
                  <c:v>30.45965</c:v>
                </c:pt>
                <c:pt idx="1">
                  <c:v>42.903480000000002</c:v>
                </c:pt>
                <c:pt idx="2">
                  <c:v>54.09639</c:v>
                </c:pt>
                <c:pt idx="3">
                  <c:v>41.55471</c:v>
                </c:pt>
                <c:pt idx="4">
                  <c:v>36.347529999999999</c:v>
                </c:pt>
                <c:pt idx="5">
                  <c:v>51.059699999999999</c:v>
                </c:pt>
                <c:pt idx="6">
                  <c:v>54.094619999999999</c:v>
                </c:pt>
                <c:pt idx="7">
                  <c:v>42.928730000000002</c:v>
                </c:pt>
                <c:pt idx="8">
                  <c:v>39.832529999999998</c:v>
                </c:pt>
                <c:pt idx="9">
                  <c:v>50.469949999999997</c:v>
                </c:pt>
                <c:pt idx="10">
                  <c:v>59.974690000000002</c:v>
                </c:pt>
                <c:pt idx="11">
                  <c:v>44.384349999999998</c:v>
                </c:pt>
                <c:pt idx="12">
                  <c:v>39.059629999999999</c:v>
                </c:pt>
                <c:pt idx="13">
                  <c:v>54.273560000000003</c:v>
                </c:pt>
                <c:pt idx="14">
                  <c:v>63.489739999999998</c:v>
                </c:pt>
                <c:pt idx="15">
                  <c:v>51.383099999999999</c:v>
                </c:pt>
                <c:pt idx="16">
                  <c:v>52.618110000000001</c:v>
                </c:pt>
                <c:pt idx="17">
                  <c:v>70.773929999999993</c:v>
                </c:pt>
                <c:pt idx="18">
                  <c:v>84.492279999999994</c:v>
                </c:pt>
                <c:pt idx="19">
                  <c:v>73.651759999999996</c:v>
                </c:pt>
                <c:pt idx="20">
                  <c:v>72.619510000000005</c:v>
                </c:pt>
                <c:pt idx="21">
                  <c:v>90.464640000000003</c:v>
                </c:pt>
                <c:pt idx="22">
                  <c:v>105.944</c:v>
                </c:pt>
                <c:pt idx="23">
                  <c:v>93.712069999999997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C0-2E45-A6B6-FE98FBD7AF2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Лист1!$A$5:$A$28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Лист1!$S$23:$S$46</c:f>
              <c:numCache>
                <c:formatCode>#\ ##0.000</c:formatCode>
                <c:ptCount val="24"/>
                <c:pt idx="0">
                  <c:v>31.077654804194601</c:v>
                </c:pt>
                <c:pt idx="1">
                  <c:v>44.446100218325597</c:v>
                </c:pt>
                <c:pt idx="2">
                  <c:v>53.337572299123259</c:v>
                </c:pt>
                <c:pt idx="3">
                  <c:v>38.72533208698642</c:v>
                </c:pt>
                <c:pt idx="4">
                  <c:v>34.363022878459688</c:v>
                </c:pt>
                <c:pt idx="5">
                  <c:v>47.731468292590684</c:v>
                </c:pt>
                <c:pt idx="6">
                  <c:v>56.622940373388346</c:v>
                </c:pt>
                <c:pt idx="7">
                  <c:v>42.010700161251499</c:v>
                </c:pt>
                <c:pt idx="8">
                  <c:v>37.648390952724768</c:v>
                </c:pt>
                <c:pt idx="9">
                  <c:v>51.01683636685577</c:v>
                </c:pt>
                <c:pt idx="10">
                  <c:v>59.908308447653432</c:v>
                </c:pt>
                <c:pt idx="11">
                  <c:v>45.296068235516586</c:v>
                </c:pt>
                <c:pt idx="12">
                  <c:v>40.933759026989854</c:v>
                </c:pt>
                <c:pt idx="13">
                  <c:v>54.30220444112085</c:v>
                </c:pt>
                <c:pt idx="14">
                  <c:v>63.193676521918512</c:v>
                </c:pt>
                <c:pt idx="15">
                  <c:v>52.980250067388681</c:v>
                </c:pt>
                <c:pt idx="16">
                  <c:v>53.016754616468972</c:v>
                </c:pt>
                <c:pt idx="17">
                  <c:v>70.784013788206977</c:v>
                </c:pt>
                <c:pt idx="18">
                  <c:v>84.074299626611648</c:v>
                </c:pt>
                <c:pt idx="19">
                  <c:v>73.860873172081824</c:v>
                </c:pt>
                <c:pt idx="20">
                  <c:v>73.897377721162115</c:v>
                </c:pt>
                <c:pt idx="21">
                  <c:v>91.664636892900134</c:v>
                </c:pt>
                <c:pt idx="22">
                  <c:v>104.95492273130479</c:v>
                </c:pt>
                <c:pt idx="23">
                  <c:v>94.741496276774981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C0-2E45-A6B6-FE98FBD7AF2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Лист1!$A$5:$A$28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Лист1!$Q$23:$Q$46</c:f>
              <c:numCache>
                <c:formatCode>General</c:formatCode>
                <c:ptCount val="24"/>
                <c:pt idx="0">
                  <c:v>40.664651824308052</c:v>
                </c:pt>
                <c:pt idx="1">
                  <c:v>41.485993842874322</c:v>
                </c:pt>
                <c:pt idx="2">
                  <c:v>42.307335861440592</c:v>
                </c:pt>
                <c:pt idx="3">
                  <c:v>43.128677880006869</c:v>
                </c:pt>
                <c:pt idx="4">
                  <c:v>43.950019898573139</c:v>
                </c:pt>
                <c:pt idx="5">
                  <c:v>44.771361917139409</c:v>
                </c:pt>
                <c:pt idx="6">
                  <c:v>45.592703935705678</c:v>
                </c:pt>
                <c:pt idx="7">
                  <c:v>46.414045954271948</c:v>
                </c:pt>
                <c:pt idx="8">
                  <c:v>47.235387972838218</c:v>
                </c:pt>
                <c:pt idx="9">
                  <c:v>48.056729991404495</c:v>
                </c:pt>
                <c:pt idx="10">
                  <c:v>48.878072009970765</c:v>
                </c:pt>
                <c:pt idx="11">
                  <c:v>49.699414028537035</c:v>
                </c:pt>
                <c:pt idx="12">
                  <c:v>50.520756047103305</c:v>
                </c:pt>
                <c:pt idx="13">
                  <c:v>51.342098065669575</c:v>
                </c:pt>
                <c:pt idx="14">
                  <c:v>52.163440084235845</c:v>
                </c:pt>
                <c:pt idx="15">
                  <c:v>57.38359586040913</c:v>
                </c:pt>
                <c:pt idx="16">
                  <c:v>62.603751636582423</c:v>
                </c:pt>
                <c:pt idx="17">
                  <c:v>67.823907412755702</c:v>
                </c:pt>
                <c:pt idx="18">
                  <c:v>73.044063188928988</c:v>
                </c:pt>
                <c:pt idx="19">
                  <c:v>78.264218965102273</c:v>
                </c:pt>
                <c:pt idx="20">
                  <c:v>83.484374741275559</c:v>
                </c:pt>
                <c:pt idx="21">
                  <c:v>88.704530517448859</c:v>
                </c:pt>
                <c:pt idx="22">
                  <c:v>93.924686293622131</c:v>
                </c:pt>
                <c:pt idx="23">
                  <c:v>99.14484206979543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C0-2E45-A6B6-FE98FBD7A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931071"/>
        <c:axId val="1534932719"/>
      </c:scatterChart>
      <c:valAx>
        <c:axId val="153493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932719"/>
        <c:crosses val="autoZero"/>
        <c:crossBetween val="midCat"/>
      </c:valAx>
      <c:valAx>
        <c:axId val="153493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93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36</xdr:row>
      <xdr:rowOff>25400</xdr:rowOff>
    </xdr:from>
    <xdr:to>
      <xdr:col>4</xdr:col>
      <xdr:colOff>292100</xdr:colOff>
      <xdr:row>49</xdr:row>
      <xdr:rowOff>88900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2C1745E-51E9-0646-8A84-3D63DE7E6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825500</xdr:colOff>
      <xdr:row>0</xdr:row>
      <xdr:rowOff>101600</xdr:rowOff>
    </xdr:from>
    <xdr:to>
      <xdr:col>31</xdr:col>
      <xdr:colOff>419100</xdr:colOff>
      <xdr:row>13</xdr:row>
      <xdr:rowOff>139700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39CA98F-D1DB-9340-8433-0ACC6FAC9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12700</xdr:colOff>
      <xdr:row>16</xdr:row>
      <xdr:rowOff>38100</xdr:rowOff>
    </xdr:from>
    <xdr:to>
      <xdr:col>31</xdr:col>
      <xdr:colOff>431800</xdr:colOff>
      <xdr:row>29</xdr:row>
      <xdr:rowOff>127000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EC15886-4A01-E643-8DCC-3566647E2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50800</xdr:colOff>
      <xdr:row>31</xdr:row>
      <xdr:rowOff>63500</xdr:rowOff>
    </xdr:from>
    <xdr:to>
      <xdr:col>31</xdr:col>
      <xdr:colOff>469900</xdr:colOff>
      <xdr:row>44</xdr:row>
      <xdr:rowOff>165100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FEA2F10-D44C-A747-AECB-159B1CB91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manychev/Downloads/Budlov_E_O_raschety_4_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4">
          <cell r="C4" t="str">
            <v>y</v>
          </cell>
        </row>
        <row r="5">
          <cell r="A5">
            <v>1</v>
          </cell>
          <cell r="C5">
            <v>30.45965</v>
          </cell>
        </row>
        <row r="6">
          <cell r="A6">
            <v>2</v>
          </cell>
          <cell r="C6">
            <v>42.903480000000002</v>
          </cell>
        </row>
        <row r="7">
          <cell r="A7">
            <v>3</v>
          </cell>
          <cell r="C7">
            <v>54.09639</v>
          </cell>
        </row>
        <row r="8">
          <cell r="A8">
            <v>4</v>
          </cell>
          <cell r="C8">
            <v>41.55471</v>
          </cell>
        </row>
        <row r="9">
          <cell r="A9">
            <v>5</v>
          </cell>
          <cell r="C9">
            <v>36.347529999999999</v>
          </cell>
        </row>
        <row r="10">
          <cell r="A10">
            <v>6</v>
          </cell>
          <cell r="C10">
            <v>51.059699999999999</v>
          </cell>
        </row>
        <row r="11">
          <cell r="A11">
            <v>7</v>
          </cell>
          <cell r="C11">
            <v>54.094619999999999</v>
          </cell>
        </row>
        <row r="12">
          <cell r="A12">
            <v>8</v>
          </cell>
          <cell r="C12">
            <v>42.928730000000002</v>
          </cell>
        </row>
        <row r="13">
          <cell r="A13">
            <v>9</v>
          </cell>
          <cell r="C13">
            <v>39.832529999999998</v>
          </cell>
        </row>
        <row r="14">
          <cell r="A14">
            <v>10</v>
          </cell>
          <cell r="C14">
            <v>50.469949999999997</v>
          </cell>
        </row>
        <row r="15">
          <cell r="A15">
            <v>11</v>
          </cell>
          <cell r="C15">
            <v>59.974690000000002</v>
          </cell>
        </row>
        <row r="16">
          <cell r="A16">
            <v>12</v>
          </cell>
          <cell r="C16">
            <v>44.384349999999998</v>
          </cell>
        </row>
        <row r="17">
          <cell r="A17">
            <v>13</v>
          </cell>
          <cell r="C17">
            <v>39.059629999999999</v>
          </cell>
        </row>
        <row r="18">
          <cell r="A18">
            <v>14</v>
          </cell>
          <cell r="C18">
            <v>54.273560000000003</v>
          </cell>
        </row>
        <row r="19">
          <cell r="A19">
            <v>15</v>
          </cell>
          <cell r="C19">
            <v>63.489739999999998</v>
          </cell>
        </row>
        <row r="20">
          <cell r="A20">
            <v>16</v>
          </cell>
          <cell r="C20">
            <v>51.383099999999999</v>
          </cell>
        </row>
        <row r="21">
          <cell r="A21">
            <v>17</v>
          </cell>
          <cell r="C21">
            <v>52.618110000000001</v>
          </cell>
        </row>
        <row r="22">
          <cell r="A22">
            <v>18</v>
          </cell>
          <cell r="C22">
            <v>70.773929999999993</v>
          </cell>
        </row>
        <row r="23">
          <cell r="A23">
            <v>19</v>
          </cell>
          <cell r="C23">
            <v>84.492279999999994</v>
          </cell>
        </row>
        <row r="24">
          <cell r="A24">
            <v>20</v>
          </cell>
          <cell r="C24">
            <v>73.651759999999996</v>
          </cell>
        </row>
        <row r="25">
          <cell r="A25">
            <v>21</v>
          </cell>
          <cell r="C25">
            <v>72.619510000000005</v>
          </cell>
        </row>
        <row r="26">
          <cell r="A26">
            <v>22</v>
          </cell>
          <cell r="C26">
            <v>90.464640000000003</v>
          </cell>
        </row>
        <row r="27">
          <cell r="A27">
            <v>23</v>
          </cell>
          <cell r="C27">
            <v>105.944</v>
          </cell>
        </row>
        <row r="28">
          <cell r="A28">
            <v>24</v>
          </cell>
          <cell r="C28">
            <v>93.712069999999997</v>
          </cell>
        </row>
        <row r="32">
          <cell r="A32">
            <v>25</v>
          </cell>
          <cell r="C32">
            <v>90.379187068248257</v>
          </cell>
        </row>
        <row r="33">
          <cell r="A33">
            <v>26</v>
          </cell>
          <cell r="C33">
            <v>108.14644623998625</v>
          </cell>
        </row>
        <row r="34">
          <cell r="A34">
            <v>27</v>
          </cell>
          <cell r="C34">
            <v>121.43673207839093</v>
          </cell>
        </row>
        <row r="35">
          <cell r="A35">
            <v>28</v>
          </cell>
          <cell r="C35">
            <v>111.22330562386109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1CAE-4E6D-3C47-A013-027F89F1EF8E}">
  <dimension ref="A1:Z61"/>
  <sheetViews>
    <sheetView tabSelected="1" topLeftCell="B1" zoomScale="68" workbookViewId="0">
      <selection activeCell="S35" sqref="S35"/>
    </sheetView>
  </sheetViews>
  <sheetFormatPr baseColWidth="10" defaultRowHeight="16"/>
  <cols>
    <col min="2" max="2" width="24" customWidth="1"/>
    <col min="7" max="7" width="12.5" customWidth="1"/>
    <col min="8" max="8" width="14" customWidth="1"/>
    <col min="10" max="10" width="15" customWidth="1"/>
    <col min="11" max="11" width="14.83203125" customWidth="1"/>
    <col min="12" max="12" width="13.1640625" customWidth="1"/>
    <col min="22" max="22" width="17.83203125" customWidth="1"/>
  </cols>
  <sheetData>
    <row r="1" spans="1:20">
      <c r="B1" s="1"/>
      <c r="C1" s="1"/>
      <c r="G1" t="s">
        <v>0</v>
      </c>
      <c r="H1">
        <f>3.3*LOG10( COUNT(C5:C28)+1)</f>
        <v>4.6132020286177244</v>
      </c>
      <c r="J1" t="s">
        <v>1</v>
      </c>
      <c r="K1">
        <v>6</v>
      </c>
    </row>
    <row r="2" spans="1:20">
      <c r="B2" s="1"/>
      <c r="C2" s="1"/>
      <c r="D2" s="26" t="s">
        <v>2</v>
      </c>
      <c r="E2" s="39">
        <f>MEDIAN(C5:C28)</f>
        <v>53.356364999999997</v>
      </c>
      <c r="F2" s="26"/>
      <c r="G2" t="s">
        <v>3</v>
      </c>
      <c r="H2">
        <f>(25-1.96*SQRT(23))/2</f>
        <v>7.8000851071535351</v>
      </c>
      <c r="J2" t="s">
        <v>4</v>
      </c>
      <c r="K2">
        <v>13</v>
      </c>
    </row>
    <row r="3" spans="1:20">
      <c r="B3" s="1"/>
      <c r="C3" s="1"/>
      <c r="D3" s="26"/>
      <c r="E3" s="39"/>
      <c r="F3" s="26"/>
      <c r="O3" s="26" t="s">
        <v>5</v>
      </c>
      <c r="P3" s="26"/>
      <c r="Q3" s="26"/>
      <c r="R3" s="26"/>
      <c r="S3" s="26"/>
      <c r="T3" s="26"/>
    </row>
    <row r="4" spans="1:20" ht="20" thickBot="1">
      <c r="A4" s="3" t="s">
        <v>6</v>
      </c>
      <c r="B4" s="4"/>
      <c r="C4" s="5" t="s">
        <v>7</v>
      </c>
      <c r="D4" s="26" t="s">
        <v>8</v>
      </c>
      <c r="E4" s="26" t="s">
        <v>9</v>
      </c>
      <c r="F4" s="26" t="s">
        <v>10</v>
      </c>
      <c r="J4" s="44" t="s">
        <v>11</v>
      </c>
      <c r="K4" s="44" t="s">
        <v>12</v>
      </c>
      <c r="L4" s="44" t="s">
        <v>13</v>
      </c>
      <c r="O4" s="26">
        <v>1</v>
      </c>
      <c r="P4" s="26">
        <v>5</v>
      </c>
      <c r="Q4" s="26">
        <v>9</v>
      </c>
      <c r="R4" s="26">
        <v>13</v>
      </c>
      <c r="S4" s="26">
        <v>17</v>
      </c>
      <c r="T4" s="26">
        <v>21</v>
      </c>
    </row>
    <row r="5" spans="1:20">
      <c r="A5" s="27">
        <v>1</v>
      </c>
      <c r="B5" s="6" t="s">
        <v>14</v>
      </c>
      <c r="C5" s="7">
        <v>30.45965</v>
      </c>
      <c r="D5" s="26">
        <f>IF(C5&lt;$E$2,-1, 1)</f>
        <v>-1</v>
      </c>
      <c r="E5" s="26"/>
      <c r="F5" s="26"/>
      <c r="G5" s="8" t="s">
        <v>15</v>
      </c>
      <c r="H5" s="9"/>
      <c r="J5" s="44">
        <f>$H$6+$G$6*A5</f>
        <v>31.427142933333329</v>
      </c>
      <c r="K5" s="45">
        <f>C5-J5</f>
        <v>-0.96749293333332886</v>
      </c>
      <c r="L5" s="44">
        <f>SUM(O11:T11)/6</f>
        <v>-9.6889984985507169</v>
      </c>
      <c r="O5" s="26">
        <v>2</v>
      </c>
      <c r="P5" s="26">
        <v>6</v>
      </c>
      <c r="Q5" s="26">
        <v>10</v>
      </c>
      <c r="R5" s="26">
        <v>14</v>
      </c>
      <c r="S5" s="26">
        <v>18</v>
      </c>
      <c r="T5" s="26">
        <v>22</v>
      </c>
    </row>
    <row r="6" spans="1:20">
      <c r="A6" s="28">
        <v>2</v>
      </c>
      <c r="B6" s="6" t="s">
        <v>16</v>
      </c>
      <c r="C6" s="7">
        <v>42.903480000000002</v>
      </c>
      <c r="D6" s="26">
        <f t="shared" ref="D6:D28" si="0">IF(C6&lt;$E$2,-1, 1)</f>
        <v>-1</v>
      </c>
      <c r="E6" s="26">
        <f>IF(D6&lt;&gt;D5, 1, 0)</f>
        <v>0</v>
      </c>
      <c r="F6" s="26">
        <v>2</v>
      </c>
      <c r="G6" s="40">
        <f t="array" ref="G6:H10">LINEST(C5:C28,A5:A28,1,1)</f>
        <v>2.3418015565217387</v>
      </c>
      <c r="H6" s="41">
        <v>29.085341376811591</v>
      </c>
      <c r="J6" s="44">
        <f t="shared" ref="J6:J28" si="1">$H$6+$G$6*A6</f>
        <v>33.768944489855066</v>
      </c>
      <c r="K6" s="45">
        <f t="shared" ref="K6:K28" si="2">C6-J6</f>
        <v>9.1345355101449357</v>
      </c>
      <c r="L6" s="44">
        <f>SUM(O12:T12)/6</f>
        <v>2.8039166115942096</v>
      </c>
      <c r="O6" s="26">
        <v>3</v>
      </c>
      <c r="P6" s="26">
        <v>7</v>
      </c>
      <c r="Q6" s="26">
        <v>11</v>
      </c>
      <c r="R6" s="26">
        <v>15</v>
      </c>
      <c r="S6" s="26">
        <v>19</v>
      </c>
      <c r="T6" s="26">
        <v>23</v>
      </c>
    </row>
    <row r="7" spans="1:20">
      <c r="A7" s="28">
        <v>3</v>
      </c>
      <c r="B7" s="6" t="s">
        <v>17</v>
      </c>
      <c r="C7" s="7">
        <v>54.09639</v>
      </c>
      <c r="D7" s="26">
        <f t="shared" si="0"/>
        <v>1</v>
      </c>
      <c r="E7" s="26">
        <f t="shared" ref="E7:E28" si="3">IF(D7&lt;&gt;D6, 1, 0)</f>
        <v>1</v>
      </c>
      <c r="F7" s="26"/>
      <c r="G7" s="40">
        <v>0.32818507471990405</v>
      </c>
      <c r="H7" s="41">
        <v>4.6893348498554603</v>
      </c>
      <c r="J7" s="44">
        <f t="shared" si="1"/>
        <v>36.110746046376804</v>
      </c>
      <c r="K7" s="45">
        <f t="shared" si="2"/>
        <v>17.985643953623196</v>
      </c>
      <c r="L7" s="44">
        <f>SUM(O13:T13)/6</f>
        <v>10.819858388405805</v>
      </c>
      <c r="O7" s="26">
        <v>4</v>
      </c>
      <c r="P7" s="26">
        <v>8</v>
      </c>
      <c r="Q7" s="26">
        <v>12</v>
      </c>
      <c r="R7" s="26">
        <v>16</v>
      </c>
      <c r="S7" s="26">
        <v>20</v>
      </c>
      <c r="T7" s="26">
        <v>24</v>
      </c>
    </row>
    <row r="8" spans="1:20">
      <c r="A8" s="28">
        <v>4</v>
      </c>
      <c r="B8" s="6" t="s">
        <v>18</v>
      </c>
      <c r="C8" s="7">
        <v>41.55471</v>
      </c>
      <c r="D8" s="26">
        <f t="shared" si="0"/>
        <v>-1</v>
      </c>
      <c r="E8" s="26">
        <f t="shared" si="3"/>
        <v>1</v>
      </c>
      <c r="F8" s="26">
        <v>2</v>
      </c>
      <c r="G8" s="40">
        <v>0.69828695813134356</v>
      </c>
      <c r="H8" s="41">
        <v>11.129297361435059</v>
      </c>
      <c r="J8" s="44">
        <f t="shared" si="1"/>
        <v>38.452547602898548</v>
      </c>
      <c r="K8" s="45">
        <f t="shared" si="2"/>
        <v>3.102162397101452</v>
      </c>
      <c r="L8" s="44">
        <f>SUM(O14:T14)/6</f>
        <v>-3.9347765014492651</v>
      </c>
      <c r="O8" s="26"/>
      <c r="P8" s="26"/>
      <c r="Q8" s="26"/>
      <c r="R8" s="26"/>
      <c r="S8" s="26"/>
      <c r="T8" s="26"/>
    </row>
    <row r="9" spans="1:20">
      <c r="A9" s="28">
        <v>5</v>
      </c>
      <c r="B9" s="6" t="s">
        <v>19</v>
      </c>
      <c r="C9" s="7">
        <v>36.347529999999999</v>
      </c>
      <c r="D9" s="26">
        <f t="shared" si="0"/>
        <v>-1</v>
      </c>
      <c r="E9" s="26">
        <f t="shared" si="3"/>
        <v>0</v>
      </c>
      <c r="F9" s="26"/>
      <c r="G9" s="40">
        <v>50.916967273748725</v>
      </c>
      <c r="H9" s="41">
        <v>22</v>
      </c>
      <c r="J9" s="44">
        <f t="shared" si="1"/>
        <v>40.794349159420285</v>
      </c>
      <c r="K9" s="45">
        <f t="shared" si="2"/>
        <v>-4.4468191594202864</v>
      </c>
      <c r="L9" s="44">
        <f>L5</f>
        <v>-9.6889984985507169</v>
      </c>
      <c r="O9" s="26"/>
      <c r="P9" s="26"/>
      <c r="Q9" s="26"/>
      <c r="R9" s="26"/>
      <c r="S9" s="26"/>
      <c r="T9" s="26"/>
    </row>
    <row r="10" spans="1:20" ht="17" thickBot="1">
      <c r="A10" s="28">
        <v>6</v>
      </c>
      <c r="B10" s="6" t="s">
        <v>20</v>
      </c>
      <c r="C10" s="7">
        <v>51.059699999999999</v>
      </c>
      <c r="D10" s="26">
        <f t="shared" si="0"/>
        <v>-1</v>
      </c>
      <c r="E10" s="26">
        <f t="shared" si="3"/>
        <v>0</v>
      </c>
      <c r="F10" s="26">
        <v>2</v>
      </c>
      <c r="G10" s="42">
        <v>6306.6397096467863</v>
      </c>
      <c r="H10" s="43">
        <v>2724.9477147033981</v>
      </c>
      <c r="J10" s="44">
        <f t="shared" si="1"/>
        <v>43.136150715942023</v>
      </c>
      <c r="K10" s="45">
        <f t="shared" si="2"/>
        <v>7.9235492840579766</v>
      </c>
      <c r="L10" s="44">
        <f t="shared" ref="L10:L28" si="4">L6</f>
        <v>2.8039166115942096</v>
      </c>
      <c r="O10" s="26"/>
      <c r="P10" s="26"/>
      <c r="Q10" s="26"/>
      <c r="R10" s="26"/>
      <c r="S10" s="26"/>
      <c r="T10" s="26"/>
    </row>
    <row r="11" spans="1:20">
      <c r="A11" s="28">
        <v>7</v>
      </c>
      <c r="B11" s="6" t="s">
        <v>21</v>
      </c>
      <c r="C11" s="7">
        <v>54.094619999999999</v>
      </c>
      <c r="D11" s="26">
        <f t="shared" si="0"/>
        <v>1</v>
      </c>
      <c r="E11" s="26">
        <f t="shared" si="3"/>
        <v>1</v>
      </c>
      <c r="F11" s="26"/>
      <c r="J11" s="44">
        <f t="shared" si="1"/>
        <v>45.477952272463767</v>
      </c>
      <c r="K11" s="45">
        <f t="shared" si="2"/>
        <v>8.6166677275362318</v>
      </c>
      <c r="L11" s="44">
        <f t="shared" si="4"/>
        <v>10.819858388405805</v>
      </c>
      <c r="O11" s="26">
        <f t="shared" ref="O11:T14" si="5">INDEX($K$5:$K$28,O4)</f>
        <v>-0.96749293333332886</v>
      </c>
      <c r="P11" s="26">
        <f t="shared" si="5"/>
        <v>-4.4468191594202864</v>
      </c>
      <c r="Q11" s="26">
        <f t="shared" si="5"/>
        <v>-10.329025385507244</v>
      </c>
      <c r="R11" s="26">
        <f t="shared" si="5"/>
        <v>-20.469131611594193</v>
      </c>
      <c r="S11" s="26">
        <f t="shared" si="5"/>
        <v>-16.277857837681154</v>
      </c>
      <c r="T11" s="26">
        <f t="shared" si="5"/>
        <v>-5.6436640637680995</v>
      </c>
    </row>
    <row r="12" spans="1:20">
      <c r="A12" s="28">
        <v>8</v>
      </c>
      <c r="B12" s="6" t="s">
        <v>22</v>
      </c>
      <c r="C12" s="7">
        <v>42.928730000000002</v>
      </c>
      <c r="D12" s="26">
        <f t="shared" si="0"/>
        <v>-1</v>
      </c>
      <c r="E12" s="26">
        <f t="shared" si="3"/>
        <v>1</v>
      </c>
      <c r="F12" s="26">
        <v>2</v>
      </c>
      <c r="J12" s="44">
        <f t="shared" si="1"/>
        <v>47.819753828985498</v>
      </c>
      <c r="K12" s="45">
        <f t="shared" si="2"/>
        <v>-4.8910238289854959</v>
      </c>
      <c r="L12" s="44">
        <f t="shared" si="4"/>
        <v>-3.9347765014492651</v>
      </c>
      <c r="O12" s="26">
        <f t="shared" si="5"/>
        <v>9.1345355101449357</v>
      </c>
      <c r="P12" s="26">
        <f t="shared" si="5"/>
        <v>7.9235492840579766</v>
      </c>
      <c r="Q12" s="26">
        <f t="shared" si="5"/>
        <v>-2.0334069420289822</v>
      </c>
      <c r="R12" s="26">
        <f t="shared" si="5"/>
        <v>-7.5970031681159327</v>
      </c>
      <c r="S12" s="26">
        <f t="shared" si="5"/>
        <v>-0.46383939420289266</v>
      </c>
      <c r="T12" s="26">
        <f t="shared" si="5"/>
        <v>9.8596643797101535</v>
      </c>
    </row>
    <row r="13" spans="1:20">
      <c r="A13" s="28">
        <v>9</v>
      </c>
      <c r="B13" s="6" t="s">
        <v>23</v>
      </c>
      <c r="C13" s="7">
        <v>39.832529999999998</v>
      </c>
      <c r="D13" s="26">
        <f t="shared" si="0"/>
        <v>-1</v>
      </c>
      <c r="E13" s="26">
        <f t="shared" si="3"/>
        <v>0</v>
      </c>
      <c r="F13" s="26"/>
      <c r="J13" s="44">
        <f t="shared" si="1"/>
        <v>50.161555385507242</v>
      </c>
      <c r="K13" s="45">
        <f t="shared" si="2"/>
        <v>-10.329025385507244</v>
      </c>
      <c r="L13" s="44">
        <f t="shared" si="4"/>
        <v>-9.6889984985507169</v>
      </c>
      <c r="O13" s="26">
        <f t="shared" si="5"/>
        <v>17.985643953623196</v>
      </c>
      <c r="P13" s="26">
        <f t="shared" si="5"/>
        <v>8.6166677275362318</v>
      </c>
      <c r="Q13" s="26">
        <f t="shared" si="5"/>
        <v>5.1295315014492857</v>
      </c>
      <c r="R13" s="26">
        <f t="shared" si="5"/>
        <v>-0.72262472463766869</v>
      </c>
      <c r="S13" s="26">
        <f t="shared" si="5"/>
        <v>10.912709049275364</v>
      </c>
      <c r="T13" s="26">
        <f t="shared" si="5"/>
        <v>22.997222823188423</v>
      </c>
    </row>
    <row r="14" spans="1:20">
      <c r="A14" s="28">
        <v>10</v>
      </c>
      <c r="B14" s="6" t="s">
        <v>24</v>
      </c>
      <c r="C14" s="7">
        <v>50.469949999999997</v>
      </c>
      <c r="D14" s="26">
        <f t="shared" si="0"/>
        <v>-1</v>
      </c>
      <c r="E14" s="26">
        <f t="shared" si="3"/>
        <v>0</v>
      </c>
      <c r="F14" s="26">
        <v>2</v>
      </c>
      <c r="J14" s="44">
        <f t="shared" si="1"/>
        <v>52.503356942028979</v>
      </c>
      <c r="K14" s="45">
        <f t="shared" si="2"/>
        <v>-2.0334069420289822</v>
      </c>
      <c r="L14" s="44">
        <f t="shared" si="4"/>
        <v>2.8039166115942096</v>
      </c>
      <c r="O14" s="26">
        <f t="shared" si="5"/>
        <v>3.102162397101452</v>
      </c>
      <c r="P14" s="26">
        <f t="shared" si="5"/>
        <v>-4.8910238289854959</v>
      </c>
      <c r="Q14" s="26">
        <f t="shared" si="5"/>
        <v>-12.802610055072456</v>
      </c>
      <c r="R14" s="26">
        <f t="shared" si="5"/>
        <v>-15.171066281159412</v>
      </c>
      <c r="S14" s="26">
        <f t="shared" si="5"/>
        <v>-2.2696125072463644</v>
      </c>
      <c r="T14" s="26">
        <f t="shared" si="5"/>
        <v>8.4234912666666872</v>
      </c>
    </row>
    <row r="15" spans="1:20">
      <c r="A15" s="28">
        <v>11</v>
      </c>
      <c r="B15" s="6" t="s">
        <v>25</v>
      </c>
      <c r="C15" s="7">
        <v>59.974690000000002</v>
      </c>
      <c r="D15" s="26">
        <f t="shared" si="0"/>
        <v>1</v>
      </c>
      <c r="E15" s="26">
        <f t="shared" si="3"/>
        <v>1</v>
      </c>
      <c r="F15" s="26"/>
      <c r="J15" s="44">
        <f t="shared" si="1"/>
        <v>54.845158498550717</v>
      </c>
      <c r="K15" s="45">
        <f t="shared" si="2"/>
        <v>5.1295315014492857</v>
      </c>
      <c r="L15" s="44">
        <f t="shared" si="4"/>
        <v>10.819858388405805</v>
      </c>
    </row>
    <row r="16" spans="1:20">
      <c r="A16" s="28">
        <v>12</v>
      </c>
      <c r="B16" s="6" t="s">
        <v>26</v>
      </c>
      <c r="C16" s="7">
        <v>44.384349999999998</v>
      </c>
      <c r="D16" s="26">
        <f t="shared" si="0"/>
        <v>-1</v>
      </c>
      <c r="E16" s="26">
        <f t="shared" si="3"/>
        <v>1</v>
      </c>
      <c r="F16" s="26">
        <v>2</v>
      </c>
      <c r="J16" s="44">
        <f t="shared" si="1"/>
        <v>57.186960055072454</v>
      </c>
      <c r="K16" s="45">
        <f t="shared" si="2"/>
        <v>-12.802610055072456</v>
      </c>
      <c r="L16" s="44">
        <f t="shared" si="4"/>
        <v>-3.9347765014492651</v>
      </c>
    </row>
    <row r="17" spans="1:24">
      <c r="A17" s="28">
        <v>13</v>
      </c>
      <c r="B17" s="6" t="s">
        <v>27</v>
      </c>
      <c r="C17" s="7">
        <v>39.059629999999999</v>
      </c>
      <c r="D17" s="26">
        <f t="shared" si="0"/>
        <v>-1</v>
      </c>
      <c r="E17" s="26">
        <f t="shared" si="3"/>
        <v>0</v>
      </c>
      <c r="F17" s="26">
        <v>1</v>
      </c>
      <c r="J17" s="44">
        <f t="shared" si="1"/>
        <v>59.528761611594192</v>
      </c>
      <c r="K17" s="45">
        <f t="shared" si="2"/>
        <v>-20.469131611594193</v>
      </c>
      <c r="L17" s="44">
        <f t="shared" si="4"/>
        <v>-9.6889984985507169</v>
      </c>
    </row>
    <row r="18" spans="1:24">
      <c r="A18" s="28">
        <v>14</v>
      </c>
      <c r="B18" s="6" t="s">
        <v>28</v>
      </c>
      <c r="C18" s="7">
        <v>54.273560000000003</v>
      </c>
      <c r="D18" s="26">
        <f t="shared" si="0"/>
        <v>1</v>
      </c>
      <c r="E18" s="26">
        <f t="shared" si="3"/>
        <v>1</v>
      </c>
      <c r="F18" s="26">
        <v>1</v>
      </c>
      <c r="J18" s="44">
        <f t="shared" si="1"/>
        <v>61.870563168115936</v>
      </c>
      <c r="K18" s="45">
        <f t="shared" si="2"/>
        <v>-7.5970031681159327</v>
      </c>
      <c r="L18" s="44">
        <f t="shared" si="4"/>
        <v>2.8039166115942096</v>
      </c>
    </row>
    <row r="19" spans="1:24">
      <c r="A19" s="28">
        <v>15</v>
      </c>
      <c r="B19" s="6" t="s">
        <v>29</v>
      </c>
      <c r="C19" s="7">
        <v>63.489739999999998</v>
      </c>
      <c r="D19" s="26">
        <f t="shared" si="0"/>
        <v>1</v>
      </c>
      <c r="E19" s="26">
        <f t="shared" si="3"/>
        <v>0</v>
      </c>
      <c r="F19" s="26">
        <v>1</v>
      </c>
      <c r="J19" s="44">
        <f t="shared" si="1"/>
        <v>64.212364724637666</v>
      </c>
      <c r="K19" s="45">
        <f t="shared" si="2"/>
        <v>-0.72262472463766869</v>
      </c>
      <c r="L19" s="44">
        <f t="shared" si="4"/>
        <v>10.819858388405805</v>
      </c>
      <c r="S19" t="s">
        <v>30</v>
      </c>
      <c r="T19">
        <f>COUNTA(X23:X46)</f>
        <v>16</v>
      </c>
      <c r="V19" t="s">
        <v>31</v>
      </c>
      <c r="W19">
        <f>T19</f>
        <v>16</v>
      </c>
    </row>
    <row r="20" spans="1:24">
      <c r="A20" s="28">
        <v>16</v>
      </c>
      <c r="B20" s="6" t="s">
        <v>32</v>
      </c>
      <c r="C20" s="7">
        <v>51.383099999999999</v>
      </c>
      <c r="D20" s="26">
        <f t="shared" si="0"/>
        <v>-1</v>
      </c>
      <c r="E20" s="26">
        <f t="shared" si="3"/>
        <v>1</v>
      </c>
      <c r="F20" s="26">
        <v>1</v>
      </c>
      <c r="J20" s="44">
        <f t="shared" si="1"/>
        <v>66.554166281159411</v>
      </c>
      <c r="K20" s="45">
        <f t="shared" si="2"/>
        <v>-15.171066281159412</v>
      </c>
      <c r="L20" s="44">
        <f t="shared" si="4"/>
        <v>-3.9347765014492651</v>
      </c>
      <c r="V20" t="s">
        <v>33</v>
      </c>
      <c r="W20">
        <f>MAX(X23:X46)</f>
        <v>3</v>
      </c>
    </row>
    <row r="21" spans="1:24">
      <c r="A21" s="28">
        <v>17</v>
      </c>
      <c r="B21" s="6" t="s">
        <v>34</v>
      </c>
      <c r="C21" s="7">
        <v>52.618110000000001</v>
      </c>
      <c r="D21" s="26">
        <f t="shared" si="0"/>
        <v>-1</v>
      </c>
      <c r="E21" s="26">
        <f t="shared" si="3"/>
        <v>0</v>
      </c>
      <c r="F21" s="26">
        <v>1</v>
      </c>
      <c r="J21" s="44">
        <f t="shared" si="1"/>
        <v>68.895967837681155</v>
      </c>
      <c r="K21" s="45">
        <f t="shared" si="2"/>
        <v>-16.277857837681154</v>
      </c>
      <c r="L21" s="44">
        <f t="shared" si="4"/>
        <v>-9.6889984985507169</v>
      </c>
      <c r="O21" s="47" t="s">
        <v>35</v>
      </c>
      <c r="P21" s="47"/>
      <c r="V21" t="s">
        <v>2</v>
      </c>
      <c r="W21" s="2">
        <f>MEDIAN(T23:T46)</f>
        <v>-0.11887880660133732</v>
      </c>
    </row>
    <row r="22" spans="1:24">
      <c r="A22" s="28">
        <v>18</v>
      </c>
      <c r="B22" s="6" t="s">
        <v>36</v>
      </c>
      <c r="C22" s="7">
        <v>70.773929999999993</v>
      </c>
      <c r="D22" s="26">
        <f t="shared" si="0"/>
        <v>1</v>
      </c>
      <c r="E22" s="26">
        <f t="shared" si="3"/>
        <v>1</v>
      </c>
      <c r="F22" s="26">
        <v>1</v>
      </c>
      <c r="J22" s="44">
        <f t="shared" si="1"/>
        <v>71.237769394202886</v>
      </c>
      <c r="K22" s="45">
        <f t="shared" si="2"/>
        <v>-0.46383939420289266</v>
      </c>
      <c r="L22" s="44">
        <f t="shared" si="4"/>
        <v>2.8039166115942096</v>
      </c>
      <c r="N22" s="13" t="s">
        <v>6</v>
      </c>
      <c r="O22" s="30"/>
      <c r="P22" s="51"/>
      <c r="Q22" s="51" t="s">
        <v>11</v>
      </c>
      <c r="R22" s="51" t="s">
        <v>37</v>
      </c>
      <c r="S22" s="51" t="s">
        <v>38</v>
      </c>
      <c r="T22" s="51" t="s">
        <v>39</v>
      </c>
      <c r="U22" s="52"/>
      <c r="V22" s="26" t="s">
        <v>8</v>
      </c>
      <c r="W22" s="26" t="s">
        <v>9</v>
      </c>
      <c r="X22" s="26" t="s">
        <v>40</v>
      </c>
    </row>
    <row r="23" spans="1:24">
      <c r="A23" s="28">
        <v>19</v>
      </c>
      <c r="B23" s="6" t="s">
        <v>41</v>
      </c>
      <c r="C23" s="7">
        <v>84.492279999999994</v>
      </c>
      <c r="D23" s="26">
        <f t="shared" si="0"/>
        <v>1</v>
      </c>
      <c r="E23" s="26">
        <f t="shared" si="3"/>
        <v>0</v>
      </c>
      <c r="F23" s="26"/>
      <c r="J23" s="44">
        <f t="shared" si="1"/>
        <v>73.57957095072463</v>
      </c>
      <c r="K23" s="45">
        <f t="shared" si="2"/>
        <v>10.912709049275364</v>
      </c>
      <c r="L23" s="44">
        <f t="shared" si="4"/>
        <v>10.819858388405805</v>
      </c>
      <c r="N23">
        <v>15</v>
      </c>
      <c r="O23" s="32">
        <v>1</v>
      </c>
      <c r="P23" s="48">
        <f t="shared" ref="P23:P46" si="6">IF(O23&gt;$N$23,O23-$N$23,0)</f>
        <v>0</v>
      </c>
      <c r="Q23" s="48">
        <f t="shared" ref="Q23:Q46" si="7">$Q$48+$P$48*O23+P23*$O$48</f>
        <v>40.664651824308052</v>
      </c>
      <c r="R23" s="49">
        <f>SUM(O50:T50)/6</f>
        <v>-9.5869970201134489</v>
      </c>
      <c r="S23" s="49">
        <f>Q23+R23</f>
        <v>31.077654804194601</v>
      </c>
      <c r="T23" s="50">
        <f t="shared" ref="T23:T46" si="8">$C5-S23</f>
        <v>-0.61800480419460158</v>
      </c>
      <c r="U23" s="53"/>
      <c r="V23" s="26">
        <f>IF(T23&lt;$W$21,-1,1)</f>
        <v>-1</v>
      </c>
      <c r="W23" s="26"/>
      <c r="X23" s="26"/>
    </row>
    <row r="24" spans="1:24">
      <c r="A24" s="28">
        <v>20</v>
      </c>
      <c r="B24" s="6" t="s">
        <v>42</v>
      </c>
      <c r="C24" s="7">
        <v>73.651759999999996</v>
      </c>
      <c r="D24" s="26">
        <f t="shared" si="0"/>
        <v>1</v>
      </c>
      <c r="E24" s="26">
        <f t="shared" si="3"/>
        <v>0</v>
      </c>
      <c r="F24" s="26"/>
      <c r="J24" s="44">
        <f t="shared" si="1"/>
        <v>75.92137250724636</v>
      </c>
      <c r="K24" s="45">
        <f t="shared" si="2"/>
        <v>-2.2696125072463644</v>
      </c>
      <c r="L24" s="44">
        <f t="shared" si="4"/>
        <v>-3.9347765014492651</v>
      </c>
      <c r="O24" s="32">
        <v>2</v>
      </c>
      <c r="P24" s="48">
        <f t="shared" si="6"/>
        <v>0</v>
      </c>
      <c r="Q24" s="48">
        <f t="shared" si="7"/>
        <v>41.485993842874322</v>
      </c>
      <c r="R24" s="49">
        <f>SUM(O51:T51)/6</f>
        <v>2.9601063754512729</v>
      </c>
      <c r="S24" s="49">
        <f t="shared" ref="S24:S46" si="9">Q24+R24</f>
        <v>44.446100218325597</v>
      </c>
      <c r="T24" s="50">
        <f t="shared" si="8"/>
        <v>-1.5426202183255953</v>
      </c>
      <c r="U24" s="54">
        <f>T24-T23</f>
        <v>-0.92461541413099368</v>
      </c>
      <c r="V24" s="26">
        <f t="shared" ref="V24:V46" si="10">IF(T24&lt;$W$21,-1,1)</f>
        <v>-1</v>
      </c>
      <c r="W24" s="26">
        <f>IF(V24&lt;&gt;V23, 1, 0)</f>
        <v>0</v>
      </c>
      <c r="X24" s="26">
        <v>2</v>
      </c>
    </row>
    <row r="25" spans="1:24">
      <c r="A25" s="28">
        <v>21</v>
      </c>
      <c r="B25" s="6" t="s">
        <v>43</v>
      </c>
      <c r="C25" s="7">
        <v>72.619510000000005</v>
      </c>
      <c r="D25" s="26">
        <f t="shared" si="0"/>
        <v>1</v>
      </c>
      <c r="E25" s="26">
        <f t="shared" si="3"/>
        <v>0</v>
      </c>
      <c r="F25" s="26"/>
      <c r="J25" s="44">
        <f t="shared" si="1"/>
        <v>78.263174063768105</v>
      </c>
      <c r="K25" s="45">
        <f t="shared" si="2"/>
        <v>-5.6436640637680995</v>
      </c>
      <c r="L25" s="44">
        <f t="shared" si="4"/>
        <v>-9.6889984985507169</v>
      </c>
      <c r="O25" s="32">
        <v>3</v>
      </c>
      <c r="P25" s="48">
        <f t="shared" si="6"/>
        <v>0</v>
      </c>
      <c r="Q25" s="48">
        <f t="shared" si="7"/>
        <v>42.307335861440592</v>
      </c>
      <c r="R25" s="49">
        <f>SUM(O52:T52)/6</f>
        <v>11.030236437682666</v>
      </c>
      <c r="S25" s="49">
        <f t="shared" si="9"/>
        <v>53.337572299123259</v>
      </c>
      <c r="T25" s="50">
        <f t="shared" si="8"/>
        <v>0.75881770087674028</v>
      </c>
      <c r="U25" s="54">
        <f t="shared" ref="U25:U46" si="11">T25-T24</f>
        <v>2.3014379192023355</v>
      </c>
      <c r="V25" s="26">
        <f t="shared" si="10"/>
        <v>1</v>
      </c>
      <c r="W25" s="26">
        <f t="shared" ref="W25:W46" si="12">IF(V25&lt;&gt;V24, 1, 0)</f>
        <v>1</v>
      </c>
      <c r="X25" s="26">
        <v>1</v>
      </c>
    </row>
    <row r="26" spans="1:24">
      <c r="A26" s="28">
        <v>22</v>
      </c>
      <c r="B26" s="6" t="s">
        <v>44</v>
      </c>
      <c r="C26" s="7">
        <v>90.464640000000003</v>
      </c>
      <c r="D26" s="26">
        <f t="shared" si="0"/>
        <v>1</v>
      </c>
      <c r="E26" s="26">
        <f t="shared" si="3"/>
        <v>0</v>
      </c>
      <c r="F26" s="26"/>
      <c r="J26" s="44">
        <f t="shared" si="1"/>
        <v>80.604975620289849</v>
      </c>
      <c r="K26" s="45">
        <f t="shared" si="2"/>
        <v>9.8596643797101535</v>
      </c>
      <c r="L26" s="44">
        <f t="shared" si="4"/>
        <v>2.8039166115942096</v>
      </c>
      <c r="O26" s="32">
        <v>4</v>
      </c>
      <c r="P26" s="48">
        <f t="shared" si="6"/>
        <v>0</v>
      </c>
      <c r="Q26" s="48">
        <f t="shared" si="7"/>
        <v>43.128677880006869</v>
      </c>
      <c r="R26" s="49">
        <f>SUM(O53:T53)/6</f>
        <v>-4.4033457930204492</v>
      </c>
      <c r="S26" s="49">
        <f t="shared" si="9"/>
        <v>38.72533208698642</v>
      </c>
      <c r="T26" s="50">
        <f t="shared" si="8"/>
        <v>2.8293779130135803</v>
      </c>
      <c r="U26" s="54">
        <f t="shared" si="11"/>
        <v>2.0705602121368401</v>
      </c>
      <c r="V26" s="26">
        <f t="shared" si="10"/>
        <v>1</v>
      </c>
      <c r="W26" s="26">
        <f t="shared" si="12"/>
        <v>0</v>
      </c>
      <c r="X26" s="26"/>
    </row>
    <row r="27" spans="1:24">
      <c r="A27" s="28">
        <v>23</v>
      </c>
      <c r="B27" s="6" t="s">
        <v>45</v>
      </c>
      <c r="C27" s="7">
        <v>105.944</v>
      </c>
      <c r="D27" s="26">
        <f t="shared" si="0"/>
        <v>1</v>
      </c>
      <c r="E27" s="26">
        <f t="shared" si="3"/>
        <v>0</v>
      </c>
      <c r="F27" s="26"/>
      <c r="J27" s="44">
        <f t="shared" si="1"/>
        <v>82.94677717681158</v>
      </c>
      <c r="K27" s="45">
        <f t="shared" si="2"/>
        <v>22.997222823188423</v>
      </c>
      <c r="L27" s="44">
        <f t="shared" si="4"/>
        <v>10.819858388405805</v>
      </c>
      <c r="O27" s="32">
        <v>5</v>
      </c>
      <c r="P27" s="48">
        <f t="shared" si="6"/>
        <v>0</v>
      </c>
      <c r="Q27" s="48">
        <f t="shared" si="7"/>
        <v>43.950019898573139</v>
      </c>
      <c r="R27" s="49">
        <f>R23</f>
        <v>-9.5869970201134489</v>
      </c>
      <c r="S27" s="49">
        <f t="shared" si="9"/>
        <v>34.363022878459688</v>
      </c>
      <c r="T27" s="50">
        <f t="shared" si="8"/>
        <v>1.9845071215403109</v>
      </c>
      <c r="U27" s="54">
        <f t="shared" si="11"/>
        <v>-0.84487079147326938</v>
      </c>
      <c r="V27" s="26">
        <f t="shared" si="10"/>
        <v>1</v>
      </c>
      <c r="W27" s="26">
        <f t="shared" si="12"/>
        <v>0</v>
      </c>
      <c r="X27" s="26"/>
    </row>
    <row r="28" spans="1:24">
      <c r="A28" s="29">
        <v>24</v>
      </c>
      <c r="B28" s="6" t="s">
        <v>46</v>
      </c>
      <c r="C28" s="7">
        <v>93.712069999999997</v>
      </c>
      <c r="D28" s="26">
        <f t="shared" si="0"/>
        <v>1</v>
      </c>
      <c r="E28" s="26">
        <f t="shared" si="3"/>
        <v>0</v>
      </c>
      <c r="F28" s="26">
        <v>6</v>
      </c>
      <c r="J28" s="44">
        <f t="shared" si="1"/>
        <v>85.28857873333331</v>
      </c>
      <c r="K28" s="45">
        <f t="shared" si="2"/>
        <v>8.4234912666666872</v>
      </c>
      <c r="L28" s="44">
        <f t="shared" si="4"/>
        <v>-3.9347765014492651</v>
      </c>
      <c r="O28" s="32">
        <v>6</v>
      </c>
      <c r="P28" s="48">
        <f t="shared" si="6"/>
        <v>0</v>
      </c>
      <c r="Q28" s="48">
        <f t="shared" si="7"/>
        <v>44.771361917139409</v>
      </c>
      <c r="R28" s="49">
        <f t="shared" ref="R28:R46" si="13">R24</f>
        <v>2.9601063754512729</v>
      </c>
      <c r="S28" s="49">
        <f t="shared" si="9"/>
        <v>47.731468292590684</v>
      </c>
      <c r="T28" s="50">
        <f t="shared" si="8"/>
        <v>3.3282317074093157</v>
      </c>
      <c r="U28" s="54">
        <f t="shared" si="11"/>
        <v>1.3437245858690048</v>
      </c>
      <c r="V28" s="26">
        <f t="shared" si="10"/>
        <v>1</v>
      </c>
      <c r="W28" s="26">
        <f t="shared" si="12"/>
        <v>0</v>
      </c>
      <c r="X28" s="26">
        <v>3</v>
      </c>
    </row>
    <row r="29" spans="1:24">
      <c r="A29" s="26"/>
      <c r="D29" s="26"/>
      <c r="E29" s="26"/>
      <c r="F29" s="26"/>
      <c r="O29" s="32">
        <v>7</v>
      </c>
      <c r="P29" s="48">
        <f t="shared" si="6"/>
        <v>0</v>
      </c>
      <c r="Q29" s="48">
        <f t="shared" si="7"/>
        <v>45.592703935705678</v>
      </c>
      <c r="R29" s="49">
        <f t="shared" si="13"/>
        <v>11.030236437682666</v>
      </c>
      <c r="S29" s="49">
        <f t="shared" si="9"/>
        <v>56.622940373388346</v>
      </c>
      <c r="T29" s="50">
        <f t="shared" si="8"/>
        <v>-2.5283203733883468</v>
      </c>
      <c r="U29" s="54">
        <f t="shared" si="11"/>
        <v>-5.8565520807976625</v>
      </c>
      <c r="V29" s="26">
        <f t="shared" si="10"/>
        <v>-1</v>
      </c>
      <c r="W29" s="26">
        <f t="shared" si="12"/>
        <v>1</v>
      </c>
      <c r="X29" s="26"/>
    </row>
    <row r="30" spans="1:24">
      <c r="A30" s="26"/>
      <c r="D30" s="26"/>
      <c r="E30" s="26"/>
      <c r="F30" s="26">
        <f>COUNTA(F5:F28)</f>
        <v>13</v>
      </c>
      <c r="O30" s="32">
        <v>8</v>
      </c>
      <c r="P30" s="48">
        <f t="shared" si="6"/>
        <v>0</v>
      </c>
      <c r="Q30" s="48">
        <f t="shared" si="7"/>
        <v>46.414045954271948</v>
      </c>
      <c r="R30" s="49">
        <f t="shared" si="13"/>
        <v>-4.4033457930204492</v>
      </c>
      <c r="S30" s="49">
        <f t="shared" si="9"/>
        <v>42.010700161251499</v>
      </c>
      <c r="T30" s="50">
        <f t="shared" si="8"/>
        <v>0.91802983874850241</v>
      </c>
      <c r="U30" s="54">
        <f t="shared" si="11"/>
        <v>3.4463502121368492</v>
      </c>
      <c r="V30" s="26">
        <f t="shared" si="10"/>
        <v>1</v>
      </c>
      <c r="W30" s="26">
        <f t="shared" si="12"/>
        <v>1</v>
      </c>
      <c r="X30" s="26">
        <v>2</v>
      </c>
    </row>
    <row r="31" spans="1:24">
      <c r="A31" s="26"/>
      <c r="O31" s="32">
        <v>9</v>
      </c>
      <c r="P31" s="48">
        <f t="shared" si="6"/>
        <v>0</v>
      </c>
      <c r="Q31" s="48">
        <f t="shared" si="7"/>
        <v>47.235387972838218</v>
      </c>
      <c r="R31" s="49">
        <f t="shared" si="13"/>
        <v>-9.5869970201134489</v>
      </c>
      <c r="S31" s="49">
        <f t="shared" si="9"/>
        <v>37.648390952724768</v>
      </c>
      <c r="T31" s="50">
        <f t="shared" si="8"/>
        <v>2.1841390472752309</v>
      </c>
      <c r="U31" s="54">
        <f t="shared" si="11"/>
        <v>1.2661092085267285</v>
      </c>
      <c r="V31" s="26">
        <f t="shared" si="10"/>
        <v>1</v>
      </c>
      <c r="W31" s="26">
        <f t="shared" si="12"/>
        <v>0</v>
      </c>
      <c r="X31" s="26">
        <v>1</v>
      </c>
    </row>
    <row r="32" spans="1:24">
      <c r="A32" s="27">
        <f>A28+1</f>
        <v>25</v>
      </c>
      <c r="B32" s="31"/>
      <c r="C32" s="36">
        <f>$Q$48+$P$48*A32+$O$48*(A32-$W$19)+R23</f>
        <v>90.379187068248257</v>
      </c>
      <c r="O32" s="32">
        <v>10</v>
      </c>
      <c r="P32" s="48">
        <f t="shared" si="6"/>
        <v>0</v>
      </c>
      <c r="Q32" s="48">
        <f t="shared" si="7"/>
        <v>48.056729991404495</v>
      </c>
      <c r="R32" s="49">
        <f t="shared" si="13"/>
        <v>2.9601063754512729</v>
      </c>
      <c r="S32" s="49">
        <f t="shared" si="9"/>
        <v>51.01683636685577</v>
      </c>
      <c r="T32" s="50">
        <f t="shared" si="8"/>
        <v>-0.54688636685577308</v>
      </c>
      <c r="U32" s="54">
        <f t="shared" si="11"/>
        <v>-2.731025414131004</v>
      </c>
      <c r="V32" s="26">
        <f t="shared" si="10"/>
        <v>-1</v>
      </c>
      <c r="W32" s="26">
        <f t="shared" si="12"/>
        <v>1</v>
      </c>
      <c r="X32" s="26"/>
    </row>
    <row r="33" spans="1:26">
      <c r="A33" s="28">
        <f>A32+1</f>
        <v>26</v>
      </c>
      <c r="B33" s="33"/>
      <c r="C33" s="37">
        <f>$Q$48+$P$48*A33+$O$48*(A33-$W$19)+R24</f>
        <v>108.14644623998625</v>
      </c>
      <c r="O33" s="32">
        <v>11</v>
      </c>
      <c r="P33" s="48">
        <f t="shared" si="6"/>
        <v>0</v>
      </c>
      <c r="Q33" s="48">
        <f t="shared" si="7"/>
        <v>48.878072009970765</v>
      </c>
      <c r="R33" s="49">
        <f t="shared" si="13"/>
        <v>11.030236437682666</v>
      </c>
      <c r="S33" s="49">
        <f t="shared" si="9"/>
        <v>59.908308447653432</v>
      </c>
      <c r="T33" s="50">
        <f t="shared" si="8"/>
        <v>6.6381552346570061E-2</v>
      </c>
      <c r="U33" s="54">
        <f t="shared" si="11"/>
        <v>0.61326791920234314</v>
      </c>
      <c r="V33" s="26">
        <f t="shared" si="10"/>
        <v>1</v>
      </c>
      <c r="W33" s="26">
        <f t="shared" si="12"/>
        <v>1</v>
      </c>
      <c r="X33" s="26"/>
    </row>
    <row r="34" spans="1:26">
      <c r="A34" s="28">
        <f>A33+1</f>
        <v>27</v>
      </c>
      <c r="B34" s="33"/>
      <c r="C34" s="37">
        <f>$Q$48+$P$48*A34+$O$48*(A34-$W$19)+R25</f>
        <v>121.43673207839093</v>
      </c>
      <c r="O34" s="32">
        <v>12</v>
      </c>
      <c r="P34" s="48">
        <f t="shared" si="6"/>
        <v>0</v>
      </c>
      <c r="Q34" s="48">
        <f t="shared" si="7"/>
        <v>49.699414028537035</v>
      </c>
      <c r="R34" s="49">
        <f t="shared" si="13"/>
        <v>-4.4033457930204492</v>
      </c>
      <c r="S34" s="49">
        <f t="shared" si="9"/>
        <v>45.296068235516586</v>
      </c>
      <c r="T34" s="50">
        <f t="shared" si="8"/>
        <v>-0.91171823551658804</v>
      </c>
      <c r="U34" s="54">
        <f t="shared" si="11"/>
        <v>-0.9780997878631581</v>
      </c>
      <c r="V34" s="26">
        <f t="shared" si="10"/>
        <v>-1</v>
      </c>
      <c r="W34" s="26">
        <f t="shared" si="12"/>
        <v>1</v>
      </c>
      <c r="X34" s="26">
        <v>3</v>
      </c>
    </row>
    <row r="35" spans="1:26">
      <c r="A35" s="29">
        <f>A34+1</f>
        <v>28</v>
      </c>
      <c r="B35" s="35"/>
      <c r="C35" s="38">
        <f>$Q$48+$P$48*A35+$O$48*(A35-$W$19)+R26</f>
        <v>111.22330562386109</v>
      </c>
      <c r="O35" s="32">
        <v>13</v>
      </c>
      <c r="P35" s="48">
        <f t="shared" si="6"/>
        <v>0</v>
      </c>
      <c r="Q35" s="48">
        <f t="shared" si="7"/>
        <v>50.520756047103305</v>
      </c>
      <c r="R35" s="49">
        <f t="shared" si="13"/>
        <v>-9.5869970201134489</v>
      </c>
      <c r="S35" s="49">
        <f t="shared" si="9"/>
        <v>40.933759026989854</v>
      </c>
      <c r="T35" s="50">
        <f t="shared" si="8"/>
        <v>-1.8741290269898556</v>
      </c>
      <c r="U35" s="54">
        <f t="shared" si="11"/>
        <v>-0.96241079147326758</v>
      </c>
      <c r="V35" s="26">
        <f t="shared" si="10"/>
        <v>-1</v>
      </c>
      <c r="W35" s="26">
        <f t="shared" si="12"/>
        <v>0</v>
      </c>
      <c r="X35" s="26">
        <v>1</v>
      </c>
    </row>
    <row r="36" spans="1:26">
      <c r="O36" s="32">
        <v>14</v>
      </c>
      <c r="P36" s="48">
        <f t="shared" si="6"/>
        <v>0</v>
      </c>
      <c r="Q36" s="48">
        <f t="shared" si="7"/>
        <v>51.342098065669575</v>
      </c>
      <c r="R36" s="49">
        <f t="shared" si="13"/>
        <v>2.9601063754512729</v>
      </c>
      <c r="S36" s="49">
        <f t="shared" si="9"/>
        <v>54.30220444112085</v>
      </c>
      <c r="T36" s="50">
        <f t="shared" si="8"/>
        <v>-2.8644441120846409E-2</v>
      </c>
      <c r="U36" s="54">
        <f t="shared" si="11"/>
        <v>1.8454845858690092</v>
      </c>
      <c r="V36" s="26">
        <f t="shared" si="10"/>
        <v>1</v>
      </c>
      <c r="W36" s="26">
        <f t="shared" si="12"/>
        <v>1</v>
      </c>
      <c r="X36" s="26">
        <v>1</v>
      </c>
    </row>
    <row r="37" spans="1:26">
      <c r="O37" s="32">
        <v>15</v>
      </c>
      <c r="P37" s="48">
        <f t="shared" si="6"/>
        <v>0</v>
      </c>
      <c r="Q37" s="48">
        <f t="shared" si="7"/>
        <v>52.163440084235845</v>
      </c>
      <c r="R37" s="49">
        <f t="shared" si="13"/>
        <v>11.030236437682666</v>
      </c>
      <c r="S37" s="49">
        <f t="shared" si="9"/>
        <v>63.193676521918512</v>
      </c>
      <c r="T37" s="50">
        <f t="shared" si="8"/>
        <v>0.2960634780814857</v>
      </c>
      <c r="U37" s="54">
        <f t="shared" si="11"/>
        <v>0.32470791920233211</v>
      </c>
      <c r="V37" s="26">
        <f t="shared" si="10"/>
        <v>1</v>
      </c>
      <c r="W37" s="26">
        <f t="shared" si="12"/>
        <v>0</v>
      </c>
      <c r="X37" s="26">
        <v>1</v>
      </c>
    </row>
    <row r="38" spans="1:26">
      <c r="O38" s="32">
        <v>16</v>
      </c>
      <c r="P38" s="48">
        <f t="shared" si="6"/>
        <v>1</v>
      </c>
      <c r="Q38" s="48">
        <f t="shared" si="7"/>
        <v>57.38359586040913</v>
      </c>
      <c r="R38" s="49">
        <f t="shared" si="13"/>
        <v>-4.4033457930204492</v>
      </c>
      <c r="S38" s="49">
        <f t="shared" si="9"/>
        <v>52.980250067388681</v>
      </c>
      <c r="T38" s="50">
        <f t="shared" si="8"/>
        <v>-1.5971500673886823</v>
      </c>
      <c r="U38" s="54">
        <f t="shared" si="11"/>
        <v>-1.893213545470168</v>
      </c>
      <c r="V38" s="26">
        <f t="shared" si="10"/>
        <v>-1</v>
      </c>
      <c r="W38" s="26">
        <f t="shared" si="12"/>
        <v>1</v>
      </c>
      <c r="X38" s="26">
        <v>1</v>
      </c>
    </row>
    <row r="39" spans="1:26">
      <c r="O39" s="32">
        <v>17</v>
      </c>
      <c r="P39" s="48">
        <f t="shared" si="6"/>
        <v>2</v>
      </c>
      <c r="Q39" s="48">
        <f t="shared" si="7"/>
        <v>62.603751636582423</v>
      </c>
      <c r="R39" s="49">
        <f t="shared" si="13"/>
        <v>-9.5869970201134489</v>
      </c>
      <c r="S39" s="49">
        <f t="shared" si="9"/>
        <v>53.016754616468972</v>
      </c>
      <c r="T39" s="50">
        <f t="shared" si="8"/>
        <v>-0.39864461646897098</v>
      </c>
      <c r="U39" s="54">
        <f t="shared" si="11"/>
        <v>1.1985054509197113</v>
      </c>
      <c r="V39" s="26">
        <f t="shared" si="10"/>
        <v>-1</v>
      </c>
      <c r="W39" s="26">
        <f t="shared" si="12"/>
        <v>0</v>
      </c>
      <c r="X39" s="26">
        <v>1</v>
      </c>
    </row>
    <row r="40" spans="1:26">
      <c r="O40" s="32">
        <v>18</v>
      </c>
      <c r="P40" s="48">
        <f t="shared" si="6"/>
        <v>3</v>
      </c>
      <c r="Q40" s="48">
        <f t="shared" si="7"/>
        <v>67.823907412755702</v>
      </c>
      <c r="R40" s="49">
        <f t="shared" si="13"/>
        <v>2.9601063754512729</v>
      </c>
      <c r="S40" s="49">
        <f t="shared" si="9"/>
        <v>70.784013788206977</v>
      </c>
      <c r="T40" s="50">
        <f t="shared" si="8"/>
        <v>-1.0083788206983968E-2</v>
      </c>
      <c r="U40" s="54">
        <f t="shared" si="11"/>
        <v>0.38856082826198701</v>
      </c>
      <c r="V40" s="26">
        <f t="shared" si="10"/>
        <v>1</v>
      </c>
      <c r="W40" s="26">
        <f t="shared" si="12"/>
        <v>1</v>
      </c>
      <c r="X40" s="26">
        <v>1</v>
      </c>
    </row>
    <row r="41" spans="1:26">
      <c r="O41" s="32">
        <v>19</v>
      </c>
      <c r="P41" s="48">
        <f t="shared" si="6"/>
        <v>4</v>
      </c>
      <c r="Q41" s="48">
        <f t="shared" si="7"/>
        <v>73.044063188928988</v>
      </c>
      <c r="R41" s="49">
        <f t="shared" si="13"/>
        <v>11.030236437682666</v>
      </c>
      <c r="S41" s="49">
        <f t="shared" si="9"/>
        <v>84.074299626611648</v>
      </c>
      <c r="T41" s="50">
        <f t="shared" si="8"/>
        <v>0.41798037338834604</v>
      </c>
      <c r="U41" s="54">
        <f t="shared" si="11"/>
        <v>0.42806416159533001</v>
      </c>
      <c r="V41" s="26">
        <f t="shared" si="10"/>
        <v>1</v>
      </c>
      <c r="W41" s="26">
        <f t="shared" si="12"/>
        <v>0</v>
      </c>
      <c r="X41" s="26">
        <v>1</v>
      </c>
    </row>
    <row r="42" spans="1:26">
      <c r="O42" s="32">
        <v>20</v>
      </c>
      <c r="P42" s="48">
        <f t="shared" si="6"/>
        <v>5</v>
      </c>
      <c r="Q42" s="48">
        <f t="shared" si="7"/>
        <v>78.264218965102273</v>
      </c>
      <c r="R42" s="49">
        <f t="shared" si="13"/>
        <v>-4.4033457930204492</v>
      </c>
      <c r="S42" s="49">
        <f t="shared" si="9"/>
        <v>73.860873172081824</v>
      </c>
      <c r="T42" s="50">
        <f t="shared" si="8"/>
        <v>-0.20911317208182822</v>
      </c>
      <c r="U42" s="54">
        <f t="shared" si="11"/>
        <v>-0.62709354547017426</v>
      </c>
      <c r="V42" s="26">
        <f t="shared" si="10"/>
        <v>-1</v>
      </c>
      <c r="W42" s="26">
        <f t="shared" si="12"/>
        <v>1</v>
      </c>
      <c r="X42" s="26">
        <v>1</v>
      </c>
    </row>
    <row r="43" spans="1:26">
      <c r="O43" s="32">
        <v>21</v>
      </c>
      <c r="P43" s="48">
        <f t="shared" si="6"/>
        <v>6</v>
      </c>
      <c r="Q43" s="48">
        <f t="shared" si="7"/>
        <v>83.484374741275559</v>
      </c>
      <c r="R43" s="49">
        <f t="shared" si="13"/>
        <v>-9.5869970201134489</v>
      </c>
      <c r="S43" s="49">
        <f t="shared" si="9"/>
        <v>73.897377721162115</v>
      </c>
      <c r="T43" s="50">
        <f t="shared" si="8"/>
        <v>-1.2778677211621101</v>
      </c>
      <c r="U43" s="54">
        <f t="shared" si="11"/>
        <v>-1.0687545490802819</v>
      </c>
      <c r="V43" s="26">
        <f t="shared" si="10"/>
        <v>-1</v>
      </c>
      <c r="W43" s="26">
        <f t="shared" si="12"/>
        <v>0</v>
      </c>
      <c r="X43" s="26"/>
    </row>
    <row r="44" spans="1:26">
      <c r="E44" s="16"/>
      <c r="F44" s="17"/>
      <c r="O44" s="32">
        <v>22</v>
      </c>
      <c r="P44" s="48">
        <f t="shared" si="6"/>
        <v>7</v>
      </c>
      <c r="Q44" s="48">
        <f t="shared" si="7"/>
        <v>88.704530517448859</v>
      </c>
      <c r="R44" s="49">
        <f t="shared" si="13"/>
        <v>2.9601063754512729</v>
      </c>
      <c r="S44" s="49">
        <f t="shared" si="9"/>
        <v>91.664636892900134</v>
      </c>
      <c r="T44" s="50">
        <f t="shared" si="8"/>
        <v>-1.1999968929001312</v>
      </c>
      <c r="U44" s="54">
        <f t="shared" si="11"/>
        <v>7.7870828261978886E-2</v>
      </c>
      <c r="V44" s="26">
        <f t="shared" si="10"/>
        <v>-1</v>
      </c>
      <c r="W44" s="26">
        <f t="shared" si="12"/>
        <v>0</v>
      </c>
      <c r="X44" s="26">
        <v>2</v>
      </c>
    </row>
    <row r="45" spans="1:26">
      <c r="E45" s="16"/>
      <c r="F45" s="17"/>
      <c r="O45" s="32">
        <v>23</v>
      </c>
      <c r="P45" s="48">
        <f t="shared" si="6"/>
        <v>8</v>
      </c>
      <c r="Q45" s="48">
        <f t="shared" si="7"/>
        <v>93.924686293622131</v>
      </c>
      <c r="R45" s="49">
        <f t="shared" si="13"/>
        <v>11.030236437682666</v>
      </c>
      <c r="S45" s="49">
        <f t="shared" si="9"/>
        <v>104.95492273130479</v>
      </c>
      <c r="T45" s="50">
        <f t="shared" si="8"/>
        <v>0.98907726869521184</v>
      </c>
      <c r="U45" s="54">
        <f t="shared" si="11"/>
        <v>2.1890741615953431</v>
      </c>
      <c r="V45" s="26">
        <f t="shared" si="10"/>
        <v>1</v>
      </c>
      <c r="W45" s="26">
        <f t="shared" si="12"/>
        <v>1</v>
      </c>
      <c r="X45" s="26"/>
    </row>
    <row r="46" spans="1:26">
      <c r="E46" s="16"/>
      <c r="F46" s="17"/>
      <c r="O46" s="34">
        <v>24</v>
      </c>
      <c r="P46" s="55">
        <f t="shared" si="6"/>
        <v>9</v>
      </c>
      <c r="Q46" s="55">
        <f t="shared" si="7"/>
        <v>99.14484206979543</v>
      </c>
      <c r="R46" s="56">
        <f t="shared" si="13"/>
        <v>-4.4033457930204492</v>
      </c>
      <c r="S46" s="56">
        <f t="shared" si="9"/>
        <v>94.741496276774981</v>
      </c>
      <c r="T46" s="57">
        <f t="shared" si="8"/>
        <v>-1.0294262767749842</v>
      </c>
      <c r="U46" s="58">
        <f t="shared" si="11"/>
        <v>-2.0185035454701961</v>
      </c>
      <c r="V46" s="26">
        <f t="shared" si="10"/>
        <v>-1</v>
      </c>
      <c r="W46" s="26">
        <f t="shared" si="12"/>
        <v>1</v>
      </c>
      <c r="X46" s="26">
        <v>2</v>
      </c>
      <c r="Z46" s="18"/>
    </row>
    <row r="47" spans="1:26" ht="17" thickBot="1">
      <c r="E47" s="16"/>
      <c r="F47" s="17"/>
      <c r="S47" t="s">
        <v>47</v>
      </c>
      <c r="T47" s="2">
        <f>VAR(T23:T46)</f>
        <v>2.2234200394686612</v>
      </c>
      <c r="Z47" s="18"/>
    </row>
    <row r="48" spans="1:26" ht="17" thickBot="1">
      <c r="E48" s="16"/>
      <c r="F48" s="17"/>
      <c r="N48" t="s">
        <v>48</v>
      </c>
      <c r="O48" s="19">
        <f t="array" ref="O48:Q48">LINEST(C5:C28,O23:P46)</f>
        <v>4.398813757607015</v>
      </c>
      <c r="P48" s="20">
        <v>0.82134201856627098</v>
      </c>
      <c r="Q48" s="21">
        <v>39.843309805741782</v>
      </c>
      <c r="Z48" s="18"/>
    </row>
    <row r="49" spans="5:26">
      <c r="E49" s="16"/>
      <c r="F49" s="17"/>
      <c r="U49" s="14" t="s">
        <v>49</v>
      </c>
      <c r="V49" s="15">
        <f>TINV(0.05,21)</f>
        <v>2.07961384472768</v>
      </c>
      <c r="X49" s="22" t="s">
        <v>50</v>
      </c>
      <c r="Y49" s="15">
        <v>1.27</v>
      </c>
      <c r="Z49" s="18"/>
    </row>
    <row r="50" spans="5:26" ht="17" thickBot="1">
      <c r="E50" s="16"/>
      <c r="F50" s="17"/>
      <c r="N50" t="s">
        <v>51</v>
      </c>
      <c r="O50" s="46">
        <f t="shared" ref="O50:T53" si="14">INDEX($C$5:$C$28,O4)-INDEX($Q$23:$Q$46,O4)</f>
        <v>-10.205001824308052</v>
      </c>
      <c r="P50" s="46">
        <f t="shared" si="14"/>
        <v>-7.6024898985731397</v>
      </c>
      <c r="Q50" s="46">
        <f t="shared" si="14"/>
        <v>-7.4028579728382198</v>
      </c>
      <c r="R50" s="46">
        <f t="shared" si="14"/>
        <v>-11.461126047103306</v>
      </c>
      <c r="S50" s="46">
        <f t="shared" si="14"/>
        <v>-9.9856416365824217</v>
      </c>
      <c r="T50" s="46">
        <f t="shared" si="14"/>
        <v>-10.864864741275554</v>
      </c>
      <c r="U50" s="11" t="s">
        <v>52</v>
      </c>
      <c r="V50" s="23">
        <f>ABS(AVERAGE(T23:T46))*SQRT(24)/STDEV(T23:T46)</f>
        <v>4.8634429910954303E-16</v>
      </c>
      <c r="X50" s="24" t="s">
        <v>53</v>
      </c>
      <c r="Y50" s="10">
        <v>1.45</v>
      </c>
    </row>
    <row r="51" spans="5:26" ht="17" thickBot="1">
      <c r="E51" s="16"/>
      <c r="F51" s="17"/>
      <c r="O51" s="46">
        <f t="shared" si="14"/>
        <v>1.4174861571256798</v>
      </c>
      <c r="P51" s="46">
        <f t="shared" si="14"/>
        <v>6.2883380828605908</v>
      </c>
      <c r="Q51" s="46">
        <f t="shared" si="14"/>
        <v>2.413220008595502</v>
      </c>
      <c r="R51" s="46">
        <f t="shared" si="14"/>
        <v>2.9314619343304287</v>
      </c>
      <c r="S51" s="46">
        <f t="shared" si="14"/>
        <v>2.9500225872442911</v>
      </c>
      <c r="T51" s="46">
        <f t="shared" si="14"/>
        <v>1.7601094825511439</v>
      </c>
      <c r="X51" s="11" t="s">
        <v>54</v>
      </c>
      <c r="Y51" s="25">
        <f>SUMSQ(U24:U46)/SUMSQ(T23:T46)</f>
        <v>1.754627806761673</v>
      </c>
    </row>
    <row r="52" spans="5:26">
      <c r="E52" s="16"/>
      <c r="F52" s="17"/>
      <c r="O52" s="46">
        <f t="shared" si="14"/>
        <v>11.789054138559408</v>
      </c>
      <c r="P52" s="46">
        <f t="shared" si="14"/>
        <v>8.5019160642943206</v>
      </c>
      <c r="Q52" s="46">
        <f t="shared" si="14"/>
        <v>11.096617990029237</v>
      </c>
      <c r="R52" s="46">
        <f t="shared" si="14"/>
        <v>11.326299915764153</v>
      </c>
      <c r="S52" s="46">
        <f t="shared" si="14"/>
        <v>11.448216811071006</v>
      </c>
      <c r="T52" s="46">
        <f t="shared" si="14"/>
        <v>12.019313706377872</v>
      </c>
      <c r="U52" s="14" t="s">
        <v>55</v>
      </c>
      <c r="V52" s="15">
        <f>30/6*(SKEW(T23:T46)^2+(KURT(T23:T46)-3)^2/4)</f>
        <v>13.303771729022609</v>
      </c>
    </row>
    <row r="53" spans="5:26" ht="17" thickBot="1">
      <c r="E53" s="16"/>
      <c r="F53" s="17"/>
      <c r="O53" s="46">
        <f t="shared" si="14"/>
        <v>-1.5739678800068688</v>
      </c>
      <c r="P53" s="46">
        <f t="shared" si="14"/>
        <v>-3.4853159542719467</v>
      </c>
      <c r="Q53" s="46">
        <f t="shared" si="14"/>
        <v>-5.3150640285370372</v>
      </c>
      <c r="R53" s="46">
        <f t="shared" si="14"/>
        <v>-6.0004958604091314</v>
      </c>
      <c r="S53" s="46">
        <f t="shared" si="14"/>
        <v>-4.6124589651022774</v>
      </c>
      <c r="T53" s="46">
        <f t="shared" si="14"/>
        <v>-5.4327720697954334</v>
      </c>
      <c r="U53" s="11" t="s">
        <v>56</v>
      </c>
      <c r="V53" s="12">
        <f>CHIINV(0.95,23)</f>
        <v>13.090514188172801</v>
      </c>
      <c r="X53" s="18"/>
    </row>
    <row r="54" spans="5:26">
      <c r="E54" s="16"/>
      <c r="F54" s="17"/>
    </row>
    <row r="55" spans="5:26">
      <c r="E55" s="16"/>
      <c r="F55" s="17"/>
    </row>
    <row r="56" spans="5:26">
      <c r="E56" s="16"/>
      <c r="F56" s="17"/>
    </row>
    <row r="57" spans="5:26">
      <c r="E57" s="16"/>
      <c r="F57" s="17"/>
    </row>
    <row r="58" spans="5:26">
      <c r="E58" s="16"/>
      <c r="F58" s="17"/>
    </row>
    <row r="59" spans="5:26">
      <c r="E59" s="16"/>
      <c r="F59" s="17"/>
    </row>
    <row r="60" spans="5:26">
      <c r="E60" s="16"/>
      <c r="F60" s="17"/>
    </row>
    <row r="61" spans="5:26">
      <c r="E61" s="16"/>
      <c r="F61" s="17"/>
    </row>
  </sheetData>
  <mergeCells count="2">
    <mergeCell ref="G5:H5"/>
    <mergeCell ref="O21:P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Романычев Леонид Романович</dc:creator>
  <cp:lastModifiedBy>Романычев Леонид Романович</cp:lastModifiedBy>
  <dcterms:created xsi:type="dcterms:W3CDTF">2022-01-20T06:22:31Z</dcterms:created>
  <dcterms:modified xsi:type="dcterms:W3CDTF">2022-01-20T07:46:37Z</dcterms:modified>
</cp:coreProperties>
</file>