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80" activeTab="1"/>
  </bookViews>
  <sheets>
    <sheet name="вода" sheetId="1" r:id="rId1"/>
    <sheet name="пара" sheetId="2" r:id="rId2"/>
    <sheet name="конденсат" sheetId="3" r:id="rId3"/>
    <sheet name="Специфікація" sheetId="4" r:id="rId4"/>
  </sheets>
  <calcPr calcId="124519"/>
</workbook>
</file>

<file path=xl/calcChain.xml><?xml version="1.0" encoding="utf-8"?>
<calcChain xmlns="http://schemas.openxmlformats.org/spreadsheetml/2006/main">
  <c r="V11" i="3"/>
  <c r="V10"/>
  <c r="V7"/>
  <c r="V8"/>
  <c r="V6"/>
  <c r="S10"/>
  <c r="S11"/>
  <c r="R10"/>
  <c r="R11"/>
  <c r="F10"/>
  <c r="G10" s="1"/>
  <c r="F11"/>
  <c r="G11" s="1"/>
  <c r="T11" s="1"/>
  <c r="U11" s="1"/>
  <c r="S8"/>
  <c r="R8"/>
  <c r="N8"/>
  <c r="S7"/>
  <c r="R7"/>
  <c r="N7"/>
  <c r="L6"/>
  <c r="F7"/>
  <c r="G7" s="1"/>
  <c r="F8"/>
  <c r="G8" s="1"/>
  <c r="F6"/>
  <c r="G6" s="1"/>
  <c r="S6"/>
  <c r="R6"/>
  <c r="N6"/>
  <c r="P9" i="2"/>
  <c r="Q9" s="1"/>
  <c r="P10"/>
  <c r="Q10" s="1"/>
  <c r="F9"/>
  <c r="AH9" s="1"/>
  <c r="F7"/>
  <c r="F10" s="1"/>
  <c r="K10" s="1"/>
  <c r="AH7"/>
  <c r="P7"/>
  <c r="Q7" s="1"/>
  <c r="K7"/>
  <c r="W7" s="1"/>
  <c r="F6"/>
  <c r="AH6" s="1"/>
  <c r="P6"/>
  <c r="Q6" s="1"/>
  <c r="K6"/>
  <c r="W6" s="1"/>
  <c r="AH5"/>
  <c r="I5"/>
  <c r="AB5" s="1"/>
  <c r="P5"/>
  <c r="Q5" s="1"/>
  <c r="K5"/>
  <c r="W5" s="1"/>
  <c r="H5"/>
  <c r="L4" i="1"/>
  <c r="L7"/>
  <c r="L8"/>
  <c r="L9"/>
  <c r="L11"/>
  <c r="K4"/>
  <c r="K7"/>
  <c r="K8"/>
  <c r="K9"/>
  <c r="K11"/>
  <c r="J4"/>
  <c r="J5"/>
  <c r="K5" s="1"/>
  <c r="L5" s="1"/>
  <c r="J6"/>
  <c r="K6" s="1"/>
  <c r="L6" s="1"/>
  <c r="J7"/>
  <c r="J8"/>
  <c r="J9"/>
  <c r="J10"/>
  <c r="K10" s="1"/>
  <c r="L10" s="1"/>
  <c r="J11"/>
  <c r="J12"/>
  <c r="K12" s="1"/>
  <c r="L12" s="1"/>
  <c r="K3"/>
  <c r="L3" s="1"/>
  <c r="M3" s="1"/>
  <c r="J3"/>
  <c r="X5" i="2" l="1"/>
  <c r="Y5" s="1"/>
  <c r="AC5"/>
  <c r="AD5" s="1"/>
  <c r="W10"/>
  <c r="V10"/>
  <c r="L10"/>
  <c r="V5"/>
  <c r="L5"/>
  <c r="L6"/>
  <c r="K9"/>
  <c r="AH10"/>
  <c r="T10" i="3"/>
  <c r="U10" s="1"/>
  <c r="T7"/>
  <c r="T8"/>
  <c r="T6"/>
  <c r="U6" s="1"/>
  <c r="X10" i="2"/>
  <c r="X7"/>
  <c r="V7"/>
  <c r="L7"/>
  <c r="X6"/>
  <c r="AI10" s="1"/>
  <c r="V6"/>
  <c r="AF5"/>
  <c r="M4" i="1"/>
  <c r="M10" s="1"/>
  <c r="M8"/>
  <c r="M5"/>
  <c r="J7" i="3" l="1"/>
  <c r="AE5" i="2"/>
  <c r="AI9"/>
  <c r="D6"/>
  <c r="D9"/>
  <c r="Y9" s="1"/>
  <c r="W9"/>
  <c r="X9" s="1"/>
  <c r="V9"/>
  <c r="E6"/>
  <c r="E9"/>
  <c r="M6" i="1"/>
  <c r="M12"/>
  <c r="L11" i="3" l="1"/>
  <c r="L7"/>
  <c r="U7"/>
  <c r="J8" s="1"/>
  <c r="I6" i="2"/>
  <c r="AB6" s="1"/>
  <c r="AC6" s="1"/>
  <c r="AE6"/>
  <c r="D7" s="1"/>
  <c r="Y7" s="1"/>
  <c r="I9"/>
  <c r="AB9" s="1"/>
  <c r="AC9" s="1"/>
  <c r="G9"/>
  <c r="L9" s="1"/>
  <c r="AE9"/>
  <c r="H6"/>
  <c r="Y6" s="1"/>
  <c r="N10" i="1"/>
  <c r="N8"/>
  <c r="N12"/>
  <c r="L10" i="3" l="1"/>
  <c r="U8"/>
  <c r="K11"/>
  <c r="N11" s="1"/>
  <c r="AD9" i="2"/>
  <c r="AF9" s="1"/>
  <c r="AD6"/>
  <c r="AF6" s="1"/>
  <c r="E7" s="1"/>
  <c r="D10"/>
  <c r="Y10" s="1"/>
  <c r="AE7"/>
  <c r="K10" i="3" l="1"/>
  <c r="N10" s="1"/>
  <c r="E10" i="2"/>
  <c r="I7"/>
  <c r="AB7" s="1"/>
  <c r="AC7" s="1"/>
  <c r="I10"/>
  <c r="AB10" s="1"/>
  <c r="AC10" s="1"/>
  <c r="AE10"/>
  <c r="AD7" l="1"/>
  <c r="AF7" s="1"/>
  <c r="AD10"/>
  <c r="AF10" s="1"/>
</calcChain>
</file>

<file path=xl/sharedStrings.xml><?xml version="1.0" encoding="utf-8"?>
<sst xmlns="http://schemas.openxmlformats.org/spreadsheetml/2006/main" count="239" uniqueCount="135">
  <si>
    <t>1--2</t>
  </si>
  <si>
    <t>2--3</t>
  </si>
  <si>
    <t>3--4</t>
  </si>
  <si>
    <t>4--5</t>
  </si>
  <si>
    <t>152x4,5</t>
  </si>
  <si>
    <t>2--6</t>
  </si>
  <si>
    <t>108x4</t>
  </si>
  <si>
    <t>3--7</t>
  </si>
  <si>
    <t>4--8</t>
  </si>
  <si>
    <t>G</t>
  </si>
  <si>
    <t>d</t>
  </si>
  <si>
    <t>v</t>
  </si>
  <si>
    <t>h</t>
  </si>
  <si>
    <t>z</t>
  </si>
  <si>
    <t>Lg</t>
  </si>
  <si>
    <t>Le</t>
  </si>
  <si>
    <t>Lp</t>
  </si>
  <si>
    <t>L</t>
  </si>
  <si>
    <t>P</t>
  </si>
  <si>
    <t>p</t>
  </si>
  <si>
    <t>273x7</t>
  </si>
  <si>
    <t>219x6</t>
  </si>
  <si>
    <t>∑ζ</t>
  </si>
  <si>
    <t>219х6</t>
  </si>
  <si>
    <t>194х6</t>
  </si>
  <si>
    <t>2--5</t>
  </si>
  <si>
    <t>3--6</t>
  </si>
  <si>
    <t>133x4</t>
  </si>
  <si>
    <t>159x4,5</t>
  </si>
  <si>
    <t>№ ділянки</t>
  </si>
  <si>
    <t>4--3</t>
  </si>
  <si>
    <t>3--2</t>
  </si>
  <si>
    <t>194x5</t>
  </si>
  <si>
    <t>2--1</t>
  </si>
  <si>
    <t>5--2</t>
  </si>
  <si>
    <t>76x3,5</t>
  </si>
  <si>
    <t>6--3</t>
  </si>
  <si>
    <t>Початок ділянки</t>
  </si>
  <si>
    <t>Довжина, м</t>
  </si>
  <si>
    <t>Втрати тепла</t>
  </si>
  <si>
    <t>Кінець ділянки</t>
  </si>
  <si>
    <t>Витрата пари G, т/год</t>
  </si>
  <si>
    <t>Кінець діл.орієнтовне</t>
  </si>
  <si>
    <t>tк',           ˚С</t>
  </si>
  <si>
    <t>Діаметр d, мм</t>
  </si>
  <si>
    <t xml:space="preserve"> Геометрична Lг</t>
  </si>
  <si>
    <t xml:space="preserve"> Еквівалентна довж. Le</t>
  </si>
  <si>
    <t>Розрахункова довжина Lp</t>
  </si>
  <si>
    <t>Швидкість Vтабл, м/с</t>
  </si>
  <si>
    <t>Точність розрахунку</t>
  </si>
  <si>
    <t>питома ∆q, Вт/м</t>
  </si>
  <si>
    <t>На ділянці ∆Q, МВт</t>
  </si>
  <si>
    <t>Перепад тем-ри ∆t,˚С</t>
  </si>
  <si>
    <t>Температура tк,˚С</t>
  </si>
  <si>
    <t>Відгалуження</t>
  </si>
  <si>
    <t>Вид місцевого опору</t>
  </si>
  <si>
    <t>2 засувки=1; звуження=0,5;діафрагма=280</t>
  </si>
  <si>
    <t>2 засувки=1; звуження=0,5;діафрагма=70</t>
  </si>
  <si>
    <t>При γ=1</t>
  </si>
  <si>
    <t>Температура t, ˚С</t>
  </si>
  <si>
    <r>
      <t xml:space="preserve">Орієнтовна пит.вага γ' </t>
    </r>
    <r>
      <rPr>
        <sz val="10"/>
        <color theme="1"/>
        <rFont val="Times New Roman"/>
        <family val="1"/>
        <charset val="204"/>
      </rPr>
      <t>mid, кг/м3</t>
    </r>
  </si>
  <si>
    <r>
      <t>При γ</t>
    </r>
    <r>
      <rPr>
        <sz val="10"/>
        <color theme="1"/>
        <rFont val="Times New Roman"/>
        <family val="1"/>
        <charset val="204"/>
      </rPr>
      <t>mid</t>
    </r>
    <r>
      <rPr>
        <sz val="11"/>
        <color theme="1"/>
        <rFont val="Times New Roman"/>
        <family val="1"/>
        <charset val="204"/>
      </rPr>
      <t>'</t>
    </r>
  </si>
  <si>
    <r>
      <t>Середня питома вага γ</t>
    </r>
    <r>
      <rPr>
        <sz val="10"/>
        <color theme="1"/>
        <rFont val="Times New Roman"/>
        <family val="1"/>
        <charset val="204"/>
      </rPr>
      <t>сер</t>
    </r>
    <r>
      <rPr>
        <sz val="11"/>
        <color theme="1"/>
        <rFont val="Times New Roman"/>
        <family val="1"/>
        <charset val="204"/>
      </rPr>
      <t>,кг/м3</t>
    </r>
  </si>
  <si>
    <r>
      <t>γ</t>
    </r>
    <r>
      <rPr>
        <sz val="10"/>
        <color theme="1"/>
        <rFont val="Times New Roman"/>
        <family val="1"/>
        <charset val="204"/>
      </rPr>
      <t>к</t>
    </r>
    <r>
      <rPr>
        <sz val="11"/>
        <color theme="1"/>
        <rFont val="Times New Roman"/>
        <family val="1"/>
        <charset val="204"/>
      </rPr>
      <t>',                   кг/м3</t>
    </r>
  </si>
  <si>
    <r>
      <t>Питома вага пари γ</t>
    </r>
    <r>
      <rPr>
        <sz val="10"/>
        <color theme="1"/>
        <rFont val="Times New Roman"/>
        <family val="1"/>
        <charset val="204"/>
      </rPr>
      <t>к</t>
    </r>
    <r>
      <rPr>
        <sz val="11"/>
        <color theme="1"/>
        <rFont val="Times New Roman"/>
        <family val="1"/>
        <charset val="204"/>
      </rPr>
      <t>,кг/м3</t>
    </r>
  </si>
  <si>
    <t>Нев'язка %</t>
  </si>
  <si>
    <t>Довжина,м</t>
  </si>
  <si>
    <t>Орієнтовно</t>
  </si>
  <si>
    <t>Табличне значення</t>
  </si>
  <si>
    <t>Втрати тиску ∆Р,Па</t>
  </si>
  <si>
    <t>Кінцевий тиск Рк',Па</t>
  </si>
  <si>
    <t>Коефіцієнт ψ</t>
  </si>
  <si>
    <t>Еквів. питома довжина L пит</t>
  </si>
  <si>
    <t>Швидкість V,      м/с</t>
  </si>
  <si>
    <t>Втрати тиску ∆Р, МПа</t>
  </si>
  <si>
    <t>Тиск в кінці діл.Pk, Па</t>
  </si>
  <si>
    <t>Тиск у споживачів Рсп = 1 Мпа</t>
  </si>
  <si>
    <t>засувки=0,5;Трійник прохідний при злитті потоків=1,5;розширення=0,3;</t>
  </si>
  <si>
    <t>2 засувки=1; розширення=0,3;діафрагма=20</t>
  </si>
  <si>
    <t>2 засувки=1; розширення=0,3;</t>
  </si>
  <si>
    <t>(Pk"-Pk)/Pk     %</t>
  </si>
  <si>
    <r>
      <t>Початковий тиск P</t>
    </r>
    <r>
      <rPr>
        <sz val="9"/>
        <color theme="1"/>
        <rFont val="Times New Roman"/>
        <family val="1"/>
        <charset val="204"/>
      </rPr>
      <t>поч</t>
    </r>
    <r>
      <rPr>
        <sz val="11"/>
        <color theme="1"/>
        <rFont val="Times New Roman"/>
        <family val="1"/>
        <charset val="204"/>
      </rPr>
      <t>, Па</t>
    </r>
  </si>
  <si>
    <r>
      <t>Питома втрата тиску ∆h'</t>
    </r>
    <r>
      <rPr>
        <sz val="8"/>
        <color theme="1"/>
        <rFont val="Times New Roman"/>
        <family val="1"/>
        <charset val="204"/>
      </rPr>
      <t xml:space="preserve">табл, </t>
    </r>
    <r>
      <rPr>
        <sz val="11"/>
        <color theme="1"/>
        <rFont val="Times New Roman"/>
        <family val="1"/>
        <charset val="204"/>
      </rPr>
      <t>Па/м</t>
    </r>
  </si>
  <si>
    <r>
      <t>Питома втрата тиску ∆h</t>
    </r>
    <r>
      <rPr>
        <sz val="8"/>
        <color theme="1"/>
        <rFont val="Times New Roman"/>
        <family val="1"/>
        <charset val="204"/>
      </rPr>
      <t xml:space="preserve">табл, </t>
    </r>
    <r>
      <rPr>
        <sz val="11"/>
        <color theme="1"/>
        <rFont val="Times New Roman"/>
        <family val="1"/>
        <charset val="204"/>
      </rPr>
      <t>Па/м</t>
    </r>
  </si>
  <si>
    <r>
      <t>Пит. втр. тиску ∆h</t>
    </r>
    <r>
      <rPr>
        <sz val="8"/>
        <color theme="1"/>
        <rFont val="Times New Roman"/>
        <family val="1"/>
        <charset val="204"/>
      </rPr>
      <t>табл</t>
    </r>
    <r>
      <rPr>
        <sz val="11"/>
        <color theme="1"/>
        <rFont val="Times New Roman"/>
        <family val="1"/>
        <charset val="204"/>
      </rPr>
      <t>, Па/м</t>
    </r>
  </si>
  <si>
    <t>Таблиця 5.4. Відомість гідравлічного розрахунку конденсатопроводів.</t>
  </si>
  <si>
    <t xml:space="preserve"> Тиск Pпоч, Па</t>
  </si>
  <si>
    <r>
      <t xml:space="preserve">Питома вага пари </t>
    </r>
    <r>
      <rPr>
        <sz val="12"/>
        <color theme="1"/>
        <rFont val="Times New Roman"/>
        <family val="1"/>
        <charset val="204"/>
      </rPr>
      <t>γ</t>
    </r>
    <r>
      <rPr>
        <sz val="8"/>
        <color theme="1"/>
        <rFont val="Times New Roman"/>
        <family val="1"/>
        <charset val="204"/>
      </rPr>
      <t xml:space="preserve">поч, </t>
    </r>
    <r>
      <rPr>
        <sz val="9"/>
        <color theme="1"/>
        <rFont val="Times New Roman"/>
        <family val="1"/>
        <charset val="204"/>
      </rPr>
      <t>кг/м3</t>
    </r>
  </si>
  <si>
    <t>∆Р' орієнтовне,Па</t>
  </si>
  <si>
    <t>Рк',       Па</t>
  </si>
  <si>
    <t>Питома втрата тиску ∆h табл', Па/м</t>
  </si>
  <si>
    <t>Діаметр d,    мм</t>
  </si>
  <si>
    <t>Питома втрата тиску ∆h табл,</t>
  </si>
  <si>
    <t>Швидкість V,   м/с</t>
  </si>
  <si>
    <t>Втрата тиску ∆Р,       Па</t>
  </si>
  <si>
    <r>
      <t>Середня тем-ра t</t>
    </r>
    <r>
      <rPr>
        <sz val="8"/>
        <color theme="1"/>
        <rFont val="Times New Roman"/>
        <family val="1"/>
        <charset val="204"/>
      </rPr>
      <t>сер</t>
    </r>
    <r>
      <rPr>
        <sz val="11"/>
        <color theme="1"/>
        <rFont val="Times New Roman"/>
        <family val="1"/>
        <charset val="204"/>
      </rPr>
      <t>,˚С</t>
    </r>
  </si>
  <si>
    <t>Теплоємність пари C, Кдж/кг˚</t>
  </si>
  <si>
    <t>Тиск Pк,      Па</t>
  </si>
  <si>
    <t>Таблиця 6.3. Відомість гідравлічного розрахунку паропроводів</t>
  </si>
  <si>
    <t>Специфікація матеріалів обладнання</t>
  </si>
  <si>
    <t>№ п/п</t>
  </si>
  <si>
    <t>Позначення</t>
  </si>
  <si>
    <t>Назва</t>
  </si>
  <si>
    <t>Кількість</t>
  </si>
  <si>
    <t>Маса одиниці</t>
  </si>
  <si>
    <t>Примітка</t>
  </si>
  <si>
    <t>Водяна теплова мережа</t>
  </si>
  <si>
    <t>ГОСТ 10704-91*</t>
  </si>
  <si>
    <t>Труби сталеві електрозварні</t>
  </si>
  <si>
    <t>D=273x7</t>
  </si>
  <si>
    <t>м</t>
  </si>
  <si>
    <t>D=219х6</t>
  </si>
  <si>
    <t>D=152х4,5</t>
  </si>
  <si>
    <t>D=108х4</t>
  </si>
  <si>
    <t>ТУ 26-07-1399-86</t>
  </si>
  <si>
    <t>Засувка фланцева 30ч6бр</t>
  </si>
  <si>
    <t>Трійник сталевий</t>
  </si>
  <si>
    <t>ГОСТ 17376-83</t>
  </si>
  <si>
    <t>ГОСТ 17375-83</t>
  </si>
  <si>
    <t>Коліно зігнуте на 90</t>
  </si>
  <si>
    <t>шт</t>
  </si>
  <si>
    <t>Парова водяна мережа</t>
  </si>
  <si>
    <t>D=194х6</t>
  </si>
  <si>
    <t>D=133х4</t>
  </si>
  <si>
    <t>D=159х4,5</t>
  </si>
  <si>
    <t>Конденсатна водяна мережа</t>
  </si>
  <si>
    <t>D=76х3,5</t>
  </si>
  <si>
    <t>Трійник при розділенні потоків=1; засувка=0,5;</t>
  </si>
  <si>
    <t>4 відводи зварні двошовні (90˚)=4х0,6=2,4; засувка=0,5;Трійник при розділенні потоків на відгалуження=1,5</t>
  </si>
  <si>
    <t>4 відводи зварні двошовні (90˚)=4х0,6=2,4; 2 засувки=1;сальниковий компенсатор з кроком 80 м=0,3;звуження=0,5;</t>
  </si>
  <si>
    <t>4 відводи зварні двошовні (90˚)=4х0,6=2,4; 2 засувки=1;сальниковий компенсатор з кроком 80 м=0,3;</t>
  </si>
  <si>
    <t>4 відводи зварні двошовні (90˚)=4х0,6=2,4;засувка=0,5;Трійник прохідний при злитті потоків=1,5;розширення=0,3;</t>
  </si>
  <si>
    <t>g</t>
  </si>
  <si>
    <t>&amp;</t>
  </si>
  <si>
    <t>j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</si>
</sst>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0.0"/>
  </numFmts>
  <fonts count="10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5" fillId="0" borderId="1" xfId="1" applyNumberFormat="1" applyFont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/>
    <xf numFmtId="0" fontId="7" fillId="0" borderId="0" xfId="0" applyFont="1"/>
    <xf numFmtId="0" fontId="8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5" fillId="0" borderId="8" xfId="0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2"/>
  <sheetViews>
    <sheetView workbookViewId="0">
      <selection activeCell="D28" sqref="D28"/>
    </sheetView>
  </sheetViews>
  <sheetFormatPr defaultRowHeight="15"/>
  <sheetData>
    <row r="2" spans="1:14">
      <c r="B2" t="s">
        <v>9</v>
      </c>
      <c r="C2" t="s">
        <v>10</v>
      </c>
      <c r="D2" t="s">
        <v>11</v>
      </c>
      <c r="E2" t="s">
        <v>12</v>
      </c>
      <c r="G2" t="s">
        <v>13</v>
      </c>
      <c r="H2" t="s">
        <v>14</v>
      </c>
      <c r="I2" t="s">
        <v>17</v>
      </c>
      <c r="J2" t="s">
        <v>15</v>
      </c>
      <c r="K2" t="s">
        <v>16</v>
      </c>
      <c r="L2" t="s">
        <v>18</v>
      </c>
      <c r="M2" t="s">
        <v>19</v>
      </c>
    </row>
    <row r="3" spans="1:14">
      <c r="A3" s="1" t="s">
        <v>0</v>
      </c>
      <c r="B3" s="2">
        <v>154.404</v>
      </c>
      <c r="C3" s="2" t="s">
        <v>20</v>
      </c>
      <c r="D3" s="2">
        <v>0.84</v>
      </c>
      <c r="E3" s="2">
        <v>31.7</v>
      </c>
      <c r="F3" s="2"/>
      <c r="G3" s="2">
        <v>1.5</v>
      </c>
      <c r="H3" s="2">
        <v>48</v>
      </c>
      <c r="I3" s="2">
        <v>8.5</v>
      </c>
      <c r="J3" s="2">
        <f>G3*I3</f>
        <v>12.75</v>
      </c>
      <c r="K3" s="2">
        <f>H3+J3</f>
        <v>60.75</v>
      </c>
      <c r="L3" s="2">
        <f>K3*E3</f>
        <v>1925.7749999999999</v>
      </c>
      <c r="M3" s="2">
        <f>L3</f>
        <v>1925.7749999999999</v>
      </c>
    </row>
    <row r="4" spans="1:14">
      <c r="A4" s="2" t="s">
        <v>1</v>
      </c>
      <c r="B4" s="2">
        <v>96.444000000000003</v>
      </c>
      <c r="C4" s="2" t="s">
        <v>20</v>
      </c>
      <c r="D4" s="2">
        <v>0.53</v>
      </c>
      <c r="E4" s="2">
        <v>12.1</v>
      </c>
      <c r="F4" s="2"/>
      <c r="G4" s="2">
        <v>4.4000000000000004</v>
      </c>
      <c r="H4" s="2">
        <v>102</v>
      </c>
      <c r="I4" s="2">
        <v>8.5</v>
      </c>
      <c r="J4" s="2">
        <f t="shared" ref="J4:J12" si="0">G4*I4</f>
        <v>37.400000000000006</v>
      </c>
      <c r="K4" s="2">
        <f t="shared" ref="K4:K12" si="1">H4+J4</f>
        <v>139.4</v>
      </c>
      <c r="L4" s="2">
        <f t="shared" ref="L4:L12" si="2">K4*E4</f>
        <v>1686.74</v>
      </c>
      <c r="M4" s="2">
        <f>M3+L4</f>
        <v>3612.5149999999999</v>
      </c>
    </row>
    <row r="5" spans="1:14">
      <c r="A5" s="2" t="s">
        <v>2</v>
      </c>
      <c r="B5" s="2">
        <v>57.204000000000001</v>
      </c>
      <c r="C5" s="2" t="s">
        <v>21</v>
      </c>
      <c r="D5" s="2">
        <v>0.49</v>
      </c>
      <c r="E5" s="2">
        <v>14</v>
      </c>
      <c r="F5" s="2"/>
      <c r="G5" s="2">
        <v>4.5</v>
      </c>
      <c r="H5" s="2">
        <v>70</v>
      </c>
      <c r="I5" s="2">
        <v>5.7</v>
      </c>
      <c r="J5" s="2">
        <f t="shared" si="0"/>
        <v>25.650000000000002</v>
      </c>
      <c r="K5" s="2">
        <f t="shared" si="1"/>
        <v>95.65</v>
      </c>
      <c r="L5" s="2">
        <f t="shared" si="2"/>
        <v>1339.1000000000001</v>
      </c>
      <c r="M5" s="2">
        <f t="shared" ref="M5:M6" si="3">M4+L5</f>
        <v>4951.6149999999998</v>
      </c>
    </row>
    <row r="6" spans="1:14">
      <c r="A6" s="2" t="s">
        <v>3</v>
      </c>
      <c r="B6" s="2">
        <v>51.12</v>
      </c>
      <c r="C6" s="2" t="s">
        <v>21</v>
      </c>
      <c r="D6" s="2">
        <v>0.44</v>
      </c>
      <c r="E6" s="2">
        <v>11.3</v>
      </c>
      <c r="F6" s="2"/>
      <c r="G6" s="2">
        <v>0.5</v>
      </c>
      <c r="H6" s="2">
        <v>25</v>
      </c>
      <c r="I6" s="2">
        <v>5.4</v>
      </c>
      <c r="J6" s="2">
        <f t="shared" si="0"/>
        <v>2.7</v>
      </c>
      <c r="K6" s="2">
        <f t="shared" si="1"/>
        <v>27.7</v>
      </c>
      <c r="L6" s="2">
        <f t="shared" si="2"/>
        <v>313.01</v>
      </c>
      <c r="M6" s="2">
        <f t="shared" si="3"/>
        <v>5264.625</v>
      </c>
    </row>
    <row r="7" spans="1:14">
      <c r="A7" s="2"/>
      <c r="B7" s="2"/>
      <c r="C7" s="2"/>
      <c r="D7" s="2"/>
      <c r="E7" s="2"/>
      <c r="F7" s="2"/>
      <c r="G7" s="2"/>
      <c r="H7" s="2"/>
      <c r="I7" s="2"/>
      <c r="J7" s="2">
        <f t="shared" si="0"/>
        <v>0</v>
      </c>
      <c r="K7" s="2">
        <f t="shared" si="1"/>
        <v>0</v>
      </c>
      <c r="L7" s="2">
        <f t="shared" si="2"/>
        <v>0</v>
      </c>
      <c r="M7" s="2"/>
    </row>
    <row r="8" spans="1:14">
      <c r="A8" s="2" t="s">
        <v>5</v>
      </c>
      <c r="B8" s="2">
        <v>57.96</v>
      </c>
      <c r="C8" s="2" t="s">
        <v>4</v>
      </c>
      <c r="D8" s="2">
        <v>1.05</v>
      </c>
      <c r="E8" s="2">
        <v>102</v>
      </c>
      <c r="F8" s="2"/>
      <c r="G8" s="2">
        <v>1.1000000000000001</v>
      </c>
      <c r="H8" s="2">
        <v>31</v>
      </c>
      <c r="I8" s="2">
        <v>3.42</v>
      </c>
      <c r="J8" s="2">
        <f t="shared" si="0"/>
        <v>3.762</v>
      </c>
      <c r="K8" s="2">
        <f t="shared" si="1"/>
        <v>34.762</v>
      </c>
      <c r="L8" s="2">
        <f t="shared" si="2"/>
        <v>3545.7240000000002</v>
      </c>
      <c r="M8" s="2">
        <f>L8+L3</f>
        <v>5471.4989999999998</v>
      </c>
      <c r="N8">
        <f>(M6-M8)/M8</f>
        <v>-3.7809382766952858E-2</v>
      </c>
    </row>
    <row r="9" spans="1:14">
      <c r="A9" s="2"/>
      <c r="B9" s="2"/>
      <c r="C9" s="2"/>
      <c r="D9" s="2"/>
      <c r="E9" s="2"/>
      <c r="F9" s="2"/>
      <c r="G9" s="2"/>
      <c r="H9" s="2"/>
      <c r="I9" s="2"/>
      <c r="J9" s="2">
        <f t="shared" si="0"/>
        <v>0</v>
      </c>
      <c r="K9" s="2">
        <f t="shared" si="1"/>
        <v>0</v>
      </c>
      <c r="L9" s="2">
        <f t="shared" si="2"/>
        <v>0</v>
      </c>
      <c r="M9" s="2"/>
    </row>
    <row r="10" spans="1:14">
      <c r="A10" s="2" t="s">
        <v>7</v>
      </c>
      <c r="B10" s="2">
        <v>39.24</v>
      </c>
      <c r="C10" s="2" t="s">
        <v>4</v>
      </c>
      <c r="D10" s="2">
        <v>0.71</v>
      </c>
      <c r="E10" s="2">
        <v>46.8</v>
      </c>
      <c r="F10" s="2"/>
      <c r="G10" s="2">
        <v>1.1000000000000001</v>
      </c>
      <c r="H10" s="2">
        <v>31</v>
      </c>
      <c r="I10" s="2">
        <v>3.42</v>
      </c>
      <c r="J10" s="2">
        <f t="shared" si="0"/>
        <v>3.762</v>
      </c>
      <c r="K10" s="2">
        <f t="shared" si="1"/>
        <v>34.762</v>
      </c>
      <c r="L10" s="2">
        <f t="shared" si="2"/>
        <v>1626.8616</v>
      </c>
      <c r="M10" s="2">
        <f>M4+L10</f>
        <v>5239.3765999999996</v>
      </c>
      <c r="N10">
        <f>(M6-M10)/M6</f>
        <v>4.7958591542608259E-3</v>
      </c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>
        <f t="shared" si="0"/>
        <v>0</v>
      </c>
      <c r="K11" s="2">
        <f t="shared" si="1"/>
        <v>0</v>
      </c>
      <c r="L11" s="2">
        <f t="shared" si="2"/>
        <v>0</v>
      </c>
      <c r="M11" s="2"/>
    </row>
    <row r="12" spans="1:14">
      <c r="A12" s="2" t="s">
        <v>8</v>
      </c>
      <c r="B12" s="2">
        <v>6.12</v>
      </c>
      <c r="C12" s="2" t="s">
        <v>6</v>
      </c>
      <c r="D12" s="2">
        <v>0.22</v>
      </c>
      <c r="E12" s="2">
        <v>7.8</v>
      </c>
      <c r="F12" s="2"/>
      <c r="G12" s="2">
        <v>1.1000000000000001</v>
      </c>
      <c r="H12" s="2">
        <v>36</v>
      </c>
      <c r="I12" s="2">
        <v>1.0900000000000001</v>
      </c>
      <c r="J12" s="2">
        <f t="shared" si="0"/>
        <v>1.1990000000000003</v>
      </c>
      <c r="K12" s="2">
        <f t="shared" si="1"/>
        <v>37.198999999999998</v>
      </c>
      <c r="L12" s="2">
        <f t="shared" si="2"/>
        <v>290.15219999999999</v>
      </c>
      <c r="M12" s="2">
        <f>M5+L12</f>
        <v>5241.7672000000002</v>
      </c>
      <c r="N12">
        <f>(M6-M12)/M6</f>
        <v>4.3417717311299035E-3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7"/>
  <sheetViews>
    <sheetView tabSelected="1" workbookViewId="0">
      <selection activeCell="G14" sqref="G14"/>
    </sheetView>
  </sheetViews>
  <sheetFormatPr defaultRowHeight="15"/>
  <cols>
    <col min="2" max="2" width="6" customWidth="1"/>
    <col min="3" max="3" width="6.42578125" customWidth="1"/>
    <col min="9" max="9" width="7" customWidth="1"/>
    <col min="10" max="10" width="7.7109375" customWidth="1"/>
    <col min="11" max="11" width="9" customWidth="1"/>
    <col min="13" max="13" width="7.42578125" customWidth="1"/>
    <col min="14" max="14" width="6.28515625" customWidth="1"/>
    <col min="15" max="15" width="7.7109375" customWidth="1"/>
    <col min="18" max="18" width="36.5703125" customWidth="1"/>
    <col min="19" max="19" width="7.28515625" customWidth="1"/>
    <col min="25" max="25" width="7.7109375" customWidth="1"/>
    <col min="26" max="26" width="7.85546875" customWidth="1"/>
    <col min="30" max="30" width="8" customWidth="1"/>
    <col min="35" max="35" width="7.42578125" customWidth="1"/>
  </cols>
  <sheetData>
    <row r="1" spans="1:35" ht="18.75">
      <c r="C1" s="21" t="s">
        <v>98</v>
      </c>
      <c r="J1" s="7"/>
    </row>
    <row r="2" spans="1:35">
      <c r="B2" s="34" t="s">
        <v>29</v>
      </c>
      <c r="C2" s="34" t="s">
        <v>41</v>
      </c>
      <c r="D2" s="30" t="s">
        <v>37</v>
      </c>
      <c r="E2" s="30"/>
      <c r="F2" s="30"/>
      <c r="G2" s="34" t="s">
        <v>88</v>
      </c>
      <c r="H2" s="30" t="s">
        <v>42</v>
      </c>
      <c r="I2" s="30"/>
      <c r="J2" s="30"/>
      <c r="K2" s="34" t="s">
        <v>60</v>
      </c>
      <c r="L2" s="34" t="s">
        <v>90</v>
      </c>
      <c r="M2" s="34" t="s">
        <v>91</v>
      </c>
      <c r="N2" s="30" t="s">
        <v>38</v>
      </c>
      <c r="O2" s="30"/>
      <c r="P2" s="30"/>
      <c r="Q2" s="30"/>
      <c r="R2" s="28" t="s">
        <v>55</v>
      </c>
      <c r="S2" s="34" t="s">
        <v>22</v>
      </c>
      <c r="T2" s="30" t="s">
        <v>58</v>
      </c>
      <c r="U2" s="30"/>
      <c r="V2" s="30" t="s">
        <v>61</v>
      </c>
      <c r="W2" s="30"/>
      <c r="X2" s="30"/>
      <c r="Y2" s="34" t="s">
        <v>49</v>
      </c>
      <c r="Z2" s="30" t="s">
        <v>39</v>
      </c>
      <c r="AA2" s="30"/>
      <c r="AB2" s="30"/>
      <c r="AC2" s="30"/>
      <c r="AD2" s="34" t="s">
        <v>52</v>
      </c>
      <c r="AE2" s="30" t="s">
        <v>40</v>
      </c>
      <c r="AF2" s="30"/>
      <c r="AG2" s="30"/>
      <c r="AH2" s="34" t="s">
        <v>62</v>
      </c>
      <c r="AI2" s="35" t="s">
        <v>65</v>
      </c>
    </row>
    <row r="3" spans="1:35" ht="63" customHeight="1">
      <c r="B3" s="34"/>
      <c r="C3" s="34"/>
      <c r="D3" s="8" t="s">
        <v>86</v>
      </c>
      <c r="E3" s="8" t="s">
        <v>59</v>
      </c>
      <c r="F3" s="8" t="s">
        <v>87</v>
      </c>
      <c r="G3" s="34"/>
      <c r="H3" s="8" t="s">
        <v>89</v>
      </c>
      <c r="I3" s="8" t="s">
        <v>43</v>
      </c>
      <c r="J3" s="8" t="s">
        <v>63</v>
      </c>
      <c r="K3" s="34"/>
      <c r="L3" s="34"/>
      <c r="M3" s="34"/>
      <c r="N3" s="8" t="s">
        <v>45</v>
      </c>
      <c r="O3" s="8" t="s">
        <v>72</v>
      </c>
      <c r="P3" s="8" t="s">
        <v>46</v>
      </c>
      <c r="Q3" s="8" t="s">
        <v>47</v>
      </c>
      <c r="R3" s="29"/>
      <c r="S3" s="34"/>
      <c r="T3" s="8" t="s">
        <v>92</v>
      </c>
      <c r="U3" s="8" t="s">
        <v>48</v>
      </c>
      <c r="V3" s="8" t="s">
        <v>93</v>
      </c>
      <c r="W3" s="8" t="s">
        <v>92</v>
      </c>
      <c r="X3" s="8" t="s">
        <v>94</v>
      </c>
      <c r="Y3" s="34"/>
      <c r="Z3" s="8" t="s">
        <v>50</v>
      </c>
      <c r="AA3" s="8" t="s">
        <v>96</v>
      </c>
      <c r="AB3" s="8" t="s">
        <v>95</v>
      </c>
      <c r="AC3" s="8" t="s">
        <v>51</v>
      </c>
      <c r="AD3" s="34"/>
      <c r="AE3" s="8" t="s">
        <v>97</v>
      </c>
      <c r="AF3" s="8" t="s">
        <v>53</v>
      </c>
      <c r="AG3" s="8" t="s">
        <v>64</v>
      </c>
      <c r="AH3" s="34"/>
      <c r="AI3" s="36"/>
    </row>
    <row r="4" spans="1:35" ht="15" customHeight="1"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2">
        <v>13</v>
      </c>
      <c r="O4" s="12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2">
        <v>20</v>
      </c>
      <c r="V4" s="12">
        <v>21</v>
      </c>
      <c r="W4" s="12">
        <v>22</v>
      </c>
      <c r="X4" s="12">
        <v>23</v>
      </c>
      <c r="Y4" s="12">
        <v>24</v>
      </c>
      <c r="Z4" s="12">
        <v>25</v>
      </c>
      <c r="AA4" s="12">
        <v>26</v>
      </c>
      <c r="AB4" s="12">
        <v>27</v>
      </c>
      <c r="AC4" s="12">
        <v>28</v>
      </c>
      <c r="AD4" s="12">
        <v>29</v>
      </c>
      <c r="AE4" s="12">
        <v>30</v>
      </c>
      <c r="AF4" s="12">
        <v>31</v>
      </c>
      <c r="AG4" s="12">
        <v>32</v>
      </c>
      <c r="AH4" s="12">
        <v>33</v>
      </c>
      <c r="AI4" s="12">
        <v>34</v>
      </c>
    </row>
    <row r="5" spans="1:35" ht="16.5" customHeight="1">
      <c r="B5" s="9" t="s">
        <v>0</v>
      </c>
      <c r="C5" s="9">
        <v>55.8</v>
      </c>
      <c r="D5" s="9">
        <v>1400000</v>
      </c>
      <c r="E5" s="9">
        <v>255</v>
      </c>
      <c r="F5" s="9">
        <v>5.9249999999999998</v>
      </c>
      <c r="G5" s="9">
        <v>100000</v>
      </c>
      <c r="H5" s="9">
        <f>D5-G5</f>
        <v>1300000</v>
      </c>
      <c r="I5" s="9">
        <f>E5-1</f>
        <v>254</v>
      </c>
      <c r="J5" s="9">
        <v>4.6130000000000004</v>
      </c>
      <c r="K5" s="9">
        <f>(F5+J5)/2</f>
        <v>5.2690000000000001</v>
      </c>
      <c r="L5" s="9">
        <f>G5*K5/(N5*1.2)</f>
        <v>9979.1666666666679</v>
      </c>
      <c r="M5" s="9" t="s">
        <v>23</v>
      </c>
      <c r="N5" s="9">
        <v>44</v>
      </c>
      <c r="O5" s="9">
        <v>10.7</v>
      </c>
      <c r="P5" s="9">
        <f>O5*S5</f>
        <v>16.049999999999997</v>
      </c>
      <c r="Q5" s="9">
        <f>N5+P5</f>
        <v>60.05</v>
      </c>
      <c r="R5" s="5" t="s">
        <v>127</v>
      </c>
      <c r="S5" s="9">
        <v>1.5</v>
      </c>
      <c r="T5" s="9">
        <v>10016</v>
      </c>
      <c r="U5" s="9">
        <v>467.4</v>
      </c>
      <c r="V5" s="9">
        <f>U5/K5</f>
        <v>88.707534636553419</v>
      </c>
      <c r="W5" s="9">
        <f>T5/K5</f>
        <v>1900.9299677358133</v>
      </c>
      <c r="X5" s="9">
        <f>W5*Q5</f>
        <v>114150.84456253558</v>
      </c>
      <c r="Y5" s="14">
        <f>(H5-(D5-X5))/H5*100</f>
        <v>1.0885265048104338</v>
      </c>
      <c r="Z5" s="9">
        <v>1.08</v>
      </c>
      <c r="AA5" s="9">
        <v>2260.8000000000002</v>
      </c>
      <c r="AB5" s="9">
        <f>(E5+I5)/2</f>
        <v>254.5</v>
      </c>
      <c r="AC5" s="9">
        <f>(AB5-6)*Z5*Q5</f>
        <v>16116.218999999999</v>
      </c>
      <c r="AD5" s="14">
        <f>AC5/(15.5*AA5)</f>
        <v>0.45990625642079308</v>
      </c>
      <c r="AE5" s="9">
        <f>D5-X5</f>
        <v>1285849.1554374644</v>
      </c>
      <c r="AF5" s="14">
        <f>E5-AD5</f>
        <v>254.54009374357921</v>
      </c>
      <c r="AG5" s="9">
        <v>5.4160000000000004</v>
      </c>
      <c r="AH5" s="9">
        <f>(F5+AG5)/2</f>
        <v>5.6705000000000005</v>
      </c>
      <c r="AI5" s="9"/>
    </row>
    <row r="6" spans="1:35" ht="36.75" customHeight="1">
      <c r="B6" s="9" t="s">
        <v>1</v>
      </c>
      <c r="C6" s="9">
        <v>42.48</v>
      </c>
      <c r="D6" s="9">
        <f t="shared" ref="D6:F7" si="0">AE5</f>
        <v>1285849.1554374644</v>
      </c>
      <c r="E6" s="14">
        <f t="shared" si="0"/>
        <v>254.54009374357921</v>
      </c>
      <c r="F6" s="9">
        <f t="shared" si="0"/>
        <v>5.4160000000000004</v>
      </c>
      <c r="G6" s="9">
        <v>150000</v>
      </c>
      <c r="H6" s="9">
        <f>D6-G6</f>
        <v>1135849.1554374644</v>
      </c>
      <c r="I6" s="14">
        <f>E6-2</f>
        <v>252.54009374357921</v>
      </c>
      <c r="J6" s="9">
        <v>4.7850000000000001</v>
      </c>
      <c r="K6" s="9">
        <f>(F6+J6)/2</f>
        <v>5.1005000000000003</v>
      </c>
      <c r="L6" s="9">
        <f>G6*K6/(N6*1.2)</f>
        <v>5692.5223214285716</v>
      </c>
      <c r="M6" s="9" t="s">
        <v>23</v>
      </c>
      <c r="N6" s="9">
        <v>112</v>
      </c>
      <c r="O6" s="9">
        <v>10.7</v>
      </c>
      <c r="P6" s="9">
        <f>O6*S6</f>
        <v>47.08</v>
      </c>
      <c r="Q6" s="9">
        <f>N6+P6</f>
        <v>159.07999999999998</v>
      </c>
      <c r="R6" s="6" t="s">
        <v>128</v>
      </c>
      <c r="S6" s="9">
        <v>4.4000000000000004</v>
      </c>
      <c r="T6" s="9">
        <v>5920</v>
      </c>
      <c r="U6" s="9">
        <v>350</v>
      </c>
      <c r="V6" s="9">
        <f>U6/K6</f>
        <v>68.620723458484463</v>
      </c>
      <c r="W6" s="9">
        <f>T6/K6</f>
        <v>1160.6705224977943</v>
      </c>
      <c r="X6" s="9">
        <f>W6*Q6</f>
        <v>184639.46671894909</v>
      </c>
      <c r="Y6" s="14">
        <f t="shared" ref="Y6:Y7" si="1">(H6-(D6-X6))/H6*100</f>
        <v>3.0496537813252145</v>
      </c>
      <c r="Z6" s="9">
        <v>1.08</v>
      </c>
      <c r="AA6" s="9">
        <v>2202.6</v>
      </c>
      <c r="AB6" s="9">
        <f>(E6+I6)/2</f>
        <v>253.54009374357921</v>
      </c>
      <c r="AC6" s="9">
        <f>(AB6-6)*Z6*Q6</f>
        <v>42528.97236174687</v>
      </c>
      <c r="AD6" s="14">
        <f>AC6/(11.8*AA6)</f>
        <v>1.6363162626659584</v>
      </c>
      <c r="AE6" s="9">
        <f>D6-X6</f>
        <v>1101209.6887185152</v>
      </c>
      <c r="AF6" s="14">
        <f>E6-AD6</f>
        <v>252.90377748091325</v>
      </c>
      <c r="AG6" s="9">
        <v>4.6470000000000002</v>
      </c>
      <c r="AH6" s="9">
        <f>(F6+AG6)/2</f>
        <v>5.0315000000000003</v>
      </c>
      <c r="AI6" s="9"/>
    </row>
    <row r="7" spans="1:35" ht="38.25" customHeight="1">
      <c r="B7" s="9" t="s">
        <v>2</v>
      </c>
      <c r="C7" s="9">
        <v>19.440000000000001</v>
      </c>
      <c r="D7" s="9">
        <f t="shared" si="0"/>
        <v>1101209.6887185152</v>
      </c>
      <c r="E7" s="14">
        <f t="shared" si="0"/>
        <v>252.90377748091325</v>
      </c>
      <c r="F7" s="9">
        <f t="shared" si="0"/>
        <v>4.6470000000000002</v>
      </c>
      <c r="G7" s="9">
        <v>101210</v>
      </c>
      <c r="H7" s="9">
        <v>1000000</v>
      </c>
      <c r="I7" s="14">
        <f>E7-2</f>
        <v>250.90377748091325</v>
      </c>
      <c r="J7" s="9">
        <v>4.202</v>
      </c>
      <c r="K7" s="9">
        <f>(F7+J7)/2</f>
        <v>4.4245000000000001</v>
      </c>
      <c r="L7" s="9">
        <f>G7*K7/(N7*1.2)</f>
        <v>3423.5752675840986</v>
      </c>
      <c r="M7" s="9" t="s">
        <v>24</v>
      </c>
      <c r="N7" s="9">
        <v>109</v>
      </c>
      <c r="O7" s="9">
        <v>9.1999999999999993</v>
      </c>
      <c r="P7" s="9">
        <f>O7*S7</f>
        <v>38.64</v>
      </c>
      <c r="Q7" s="9">
        <f>N7+P7</f>
        <v>147.63999999999999</v>
      </c>
      <c r="R7" s="6" t="s">
        <v>129</v>
      </c>
      <c r="S7" s="9">
        <v>4.2</v>
      </c>
      <c r="T7" s="9">
        <v>2440</v>
      </c>
      <c r="U7" s="9">
        <v>208</v>
      </c>
      <c r="V7" s="9">
        <f>U7/K7</f>
        <v>47.010961690586505</v>
      </c>
      <c r="W7" s="9">
        <f>T7/K7</f>
        <v>551.47474290880325</v>
      </c>
      <c r="X7" s="9">
        <f>W7*Q7</f>
        <v>81419.731043055697</v>
      </c>
      <c r="Y7" s="14">
        <f t="shared" si="1"/>
        <v>-1.978995767545956</v>
      </c>
      <c r="Z7" s="9">
        <v>0.99</v>
      </c>
      <c r="AA7" s="9">
        <v>2166.9</v>
      </c>
      <c r="AB7" s="9">
        <f>(E7+I7)/2</f>
        <v>251.90377748091325</v>
      </c>
      <c r="AC7" s="9">
        <f>(AB7-6)*Z7*Q7</f>
        <v>35942.181370209211</v>
      </c>
      <c r="AD7" s="14">
        <f>AC7/(5.4*AA7)</f>
        <v>3.071650520560111</v>
      </c>
      <c r="AE7" s="9">
        <f>D7-X7</f>
        <v>1019789.9576754596</v>
      </c>
      <c r="AF7" s="14">
        <f>E7-AD7</f>
        <v>249.83212696035315</v>
      </c>
      <c r="AG7" s="9">
        <v>4.21</v>
      </c>
      <c r="AH7" s="9">
        <f>(F7+AG7)/2</f>
        <v>4.4284999999999997</v>
      </c>
      <c r="AI7" s="9"/>
    </row>
    <row r="8" spans="1:35">
      <c r="B8" s="31" t="s">
        <v>54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/>
    </row>
    <row r="9" spans="1:35" ht="15.75" customHeight="1">
      <c r="B9" s="9" t="s">
        <v>25</v>
      </c>
      <c r="C9" s="9">
        <v>13.32</v>
      </c>
      <c r="D9" s="9">
        <f>AE5</f>
        <v>1285849.1554374644</v>
      </c>
      <c r="E9" s="14">
        <f>AF5</f>
        <v>254.54009374357921</v>
      </c>
      <c r="F9" s="9">
        <f>AG5</f>
        <v>5.4160000000000004</v>
      </c>
      <c r="G9" s="9">
        <f>D9-H9</f>
        <v>285849.15543746436</v>
      </c>
      <c r="H9" s="9">
        <v>1000000</v>
      </c>
      <c r="I9" s="14">
        <f>E9-1</f>
        <v>253.54009374357921</v>
      </c>
      <c r="J9" s="9">
        <v>4.1790000000000003</v>
      </c>
      <c r="K9" s="9">
        <f t="shared" ref="K9:K10" si="2">(F9+J9)/2</f>
        <v>4.7975000000000003</v>
      </c>
      <c r="L9" s="9">
        <f t="shared" ref="L9:L10" si="3">G9*K9/(N9*1.2)</f>
        <v>42325.966765778874</v>
      </c>
      <c r="M9" s="9" t="s">
        <v>27</v>
      </c>
      <c r="N9" s="9">
        <v>27</v>
      </c>
      <c r="O9" s="9">
        <v>5.68</v>
      </c>
      <c r="P9" s="9">
        <f>O9*S9</f>
        <v>1598.9199999999998</v>
      </c>
      <c r="Q9" s="9">
        <f t="shared" ref="Q9:Q10" si="4">N9+P9</f>
        <v>1625.9199999999998</v>
      </c>
      <c r="R9" s="11" t="s">
        <v>56</v>
      </c>
      <c r="S9" s="9">
        <v>281.5</v>
      </c>
      <c r="T9" s="9">
        <v>810</v>
      </c>
      <c r="U9" s="9">
        <v>301</v>
      </c>
      <c r="V9" s="9">
        <f>U9/K9</f>
        <v>62.741010943199576</v>
      </c>
      <c r="W9" s="9">
        <f>T9/K9</f>
        <v>168.83793642522147</v>
      </c>
      <c r="X9" s="9">
        <f>W9*Q9</f>
        <v>274516.97759249608</v>
      </c>
      <c r="Y9" s="14">
        <f>(H9-(D9-X9))/H9*100</f>
        <v>-1.1332177844968274</v>
      </c>
      <c r="Z9" s="9">
        <v>0.84</v>
      </c>
      <c r="AA9" s="9">
        <v>2210.6999999999998</v>
      </c>
      <c r="AB9" s="9">
        <f t="shared" ref="AB9:AB10" si="5">(E9+I9)/2</f>
        <v>254.04009374357921</v>
      </c>
      <c r="AC9" s="9">
        <f>(AB9-6)*Z9*Q9</f>
        <v>338766.41334443062</v>
      </c>
      <c r="AD9" s="14">
        <f>AC9/(3.7*AA9)</f>
        <v>41.416062827651587</v>
      </c>
      <c r="AE9" s="9">
        <f>D9-X9</f>
        <v>1011332.1778449683</v>
      </c>
      <c r="AF9" s="15">
        <f>E9-AD9</f>
        <v>213.12403091592762</v>
      </c>
      <c r="AG9" s="9">
        <v>4.63</v>
      </c>
      <c r="AH9" s="9">
        <f>(F9+AG9)/2</f>
        <v>5.0229999999999997</v>
      </c>
      <c r="AI9" s="13">
        <f>(376659-(X5+X9))/376659*100</f>
        <v>-3.1882477665558677</v>
      </c>
    </row>
    <row r="10" spans="1:35">
      <c r="A10" s="3"/>
      <c r="B10" s="9" t="s">
        <v>26</v>
      </c>
      <c r="C10" s="9">
        <v>23.04</v>
      </c>
      <c r="D10" s="9">
        <f>D7</f>
        <v>1101209.6887185152</v>
      </c>
      <c r="E10" s="14">
        <f>E7</f>
        <v>252.90377748091325</v>
      </c>
      <c r="F10" s="9">
        <f>F7</f>
        <v>4.6470000000000002</v>
      </c>
      <c r="G10" s="9">
        <v>101210</v>
      </c>
      <c r="H10" s="9">
        <v>1000000</v>
      </c>
      <c r="I10" s="14">
        <f>E10-1</f>
        <v>251.90377748091325</v>
      </c>
      <c r="J10" s="9">
        <v>4.1929999999999996</v>
      </c>
      <c r="K10" s="9">
        <f t="shared" si="2"/>
        <v>4.42</v>
      </c>
      <c r="L10" s="9">
        <f t="shared" si="3"/>
        <v>13807.043209876545</v>
      </c>
      <c r="M10" s="9" t="s">
        <v>28</v>
      </c>
      <c r="N10" s="9">
        <v>27</v>
      </c>
      <c r="O10" s="9">
        <v>7.1</v>
      </c>
      <c r="P10" s="9">
        <f>O10*S10</f>
        <v>507.65</v>
      </c>
      <c r="Q10" s="9">
        <f t="shared" si="4"/>
        <v>534.65</v>
      </c>
      <c r="R10" s="11" t="s">
        <v>57</v>
      </c>
      <c r="S10" s="9">
        <v>71.5</v>
      </c>
      <c r="T10" s="10">
        <v>915</v>
      </c>
      <c r="U10" s="9">
        <v>363</v>
      </c>
      <c r="V10" s="9">
        <f>U10/K10</f>
        <v>82.126696832579185</v>
      </c>
      <c r="W10" s="9">
        <f>T10/K10</f>
        <v>207.01357466063348</v>
      </c>
      <c r="X10" s="9">
        <f>W10*Q10</f>
        <v>110679.80769230769</v>
      </c>
      <c r="Y10" s="14">
        <f>(H10-(D10-X10))/H10*100</f>
        <v>0.94701189737925306</v>
      </c>
      <c r="Z10" s="9">
        <v>0.91</v>
      </c>
      <c r="AA10" s="9">
        <v>2183.1999999999998</v>
      </c>
      <c r="AB10" s="9">
        <f t="shared" si="5"/>
        <v>252.40377748091325</v>
      </c>
      <c r="AC10" s="9">
        <f>(AB10-6)*Z10*Q10</f>
        <v>119883.19946345495</v>
      </c>
      <c r="AD10" s="14">
        <f>AC10/(6.4*AA10)</f>
        <v>8.5799514090165054</v>
      </c>
      <c r="AE10" s="9">
        <f>D10-X10</f>
        <v>990529.88102620747</v>
      </c>
      <c r="AF10" s="15">
        <f>E10-AD10</f>
        <v>244.32382607189675</v>
      </c>
      <c r="AG10" s="9">
        <v>4.2640000000000002</v>
      </c>
      <c r="AH10" s="9">
        <f>(F10+AG10)/2</f>
        <v>4.4555000000000007</v>
      </c>
      <c r="AI10" s="13">
        <f>(400000-(X6+X5+X10))/400000*100</f>
        <v>-2.3675297434480891</v>
      </c>
    </row>
    <row r="11" spans="1:35">
      <c r="B11" s="46" t="s">
        <v>10</v>
      </c>
      <c r="C11" s="4" t="s">
        <v>12</v>
      </c>
      <c r="D11" s="4" t="s">
        <v>132</v>
      </c>
      <c r="E11" s="3" t="s">
        <v>132</v>
      </c>
      <c r="F11" s="4"/>
      <c r="G11" s="3" t="s">
        <v>133</v>
      </c>
      <c r="H11" s="4"/>
      <c r="I11" s="4"/>
      <c r="J11" s="4"/>
      <c r="K11" s="4"/>
      <c r="L11" s="4"/>
      <c r="M11" s="4"/>
      <c r="N11" s="4" t="s">
        <v>134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</sheetData>
  <mergeCells count="20">
    <mergeCell ref="AI2:AI3"/>
    <mergeCell ref="AH2:AH3"/>
    <mergeCell ref="Z2:AC2"/>
    <mergeCell ref="AE2:AG2"/>
    <mergeCell ref="R2:R3"/>
    <mergeCell ref="T2:U2"/>
    <mergeCell ref="V2:X2"/>
    <mergeCell ref="B8:AI8"/>
    <mergeCell ref="M2:M3"/>
    <mergeCell ref="S2:S3"/>
    <mergeCell ref="D2:F2"/>
    <mergeCell ref="H2:J2"/>
    <mergeCell ref="N2:Q2"/>
    <mergeCell ref="G2:G3"/>
    <mergeCell ref="C2:C3"/>
    <mergeCell ref="B2:B3"/>
    <mergeCell ref="K2:K3"/>
    <mergeCell ref="L2:L3"/>
    <mergeCell ref="Y2:Y3"/>
    <mergeCell ref="AD2:AD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V13"/>
  <sheetViews>
    <sheetView workbookViewId="0">
      <selection activeCell="H3" sqref="H3:H4"/>
    </sheetView>
  </sheetViews>
  <sheetFormatPr defaultRowHeight="15"/>
  <cols>
    <col min="2" max="2" width="6.140625" customWidth="1"/>
    <col min="3" max="3" width="9" customWidth="1"/>
    <col min="4" max="5" width="6.7109375" customWidth="1"/>
    <col min="6" max="6" width="8.140625" customWidth="1"/>
    <col min="7" max="7" width="8.5703125" customWidth="1"/>
    <col min="8" max="8" width="40.28515625" customWidth="1"/>
    <col min="9" max="9" width="6" customWidth="1"/>
    <col min="13" max="13" width="7.140625" customWidth="1"/>
    <col min="15" max="15" width="7.42578125" customWidth="1"/>
    <col min="16" max="16" width="7.85546875" customWidth="1"/>
    <col min="17" max="17" width="9.42578125" customWidth="1"/>
    <col min="18" max="19" width="8.28515625" customWidth="1"/>
    <col min="22" max="22" width="7.42578125" customWidth="1"/>
  </cols>
  <sheetData>
    <row r="1" spans="2:22" ht="18.75">
      <c r="B1" s="21" t="s">
        <v>85</v>
      </c>
      <c r="C1" s="22"/>
    </row>
    <row r="2" spans="2:22" ht="15.75">
      <c r="B2" s="7" t="s">
        <v>76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2:22">
      <c r="B3" s="34" t="s">
        <v>29</v>
      </c>
      <c r="C3" s="34" t="s">
        <v>41</v>
      </c>
      <c r="D3" s="30" t="s">
        <v>66</v>
      </c>
      <c r="E3" s="30"/>
      <c r="F3" s="30"/>
      <c r="G3" s="30"/>
      <c r="H3" s="30" t="s">
        <v>55</v>
      </c>
      <c r="I3" s="37" t="s">
        <v>22</v>
      </c>
      <c r="J3" s="34" t="s">
        <v>81</v>
      </c>
      <c r="K3" s="31" t="s">
        <v>67</v>
      </c>
      <c r="L3" s="33"/>
      <c r="M3" s="41" t="s">
        <v>71</v>
      </c>
      <c r="N3" s="34" t="s">
        <v>82</v>
      </c>
      <c r="O3" s="34" t="s">
        <v>44</v>
      </c>
      <c r="P3" s="30" t="s">
        <v>68</v>
      </c>
      <c r="Q3" s="30"/>
      <c r="R3" s="34" t="s">
        <v>73</v>
      </c>
      <c r="S3" s="34" t="s">
        <v>83</v>
      </c>
      <c r="T3" s="34" t="s">
        <v>74</v>
      </c>
      <c r="U3" s="34" t="s">
        <v>75</v>
      </c>
      <c r="V3" s="34" t="s">
        <v>80</v>
      </c>
    </row>
    <row r="4" spans="2:22" ht="75" customHeight="1">
      <c r="B4" s="34"/>
      <c r="C4" s="34"/>
      <c r="D4" s="8" t="s">
        <v>45</v>
      </c>
      <c r="E4" s="8" t="s">
        <v>72</v>
      </c>
      <c r="F4" s="8" t="s">
        <v>46</v>
      </c>
      <c r="G4" s="8" t="s">
        <v>47</v>
      </c>
      <c r="H4" s="30"/>
      <c r="I4" s="37"/>
      <c r="J4" s="34"/>
      <c r="K4" s="8" t="s">
        <v>69</v>
      </c>
      <c r="L4" s="8" t="s">
        <v>70</v>
      </c>
      <c r="M4" s="41"/>
      <c r="N4" s="34"/>
      <c r="O4" s="34"/>
      <c r="P4" s="8" t="s">
        <v>73</v>
      </c>
      <c r="Q4" s="8" t="s">
        <v>84</v>
      </c>
      <c r="R4" s="34"/>
      <c r="S4" s="34"/>
      <c r="T4" s="34"/>
      <c r="U4" s="34"/>
      <c r="V4" s="34"/>
    </row>
    <row r="5" spans="2:22"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20</v>
      </c>
      <c r="V5" s="12">
        <v>21</v>
      </c>
    </row>
    <row r="6" spans="2:22" ht="27.75" customHeight="1">
      <c r="B6" s="20" t="s">
        <v>30</v>
      </c>
      <c r="C6" s="20">
        <v>17.5</v>
      </c>
      <c r="D6" s="20">
        <v>109</v>
      </c>
      <c r="E6" s="20">
        <v>3.8</v>
      </c>
      <c r="F6" s="20">
        <f>I6*E6</f>
        <v>14.06</v>
      </c>
      <c r="G6" s="20">
        <f>F6+D6</f>
        <v>123.06</v>
      </c>
      <c r="H6" s="16" t="s">
        <v>130</v>
      </c>
      <c r="I6" s="9">
        <v>3.7</v>
      </c>
      <c r="J6" s="9">
        <v>640000</v>
      </c>
      <c r="K6" s="9">
        <v>40000</v>
      </c>
      <c r="L6" s="9">
        <f>J6-K6</f>
        <v>600000</v>
      </c>
      <c r="M6" s="9">
        <v>14.2</v>
      </c>
      <c r="N6" s="9">
        <f>K6/(M6*D6*1.1)</f>
        <v>23.493756534201033</v>
      </c>
      <c r="O6" s="9" t="s">
        <v>27</v>
      </c>
      <c r="P6" s="9">
        <v>0.41</v>
      </c>
      <c r="Q6" s="9">
        <v>23.5</v>
      </c>
      <c r="R6" s="9">
        <f>P6*M6</f>
        <v>5.8219999999999992</v>
      </c>
      <c r="S6" s="9">
        <f>Q6*M6</f>
        <v>333.7</v>
      </c>
      <c r="T6" s="9">
        <f>S6*G6</f>
        <v>41065.121999999996</v>
      </c>
      <c r="U6" s="9">
        <f>J6-T6</f>
        <v>598934.87800000003</v>
      </c>
      <c r="V6" s="14">
        <f>(L6-U6)/U6*100</f>
        <v>0.17783602844380919</v>
      </c>
    </row>
    <row r="7" spans="2:22" ht="33.75">
      <c r="B7" s="20" t="s">
        <v>31</v>
      </c>
      <c r="C7" s="20">
        <v>38.229999999999997</v>
      </c>
      <c r="D7" s="20">
        <v>112</v>
      </c>
      <c r="E7" s="20">
        <v>4.8</v>
      </c>
      <c r="F7" s="20">
        <f t="shared" ref="F7:F11" si="0">I7*E7</f>
        <v>22.56</v>
      </c>
      <c r="G7" s="20">
        <f t="shared" ref="G7:G11" si="1">F7+D7</f>
        <v>134.56</v>
      </c>
      <c r="H7" s="16" t="s">
        <v>131</v>
      </c>
      <c r="I7" s="9">
        <v>4.7</v>
      </c>
      <c r="J7" s="9">
        <f>U6</f>
        <v>598934.87800000003</v>
      </c>
      <c r="K7" s="9">
        <v>200000</v>
      </c>
      <c r="L7" s="9">
        <f>J7-K7</f>
        <v>398934.87800000003</v>
      </c>
      <c r="M7" s="9">
        <v>34.6</v>
      </c>
      <c r="N7" s="9">
        <f>K7/(M7*D7*1.1)</f>
        <v>46.918399519555585</v>
      </c>
      <c r="O7" s="9" t="s">
        <v>28</v>
      </c>
      <c r="P7" s="9">
        <v>0.62</v>
      </c>
      <c r="Q7" s="9">
        <v>42.5</v>
      </c>
      <c r="R7" s="9">
        <f>P7*M7</f>
        <v>21.452000000000002</v>
      </c>
      <c r="S7" s="9">
        <f>Q7*M7</f>
        <v>1470.5</v>
      </c>
      <c r="T7" s="9">
        <f>S7*G7</f>
        <v>197870.48</v>
      </c>
      <c r="U7" s="9">
        <f>J7-T7</f>
        <v>401064.39800000004</v>
      </c>
      <c r="V7" s="14">
        <f t="shared" ref="V7:V8" si="2">(L7-U7)/U7*100</f>
        <v>-0.53096709920385865</v>
      </c>
    </row>
    <row r="8" spans="2:22" ht="23.25" customHeight="1">
      <c r="B8" s="20" t="s">
        <v>33</v>
      </c>
      <c r="C8" s="20">
        <v>50.22</v>
      </c>
      <c r="D8" s="20">
        <v>43</v>
      </c>
      <c r="E8" s="20">
        <v>6.2</v>
      </c>
      <c r="F8" s="20">
        <f t="shared" si="0"/>
        <v>14.26</v>
      </c>
      <c r="G8" s="20">
        <f t="shared" si="1"/>
        <v>57.26</v>
      </c>
      <c r="H8" s="19" t="s">
        <v>77</v>
      </c>
      <c r="I8" s="9">
        <v>2.2999999999999998</v>
      </c>
      <c r="J8" s="9">
        <f>U7</f>
        <v>401064.39800000004</v>
      </c>
      <c r="K8" s="9">
        <v>278549</v>
      </c>
      <c r="L8" s="9">
        <v>120000</v>
      </c>
      <c r="M8" s="9">
        <v>199.5</v>
      </c>
      <c r="N8" s="9">
        <f>K8/(M8*D8*1.1)</f>
        <v>29.51872281125647</v>
      </c>
      <c r="O8" s="9" t="s">
        <v>32</v>
      </c>
      <c r="P8" s="9">
        <v>0.55000000000000004</v>
      </c>
      <c r="Q8" s="9">
        <v>24.7</v>
      </c>
      <c r="R8" s="9">
        <f>P8*M8</f>
        <v>109.72500000000001</v>
      </c>
      <c r="S8" s="9">
        <f>Q8*M8</f>
        <v>4927.6499999999996</v>
      </c>
      <c r="T8" s="9">
        <f>S8*G8</f>
        <v>282157.23899999994</v>
      </c>
      <c r="U8" s="9">
        <f>J8-T8</f>
        <v>118907.1590000001</v>
      </c>
      <c r="V8" s="14">
        <f t="shared" si="2"/>
        <v>0.91907081894026033</v>
      </c>
    </row>
    <row r="9" spans="2:22">
      <c r="B9" s="38" t="s">
        <v>54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</row>
    <row r="10" spans="2:22">
      <c r="B10" s="9" t="s">
        <v>34</v>
      </c>
      <c r="C10" s="9">
        <v>11.99</v>
      </c>
      <c r="D10" s="9">
        <v>27</v>
      </c>
      <c r="E10" s="9">
        <v>1.84</v>
      </c>
      <c r="F10" s="9">
        <f t="shared" si="0"/>
        <v>39.192</v>
      </c>
      <c r="G10" s="9">
        <f t="shared" si="1"/>
        <v>66.192000000000007</v>
      </c>
      <c r="H10" s="16" t="s">
        <v>78</v>
      </c>
      <c r="I10" s="9">
        <v>21.3</v>
      </c>
      <c r="J10" s="9">
        <v>640000</v>
      </c>
      <c r="K10" s="9">
        <f>J10-L10</f>
        <v>238935.60199999996</v>
      </c>
      <c r="L10" s="9">
        <f>J8</f>
        <v>401064.39800000004</v>
      </c>
      <c r="M10" s="9">
        <v>34.6</v>
      </c>
      <c r="N10" s="9">
        <f t="shared" ref="N10:N11" si="3">K10/(M10*D10*1.1)</f>
        <v>232.51357700317232</v>
      </c>
      <c r="O10" s="9" t="s">
        <v>35</v>
      </c>
      <c r="P10" s="9">
        <v>0.66</v>
      </c>
      <c r="Q10" s="9">
        <v>105</v>
      </c>
      <c r="R10" s="9">
        <f t="shared" ref="R10:R11" si="4">P10*M10</f>
        <v>22.836000000000002</v>
      </c>
      <c r="S10" s="9">
        <f t="shared" ref="S10:S11" si="5">Q10*M10</f>
        <v>3633</v>
      </c>
      <c r="T10" s="9">
        <f t="shared" ref="T10:T11" si="6">S10*G10</f>
        <v>240475.53600000002</v>
      </c>
      <c r="U10" s="9">
        <f t="shared" ref="U10:U11" si="7">J10-T10</f>
        <v>399524.46399999998</v>
      </c>
      <c r="V10" s="14">
        <f>(L10-U10)/L10*100</f>
        <v>0.38396177962424538</v>
      </c>
    </row>
    <row r="11" spans="2:22">
      <c r="B11" s="9" t="s">
        <v>36</v>
      </c>
      <c r="C11" s="9">
        <v>20.74</v>
      </c>
      <c r="D11" s="9">
        <v>27</v>
      </c>
      <c r="E11" s="9">
        <v>2.87</v>
      </c>
      <c r="F11" s="9">
        <f t="shared" si="0"/>
        <v>3.7310000000000003</v>
      </c>
      <c r="G11" s="9">
        <f t="shared" si="1"/>
        <v>30.731000000000002</v>
      </c>
      <c r="H11" s="16" t="s">
        <v>79</v>
      </c>
      <c r="I11" s="9">
        <v>1.3</v>
      </c>
      <c r="J11" s="9">
        <v>640000</v>
      </c>
      <c r="K11" s="9">
        <f>J11-L11</f>
        <v>41065.121999999974</v>
      </c>
      <c r="L11" s="9">
        <f>J7</f>
        <v>598934.87800000003</v>
      </c>
      <c r="M11" s="9">
        <v>14.2</v>
      </c>
      <c r="N11" s="9">
        <f t="shared" si="3"/>
        <v>97.370707070707013</v>
      </c>
      <c r="O11" s="9" t="s">
        <v>6</v>
      </c>
      <c r="P11" s="9">
        <v>0.8</v>
      </c>
      <c r="Q11" s="9">
        <v>119</v>
      </c>
      <c r="R11" s="9">
        <f t="shared" si="4"/>
        <v>11.36</v>
      </c>
      <c r="S11" s="9">
        <f t="shared" si="5"/>
        <v>1689.8</v>
      </c>
      <c r="T11" s="9">
        <f t="shared" si="6"/>
        <v>51929.243800000004</v>
      </c>
      <c r="U11" s="9">
        <f t="shared" si="7"/>
        <v>588070.75619999995</v>
      </c>
      <c r="V11" s="14">
        <f>(L11-U11)/L11*100</f>
        <v>1.8139070204557499</v>
      </c>
    </row>
    <row r="13" spans="2:22">
      <c r="H13" s="17"/>
    </row>
  </sheetData>
  <mergeCells count="17">
    <mergeCell ref="B9:V9"/>
    <mergeCell ref="D3:G3"/>
    <mergeCell ref="P3:Q3"/>
    <mergeCell ref="V3:V4"/>
    <mergeCell ref="U3:U4"/>
    <mergeCell ref="T3:T4"/>
    <mergeCell ref="S3:S4"/>
    <mergeCell ref="R3:R4"/>
    <mergeCell ref="O3:O4"/>
    <mergeCell ref="N3:N4"/>
    <mergeCell ref="M3:M4"/>
    <mergeCell ref="J3:J4"/>
    <mergeCell ref="I3:I4"/>
    <mergeCell ref="H3:H4"/>
    <mergeCell ref="C3:C4"/>
    <mergeCell ref="B3:B4"/>
    <mergeCell ref="K3:L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55"/>
  <sheetViews>
    <sheetView workbookViewId="0">
      <selection activeCell="H45" sqref="H45"/>
    </sheetView>
  </sheetViews>
  <sheetFormatPr defaultRowHeight="15"/>
  <cols>
    <col min="3" max="3" width="11.7109375" customWidth="1"/>
  </cols>
  <sheetData>
    <row r="2" spans="2:7" ht="23.25">
      <c r="B2" s="45" t="s">
        <v>99</v>
      </c>
      <c r="C2" s="45"/>
      <c r="D2" s="45"/>
      <c r="E2" s="45"/>
      <c r="F2" s="45"/>
      <c r="G2" s="45"/>
    </row>
    <row r="3" spans="2:7" ht="31.5" customHeight="1">
      <c r="B3" s="23" t="s">
        <v>100</v>
      </c>
      <c r="C3" s="23" t="s">
        <v>101</v>
      </c>
      <c r="D3" s="23" t="s">
        <v>102</v>
      </c>
      <c r="E3" s="23" t="s">
        <v>103</v>
      </c>
      <c r="F3" s="23" t="s">
        <v>104</v>
      </c>
      <c r="G3" s="23" t="s">
        <v>105</v>
      </c>
    </row>
    <row r="4" spans="2:7" ht="15.75">
      <c r="B4" s="42" t="s">
        <v>106</v>
      </c>
      <c r="C4" s="42"/>
      <c r="D4" s="42"/>
      <c r="E4" s="42"/>
      <c r="F4" s="42"/>
      <c r="G4" s="42"/>
    </row>
    <row r="5" spans="2:7" ht="15.75">
      <c r="B5" s="44">
        <v>1</v>
      </c>
      <c r="C5" s="43" t="s">
        <v>107</v>
      </c>
      <c r="D5" s="42" t="s">
        <v>108</v>
      </c>
      <c r="E5" s="42"/>
      <c r="F5" s="42"/>
      <c r="G5" s="42"/>
    </row>
    <row r="6" spans="2:7" ht="15.75">
      <c r="B6" s="44"/>
      <c r="C6" s="43"/>
      <c r="D6" s="24" t="s">
        <v>109</v>
      </c>
      <c r="E6" s="24">
        <v>150</v>
      </c>
      <c r="F6" s="24">
        <v>45.92</v>
      </c>
      <c r="G6" s="25" t="s">
        <v>110</v>
      </c>
    </row>
    <row r="7" spans="2:7" ht="15.75">
      <c r="B7" s="44"/>
      <c r="C7" s="43"/>
      <c r="D7" s="24" t="s">
        <v>111</v>
      </c>
      <c r="E7" s="24">
        <v>95</v>
      </c>
      <c r="F7" s="24">
        <v>23.31</v>
      </c>
      <c r="G7" s="25" t="s">
        <v>110</v>
      </c>
    </row>
    <row r="8" spans="2:7" ht="15.75">
      <c r="B8" s="44"/>
      <c r="C8" s="43"/>
      <c r="D8" s="24" t="s">
        <v>112</v>
      </c>
      <c r="E8" s="24">
        <v>62</v>
      </c>
      <c r="F8" s="24">
        <v>13.42</v>
      </c>
      <c r="G8" s="25" t="s">
        <v>110</v>
      </c>
    </row>
    <row r="9" spans="2:7" ht="15.75">
      <c r="B9" s="44"/>
      <c r="C9" s="43"/>
      <c r="D9" s="24" t="s">
        <v>113</v>
      </c>
      <c r="E9" s="24">
        <v>36</v>
      </c>
      <c r="F9" s="24">
        <v>8.8699999999999992</v>
      </c>
      <c r="G9" s="25" t="s">
        <v>110</v>
      </c>
    </row>
    <row r="10" spans="2:7" ht="15.75">
      <c r="B10" s="44">
        <v>2</v>
      </c>
      <c r="C10" s="43" t="s">
        <v>114</v>
      </c>
      <c r="D10" s="42" t="s">
        <v>115</v>
      </c>
      <c r="E10" s="42"/>
      <c r="F10" s="42"/>
      <c r="G10" s="42"/>
    </row>
    <row r="11" spans="2:7" ht="15.75">
      <c r="B11" s="44"/>
      <c r="C11" s="43"/>
      <c r="D11" s="24" t="s">
        <v>109</v>
      </c>
      <c r="E11" s="24">
        <v>2</v>
      </c>
      <c r="F11" s="24">
        <v>168</v>
      </c>
      <c r="G11" s="25" t="s">
        <v>120</v>
      </c>
    </row>
    <row r="12" spans="2:7" ht="15.75">
      <c r="B12" s="44"/>
      <c r="C12" s="43"/>
      <c r="D12" s="24" t="s">
        <v>111</v>
      </c>
      <c r="E12" s="24">
        <v>2</v>
      </c>
      <c r="F12" s="24">
        <v>120</v>
      </c>
      <c r="G12" s="25" t="s">
        <v>120</v>
      </c>
    </row>
    <row r="13" spans="2:7" ht="15.75">
      <c r="B13" s="44"/>
      <c r="C13" s="43"/>
      <c r="D13" s="24" t="s">
        <v>112</v>
      </c>
      <c r="E13" s="24">
        <v>4</v>
      </c>
      <c r="F13" s="24">
        <v>74</v>
      </c>
      <c r="G13" s="25" t="s">
        <v>120</v>
      </c>
    </row>
    <row r="14" spans="2:7" ht="15.75">
      <c r="B14" s="44"/>
      <c r="C14" s="43"/>
      <c r="D14" s="24" t="s">
        <v>113</v>
      </c>
      <c r="E14" s="24">
        <v>2</v>
      </c>
      <c r="F14" s="24">
        <v>39.299999999999997</v>
      </c>
      <c r="G14" s="25" t="s">
        <v>120</v>
      </c>
    </row>
    <row r="15" spans="2:7" ht="15.75">
      <c r="B15" s="43">
        <v>3</v>
      </c>
      <c r="C15" s="43" t="s">
        <v>117</v>
      </c>
      <c r="D15" s="42" t="s">
        <v>116</v>
      </c>
      <c r="E15" s="42"/>
      <c r="F15" s="42"/>
      <c r="G15" s="42"/>
    </row>
    <row r="16" spans="2:7" ht="15.75">
      <c r="B16" s="43"/>
      <c r="C16" s="43"/>
      <c r="D16" s="24" t="s">
        <v>109</v>
      </c>
      <c r="E16" s="24">
        <v>2</v>
      </c>
      <c r="F16" s="24">
        <v>31.3</v>
      </c>
      <c r="G16" s="25" t="s">
        <v>120</v>
      </c>
    </row>
    <row r="17" spans="2:7" ht="15.75">
      <c r="B17" s="43"/>
      <c r="C17" s="43"/>
      <c r="D17" s="24" t="s">
        <v>111</v>
      </c>
      <c r="E17" s="24">
        <v>1</v>
      </c>
      <c r="F17" s="24">
        <v>13.5</v>
      </c>
      <c r="G17" s="25" t="s">
        <v>120</v>
      </c>
    </row>
    <row r="18" spans="2:7" ht="15.75">
      <c r="B18" s="43">
        <v>4</v>
      </c>
      <c r="C18" s="43" t="s">
        <v>118</v>
      </c>
      <c r="D18" s="42" t="s">
        <v>119</v>
      </c>
      <c r="E18" s="42"/>
      <c r="F18" s="42"/>
      <c r="G18" s="42"/>
    </row>
    <row r="19" spans="2:7" ht="15.75">
      <c r="B19" s="43"/>
      <c r="C19" s="43"/>
      <c r="D19" s="24" t="s">
        <v>109</v>
      </c>
      <c r="E19" s="24">
        <v>4</v>
      </c>
      <c r="F19" s="24">
        <v>26.4</v>
      </c>
      <c r="G19" s="25" t="s">
        <v>120</v>
      </c>
    </row>
    <row r="20" spans="2:7" ht="15.75">
      <c r="B20" s="43"/>
      <c r="C20" s="43"/>
      <c r="D20" s="24" t="s">
        <v>111</v>
      </c>
      <c r="E20" s="24">
        <v>4</v>
      </c>
      <c r="F20" s="24">
        <v>12.4</v>
      </c>
      <c r="G20" s="25" t="s">
        <v>120</v>
      </c>
    </row>
    <row r="21" spans="2:7" ht="15.75">
      <c r="B21" s="42" t="s">
        <v>121</v>
      </c>
      <c r="C21" s="42"/>
      <c r="D21" s="42"/>
      <c r="E21" s="42"/>
      <c r="F21" s="42"/>
      <c r="G21" s="42"/>
    </row>
    <row r="22" spans="2:7" ht="15.75">
      <c r="B22" s="44">
        <v>5</v>
      </c>
      <c r="C22" s="43" t="s">
        <v>107</v>
      </c>
      <c r="D22" s="42" t="s">
        <v>108</v>
      </c>
      <c r="E22" s="42"/>
      <c r="F22" s="42"/>
      <c r="G22" s="42"/>
    </row>
    <row r="23" spans="2:7" ht="15.75">
      <c r="B23" s="44"/>
      <c r="C23" s="43"/>
      <c r="D23" s="24" t="s">
        <v>111</v>
      </c>
      <c r="E23" s="24">
        <v>158</v>
      </c>
      <c r="F23" s="24">
        <v>23.31</v>
      </c>
      <c r="G23" s="26" t="s">
        <v>110</v>
      </c>
    </row>
    <row r="24" spans="2:7" ht="15.75">
      <c r="B24" s="44"/>
      <c r="C24" s="43"/>
      <c r="D24" s="24" t="s">
        <v>122</v>
      </c>
      <c r="E24" s="24">
        <v>109</v>
      </c>
      <c r="F24" s="24">
        <v>18.36</v>
      </c>
      <c r="G24" s="26" t="s">
        <v>110</v>
      </c>
    </row>
    <row r="25" spans="2:7" ht="15.75">
      <c r="B25" s="44"/>
      <c r="C25" s="43"/>
      <c r="D25" s="24" t="s">
        <v>124</v>
      </c>
      <c r="E25" s="24">
        <v>27</v>
      </c>
      <c r="F25" s="24">
        <v>14.61</v>
      </c>
      <c r="G25" s="26" t="s">
        <v>110</v>
      </c>
    </row>
    <row r="26" spans="2:7" ht="15.75">
      <c r="B26" s="44"/>
      <c r="C26" s="43"/>
      <c r="D26" s="24" t="s">
        <v>123</v>
      </c>
      <c r="E26" s="24">
        <v>27</v>
      </c>
      <c r="F26" s="24">
        <v>10.59</v>
      </c>
      <c r="G26" s="26" t="s">
        <v>110</v>
      </c>
    </row>
    <row r="27" spans="2:7" ht="15.75">
      <c r="B27" s="44">
        <v>6</v>
      </c>
      <c r="C27" s="43" t="s">
        <v>114</v>
      </c>
      <c r="D27" s="42" t="s">
        <v>115</v>
      </c>
      <c r="E27" s="42"/>
      <c r="F27" s="42"/>
      <c r="G27" s="42"/>
    </row>
    <row r="28" spans="2:7" ht="15.75">
      <c r="B28" s="44"/>
      <c r="C28" s="43"/>
      <c r="D28" s="24" t="s">
        <v>111</v>
      </c>
      <c r="E28" s="24">
        <v>2</v>
      </c>
      <c r="F28" s="24">
        <v>120</v>
      </c>
      <c r="G28" s="25" t="s">
        <v>120</v>
      </c>
    </row>
    <row r="29" spans="2:7" ht="15.75">
      <c r="B29" s="44"/>
      <c r="C29" s="43"/>
      <c r="D29" s="24" t="s">
        <v>122</v>
      </c>
      <c r="E29" s="24">
        <v>2</v>
      </c>
      <c r="F29" s="24">
        <v>120</v>
      </c>
      <c r="G29" s="25" t="s">
        <v>120</v>
      </c>
    </row>
    <row r="30" spans="2:7" ht="15.75">
      <c r="B30" s="44"/>
      <c r="C30" s="43"/>
      <c r="D30" s="24" t="s">
        <v>124</v>
      </c>
      <c r="E30" s="24">
        <v>2</v>
      </c>
      <c r="F30" s="24">
        <v>74</v>
      </c>
      <c r="G30" s="25" t="s">
        <v>120</v>
      </c>
    </row>
    <row r="31" spans="2:7" ht="15.75">
      <c r="B31" s="44"/>
      <c r="C31" s="43"/>
      <c r="D31" s="24" t="s">
        <v>123</v>
      </c>
      <c r="E31" s="24">
        <v>2</v>
      </c>
      <c r="F31" s="24">
        <v>57</v>
      </c>
      <c r="G31" s="25" t="s">
        <v>120</v>
      </c>
    </row>
    <row r="32" spans="2:7" ht="15.75">
      <c r="B32" s="43">
        <v>7</v>
      </c>
      <c r="C32" s="43" t="s">
        <v>117</v>
      </c>
      <c r="D32" s="42" t="s">
        <v>116</v>
      </c>
      <c r="E32" s="42"/>
      <c r="F32" s="42"/>
      <c r="G32" s="42"/>
    </row>
    <row r="33" spans="2:7" ht="15.75">
      <c r="B33" s="43"/>
      <c r="C33" s="43"/>
      <c r="D33" s="24" t="s">
        <v>111</v>
      </c>
      <c r="E33" s="24">
        <v>4</v>
      </c>
      <c r="F33" s="24">
        <v>12.4</v>
      </c>
      <c r="G33" s="25" t="s">
        <v>120</v>
      </c>
    </row>
    <row r="34" spans="2:7" ht="15.75">
      <c r="B34" s="44">
        <v>8</v>
      </c>
      <c r="C34" s="43" t="s">
        <v>118</v>
      </c>
      <c r="D34" s="42" t="s">
        <v>119</v>
      </c>
      <c r="E34" s="42"/>
      <c r="F34" s="42"/>
      <c r="G34" s="42"/>
    </row>
    <row r="35" spans="2:7" ht="15.75">
      <c r="B35" s="44"/>
      <c r="C35" s="43"/>
      <c r="D35" s="24" t="s">
        <v>111</v>
      </c>
      <c r="E35" s="24">
        <v>4</v>
      </c>
      <c r="F35" s="24">
        <v>12.4</v>
      </c>
      <c r="G35" s="25" t="s">
        <v>120</v>
      </c>
    </row>
    <row r="36" spans="2:7" ht="15.75">
      <c r="B36" s="44"/>
      <c r="C36" s="43"/>
      <c r="D36" s="24" t="s">
        <v>122</v>
      </c>
      <c r="E36" s="24">
        <v>4</v>
      </c>
      <c r="F36" s="24">
        <v>5.5</v>
      </c>
      <c r="G36" s="25" t="s">
        <v>120</v>
      </c>
    </row>
    <row r="37" spans="2:7" ht="15.75">
      <c r="B37" s="42" t="s">
        <v>125</v>
      </c>
      <c r="C37" s="42"/>
      <c r="D37" s="42"/>
      <c r="E37" s="42"/>
      <c r="F37" s="42"/>
      <c r="G37" s="42"/>
    </row>
    <row r="38" spans="2:7" ht="15.75">
      <c r="B38" s="44">
        <v>9</v>
      </c>
      <c r="C38" s="43" t="s">
        <v>107</v>
      </c>
      <c r="D38" s="42" t="s">
        <v>108</v>
      </c>
      <c r="E38" s="42"/>
      <c r="F38" s="42"/>
      <c r="G38" s="42"/>
    </row>
    <row r="39" spans="2:7" ht="15.75">
      <c r="B39" s="44"/>
      <c r="C39" s="43"/>
      <c r="D39" s="24" t="s">
        <v>122</v>
      </c>
      <c r="E39" s="24">
        <v>43</v>
      </c>
      <c r="F39" s="24">
        <v>18.36</v>
      </c>
      <c r="G39" s="26" t="s">
        <v>110</v>
      </c>
    </row>
    <row r="40" spans="2:7" ht="15.75">
      <c r="B40" s="44"/>
      <c r="C40" s="43"/>
      <c r="D40" s="24" t="s">
        <v>124</v>
      </c>
      <c r="E40" s="24">
        <v>112</v>
      </c>
      <c r="F40" s="24">
        <v>14.61</v>
      </c>
      <c r="G40" s="26" t="s">
        <v>110</v>
      </c>
    </row>
    <row r="41" spans="2:7" ht="15.75">
      <c r="B41" s="44"/>
      <c r="C41" s="43"/>
      <c r="D41" s="24" t="s">
        <v>123</v>
      </c>
      <c r="E41" s="24">
        <v>109</v>
      </c>
      <c r="F41" s="24">
        <v>10.59</v>
      </c>
      <c r="G41" s="26" t="s">
        <v>110</v>
      </c>
    </row>
    <row r="42" spans="2:7" ht="15.75">
      <c r="B42" s="44"/>
      <c r="C42" s="43"/>
      <c r="D42" s="24" t="s">
        <v>113</v>
      </c>
      <c r="E42" s="24">
        <v>27</v>
      </c>
      <c r="F42" s="24">
        <v>8.8699999999999992</v>
      </c>
      <c r="G42" s="26" t="s">
        <v>110</v>
      </c>
    </row>
    <row r="43" spans="2:7" ht="15.75">
      <c r="B43" s="44"/>
      <c r="C43" s="43"/>
      <c r="D43" s="24" t="s">
        <v>126</v>
      </c>
      <c r="E43" s="24">
        <v>27</v>
      </c>
      <c r="F43" s="24">
        <v>5.53</v>
      </c>
      <c r="G43" s="26" t="s">
        <v>110</v>
      </c>
    </row>
    <row r="44" spans="2:7" ht="15.75">
      <c r="B44" s="44">
        <v>10</v>
      </c>
      <c r="C44" s="43" t="s">
        <v>114</v>
      </c>
      <c r="D44" s="42" t="s">
        <v>115</v>
      </c>
      <c r="E44" s="42"/>
      <c r="F44" s="42"/>
      <c r="G44" s="42"/>
    </row>
    <row r="45" spans="2:7" ht="15.75">
      <c r="B45" s="44"/>
      <c r="C45" s="43"/>
      <c r="D45" s="24" t="s">
        <v>122</v>
      </c>
      <c r="E45" s="24">
        <v>1</v>
      </c>
      <c r="F45" s="24">
        <v>120</v>
      </c>
      <c r="G45" s="25" t="s">
        <v>120</v>
      </c>
    </row>
    <row r="46" spans="2:7" ht="15.75">
      <c r="B46" s="44"/>
      <c r="C46" s="43"/>
      <c r="D46" s="24" t="s">
        <v>124</v>
      </c>
      <c r="E46" s="24">
        <v>1</v>
      </c>
      <c r="F46" s="24">
        <v>74</v>
      </c>
      <c r="G46" s="25" t="s">
        <v>120</v>
      </c>
    </row>
    <row r="47" spans="2:7" ht="15.75">
      <c r="B47" s="44"/>
      <c r="C47" s="43"/>
      <c r="D47" s="24" t="s">
        <v>123</v>
      </c>
      <c r="E47" s="24">
        <v>2</v>
      </c>
      <c r="F47" s="24">
        <v>57</v>
      </c>
      <c r="G47" s="25" t="s">
        <v>120</v>
      </c>
    </row>
    <row r="48" spans="2:7" ht="15.75">
      <c r="B48" s="44"/>
      <c r="C48" s="43"/>
      <c r="D48" s="24" t="s">
        <v>113</v>
      </c>
      <c r="E48" s="24">
        <v>2</v>
      </c>
      <c r="F48" s="24">
        <v>39.299999999999997</v>
      </c>
      <c r="G48" s="25" t="s">
        <v>120</v>
      </c>
    </row>
    <row r="49" spans="2:7" ht="15.75">
      <c r="B49" s="44"/>
      <c r="C49" s="43"/>
      <c r="D49" s="24" t="s">
        <v>126</v>
      </c>
      <c r="E49" s="24">
        <v>2</v>
      </c>
      <c r="F49" s="24">
        <v>28</v>
      </c>
      <c r="G49" s="25" t="s">
        <v>120</v>
      </c>
    </row>
    <row r="50" spans="2:7" ht="15.75">
      <c r="B50" s="44">
        <v>11</v>
      </c>
      <c r="C50" s="43" t="s">
        <v>117</v>
      </c>
      <c r="D50" s="42" t="s">
        <v>116</v>
      </c>
      <c r="E50" s="42"/>
      <c r="F50" s="42"/>
      <c r="G50" s="42"/>
    </row>
    <row r="51" spans="2:7" ht="15.75">
      <c r="B51" s="44"/>
      <c r="C51" s="43"/>
      <c r="D51" s="24" t="s">
        <v>122</v>
      </c>
      <c r="E51" s="24">
        <v>1</v>
      </c>
      <c r="F51" s="24">
        <v>9</v>
      </c>
      <c r="G51" s="27" t="s">
        <v>120</v>
      </c>
    </row>
    <row r="52" spans="2:7" ht="15.75">
      <c r="B52" s="44"/>
      <c r="C52" s="43"/>
      <c r="D52" s="24" t="s">
        <v>124</v>
      </c>
      <c r="E52" s="24">
        <v>1</v>
      </c>
      <c r="F52" s="24">
        <v>6.5</v>
      </c>
      <c r="G52" s="27" t="s">
        <v>120</v>
      </c>
    </row>
    <row r="53" spans="2:7" ht="15.75">
      <c r="B53" s="44">
        <v>12</v>
      </c>
      <c r="C53" s="43" t="s">
        <v>118</v>
      </c>
      <c r="D53" s="42" t="s">
        <v>119</v>
      </c>
      <c r="E53" s="42"/>
      <c r="F53" s="42"/>
      <c r="G53" s="42"/>
    </row>
    <row r="54" spans="2:7" ht="15.75">
      <c r="B54" s="44"/>
      <c r="C54" s="43"/>
      <c r="D54" s="24" t="s">
        <v>124</v>
      </c>
      <c r="E54" s="24">
        <v>4</v>
      </c>
      <c r="F54" s="24">
        <v>5.5</v>
      </c>
      <c r="G54" s="27" t="s">
        <v>120</v>
      </c>
    </row>
    <row r="55" spans="2:7" ht="15.75">
      <c r="B55" s="44"/>
      <c r="C55" s="43"/>
      <c r="D55" s="24" t="s">
        <v>123</v>
      </c>
      <c r="E55" s="24">
        <v>4</v>
      </c>
      <c r="F55" s="24">
        <v>3.8</v>
      </c>
      <c r="G55" s="27" t="s">
        <v>120</v>
      </c>
    </row>
  </sheetData>
  <mergeCells count="40">
    <mergeCell ref="D53:G53"/>
    <mergeCell ref="C53:C55"/>
    <mergeCell ref="B53:B55"/>
    <mergeCell ref="B2:G2"/>
    <mergeCell ref="D50:G50"/>
    <mergeCell ref="C44:C49"/>
    <mergeCell ref="B44:B49"/>
    <mergeCell ref="B50:B52"/>
    <mergeCell ref="C50:C52"/>
    <mergeCell ref="B37:G37"/>
    <mergeCell ref="D38:G38"/>
    <mergeCell ref="C38:C43"/>
    <mergeCell ref="B38:B43"/>
    <mergeCell ref="D44:G44"/>
    <mergeCell ref="D32:G32"/>
    <mergeCell ref="C32:C33"/>
    <mergeCell ref="B32:B33"/>
    <mergeCell ref="D34:G34"/>
    <mergeCell ref="C34:C36"/>
    <mergeCell ref="B34:B36"/>
    <mergeCell ref="B21:G21"/>
    <mergeCell ref="D22:G22"/>
    <mergeCell ref="C22:C26"/>
    <mergeCell ref="B22:B26"/>
    <mergeCell ref="D27:G27"/>
    <mergeCell ref="C27:C31"/>
    <mergeCell ref="B27:B31"/>
    <mergeCell ref="B4:G4"/>
    <mergeCell ref="D5:G5"/>
    <mergeCell ref="C5:C9"/>
    <mergeCell ref="B5:B9"/>
    <mergeCell ref="D10:G10"/>
    <mergeCell ref="C10:C14"/>
    <mergeCell ref="B10:B14"/>
    <mergeCell ref="D15:G15"/>
    <mergeCell ref="C15:C17"/>
    <mergeCell ref="B15:B17"/>
    <mergeCell ref="C18:C20"/>
    <mergeCell ref="D18:G18"/>
    <mergeCell ref="B18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вода</vt:lpstr>
      <vt:lpstr>пара</vt:lpstr>
      <vt:lpstr>конденсат</vt:lpstr>
      <vt:lpstr>Специфікація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2009-12-11T11:23:10Z</cp:lastPrinted>
  <dcterms:created xsi:type="dcterms:W3CDTF">2009-11-27T07:25:32Z</dcterms:created>
  <dcterms:modified xsi:type="dcterms:W3CDTF">2010-02-19T22:38:08Z</dcterms:modified>
</cp:coreProperties>
</file>