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o2\Desktop\Elec4\connaissance_entreprise\td\"/>
    </mc:Choice>
  </mc:AlternateContent>
  <xr:revisionPtr revIDLastSave="0" documentId="13_ncr:1_{F6862D76-28BA-4693-97A9-45ED672B6FD3}" xr6:coauthVersionLast="41" xr6:coauthVersionMax="41" xr10:uidLastSave="{00000000-0000-0000-0000-000000000000}"/>
  <bookViews>
    <workbookView xWindow="2985" yWindow="2985" windowWidth="18000" windowHeight="9810" xr2:uid="{00000000-000D-0000-FFFF-FFFF00000000}"/>
  </bookViews>
  <sheets>
    <sheet name="Feuil1" sheetId="1" r:id="rId1"/>
    <sheet name="Feuil2" sheetId="2" r:id="rId2"/>
    <sheet name="Feuil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7" i="1" l="1"/>
  <c r="G67" i="1"/>
  <c r="C69" i="1"/>
  <c r="D69" i="1"/>
  <c r="C68" i="1"/>
  <c r="D68" i="1" s="1"/>
  <c r="D67" i="1"/>
  <c r="F62" i="1"/>
  <c r="B62" i="1"/>
  <c r="C62" i="1"/>
  <c r="G62" i="1"/>
  <c r="H62" i="1"/>
  <c r="G61" i="1"/>
  <c r="H61" i="1" s="1"/>
  <c r="D62" i="1"/>
  <c r="D61" i="1"/>
  <c r="C61" i="1"/>
  <c r="G57" i="1"/>
  <c r="G56" i="1"/>
  <c r="G55" i="1"/>
  <c r="H55" i="1" s="1"/>
  <c r="H56" i="1"/>
  <c r="F57" i="1"/>
  <c r="F56" i="1"/>
  <c r="G51" i="1"/>
  <c r="F51" i="1"/>
  <c r="F50" i="1"/>
  <c r="C56" i="1"/>
  <c r="B57" i="1"/>
  <c r="D56" i="1"/>
  <c r="D57" i="1" s="1"/>
  <c r="C57" i="1" s="1"/>
  <c r="D55" i="1"/>
  <c r="C51" i="1"/>
  <c r="G49" i="1" s="1"/>
  <c r="C50" i="1"/>
  <c r="D50" i="1"/>
  <c r="D51" i="1" s="1"/>
  <c r="D49" i="1"/>
  <c r="B51" i="1"/>
  <c r="G44" i="1"/>
  <c r="G43" i="1"/>
  <c r="G40" i="1"/>
  <c r="H40" i="1" s="1"/>
  <c r="G39" i="1"/>
  <c r="F44" i="1"/>
  <c r="F43" i="1"/>
  <c r="H43" i="1" s="1"/>
  <c r="F42" i="1"/>
  <c r="F41" i="1"/>
  <c r="F40" i="1"/>
  <c r="F39" i="1"/>
  <c r="H44" i="1"/>
  <c r="H42" i="1"/>
  <c r="H41" i="1"/>
  <c r="H39" i="1"/>
  <c r="C43" i="1"/>
  <c r="C44" i="1"/>
  <c r="D43" i="1"/>
  <c r="D45" i="1" s="1"/>
  <c r="C45" i="1" s="1"/>
  <c r="B44" i="1"/>
  <c r="B43" i="1"/>
  <c r="D40" i="1"/>
  <c r="D41" i="1"/>
  <c r="D42" i="1"/>
  <c r="D44" i="1"/>
  <c r="D39" i="1"/>
  <c r="B42" i="1"/>
  <c r="B41" i="1"/>
  <c r="C39" i="1"/>
  <c r="C40" i="1"/>
  <c r="B40" i="1"/>
  <c r="B39" i="1"/>
  <c r="G34" i="1"/>
  <c r="F34" i="1"/>
  <c r="F35" i="1" s="1"/>
  <c r="C34" i="1"/>
  <c r="F33" i="1"/>
  <c r="D34" i="1"/>
  <c r="D33" i="1"/>
  <c r="D35" i="1" s="1"/>
  <c r="C35" i="1" s="1"/>
  <c r="G33" i="1" s="1"/>
  <c r="H33" i="1" s="1"/>
  <c r="B35" i="1"/>
  <c r="G29" i="1"/>
  <c r="H29" i="1"/>
  <c r="F29" i="1"/>
  <c r="F28" i="1"/>
  <c r="H28" i="1" s="1"/>
  <c r="H27" i="1"/>
  <c r="G27" i="1"/>
  <c r="F27" i="1"/>
  <c r="G28" i="1"/>
  <c r="C28" i="1"/>
  <c r="B29" i="1"/>
  <c r="D28" i="1"/>
  <c r="D29" i="1" s="1"/>
  <c r="C29" i="1" s="1"/>
  <c r="D27" i="1"/>
  <c r="G23" i="1"/>
  <c r="H23" i="1"/>
  <c r="H22" i="1"/>
  <c r="G22" i="1"/>
  <c r="F22" i="1"/>
  <c r="H21" i="1"/>
  <c r="C23" i="1"/>
  <c r="D23" i="1"/>
  <c r="D22" i="1"/>
  <c r="C22" i="1"/>
  <c r="B22" i="1"/>
  <c r="D21" i="1"/>
  <c r="H16" i="1"/>
  <c r="G16" i="1"/>
  <c r="F16" i="1"/>
  <c r="E16" i="1"/>
  <c r="H63" i="1" l="1"/>
  <c r="G63" i="1" s="1"/>
  <c r="G68" i="1" s="1"/>
  <c r="D63" i="1"/>
  <c r="C63" i="1" s="1"/>
  <c r="H57" i="1"/>
  <c r="H49" i="1"/>
  <c r="G50" i="1"/>
  <c r="H50" i="1" s="1"/>
  <c r="H45" i="1"/>
  <c r="G45" i="1" s="1"/>
  <c r="H34" i="1"/>
  <c r="H35" i="1"/>
  <c r="G35" i="1" s="1"/>
  <c r="F17" i="1"/>
  <c r="G17" i="1"/>
  <c r="H17" i="1"/>
  <c r="E17" i="1"/>
  <c r="F14" i="1"/>
  <c r="G14" i="1"/>
  <c r="H14" i="1"/>
  <c r="E14" i="1"/>
  <c r="D14" i="1"/>
  <c r="C14" i="1"/>
  <c r="B13" i="1"/>
  <c r="D13" i="1" s="1"/>
  <c r="H12" i="1"/>
  <c r="G12" i="1"/>
  <c r="F12" i="1"/>
  <c r="E12" i="1"/>
  <c r="D12" i="1"/>
  <c r="C12" i="1"/>
  <c r="B12" i="1"/>
  <c r="H10" i="1"/>
  <c r="E10" i="1"/>
  <c r="F10" i="1"/>
  <c r="G10" i="1"/>
  <c r="D10" i="1"/>
  <c r="C10" i="1"/>
  <c r="H9" i="1"/>
  <c r="E9" i="1"/>
  <c r="D9" i="1"/>
  <c r="C9" i="1"/>
  <c r="H8" i="1"/>
  <c r="G8" i="1"/>
  <c r="F8" i="1"/>
  <c r="C8" i="1"/>
  <c r="H7" i="1"/>
  <c r="G7" i="1"/>
  <c r="F7" i="1"/>
  <c r="D7" i="1"/>
  <c r="C7" i="1"/>
  <c r="H6" i="1"/>
  <c r="G6" i="1"/>
  <c r="F6" i="1"/>
  <c r="H5" i="1"/>
  <c r="G5" i="1"/>
  <c r="F5" i="1"/>
  <c r="E5" i="1"/>
  <c r="D5" i="1"/>
  <c r="C5" i="1"/>
  <c r="G69" i="1" l="1"/>
  <c r="H68" i="1"/>
  <c r="H69" i="1" s="1"/>
  <c r="H51" i="1"/>
  <c r="G13" i="1"/>
  <c r="F13" i="1"/>
  <c r="H13" i="1"/>
</calcChain>
</file>

<file path=xl/sharedStrings.xml><?xml version="1.0" encoding="utf-8"?>
<sst xmlns="http://schemas.openxmlformats.org/spreadsheetml/2006/main" count="100" uniqueCount="68">
  <si>
    <t>EXERCICE SOCIETE TELESKI</t>
  </si>
  <si>
    <t>Total</t>
  </si>
  <si>
    <t>gestion personnel</t>
  </si>
  <si>
    <t>gestion matériel</t>
  </si>
  <si>
    <t>Approvisionnement</t>
  </si>
  <si>
    <t>Atelier tubes</t>
  </si>
  <si>
    <t>Atelier moulage</t>
  </si>
  <si>
    <t>Distribution</t>
  </si>
  <si>
    <t>1€ de matière achetée</t>
  </si>
  <si>
    <t>1h machine</t>
  </si>
  <si>
    <t>1h MOD</t>
  </si>
  <si>
    <t>100€ de CA</t>
  </si>
  <si>
    <t>TUBES</t>
  </si>
  <si>
    <t>RESINE</t>
  </si>
  <si>
    <t>Q</t>
  </si>
  <si>
    <t>PU</t>
  </si>
  <si>
    <t>PT</t>
  </si>
  <si>
    <t>Achat</t>
  </si>
  <si>
    <t>Centre Approvisionnement</t>
  </si>
  <si>
    <t>Cout achat total résine</t>
  </si>
  <si>
    <t xml:space="preserve">STOCK TUBES </t>
  </si>
  <si>
    <t>sorties</t>
  </si>
  <si>
    <t>stock final</t>
  </si>
  <si>
    <t>total</t>
  </si>
  <si>
    <t>STOCK RESINE</t>
  </si>
  <si>
    <t>COUT DE PRODUCTION  35  BENNES 8 PLACES</t>
  </si>
  <si>
    <t>*</t>
  </si>
  <si>
    <t>Coût Prod bennes 8P fabriquées</t>
  </si>
  <si>
    <t>FICHE STOCKS BENNES 4 PLACES</t>
  </si>
  <si>
    <t>FICHE STOCKS BENNES 8 PLACES</t>
  </si>
  <si>
    <t>COUT DE REVIENT BENNES 4 PLACES</t>
  </si>
  <si>
    <t>COUT DE REVIENT BENNES 8 PLACES</t>
  </si>
  <si>
    <r>
      <t xml:space="preserve">coût prod bennes </t>
    </r>
    <r>
      <rPr>
        <b/>
        <sz val="9"/>
        <color indexed="10"/>
        <rFont val="Arial"/>
        <family val="2"/>
      </rPr>
      <t>vendues</t>
    </r>
  </si>
  <si>
    <t>Coût de revient</t>
  </si>
  <si>
    <t>MARGE SUR BENNES 4 PLACES</t>
  </si>
  <si>
    <t>MARGES SUR BENNES 8 PLACES</t>
  </si>
  <si>
    <t>Chiffre d'affaires</t>
  </si>
  <si>
    <t>coût de revient</t>
  </si>
  <si>
    <t>Marge</t>
  </si>
  <si>
    <t>Services extérieurs</t>
  </si>
  <si>
    <t>Charges de personnel</t>
  </si>
  <si>
    <t>Impôts et taxes</t>
  </si>
  <si>
    <t>Charges financières</t>
  </si>
  <si>
    <t>Dotations</t>
  </si>
  <si>
    <t>Autres charges</t>
  </si>
  <si>
    <t>Total Répartition I</t>
  </si>
  <si>
    <t>Répartition secondaire</t>
  </si>
  <si>
    <t>Gestion personnel</t>
  </si>
  <si>
    <t>Gestion matériel</t>
  </si>
  <si>
    <t>Total Répartition II</t>
  </si>
  <si>
    <t>Unité d'œuvre : UO</t>
  </si>
  <si>
    <t xml:space="preserve">Nombre d'UO </t>
  </si>
  <si>
    <t>Coût d'Unité d'Œuvre</t>
  </si>
  <si>
    <t>Cout achat total tubes</t>
  </si>
  <si>
    <t>SI Stock initial</t>
  </si>
  <si>
    <t>Entrées mois</t>
  </si>
  <si>
    <t>COUT DE PRODUCTION  32 BENNES 4 PLACES</t>
  </si>
  <si>
    <t>Coût Prod bennes 4P  fabriquées</t>
  </si>
  <si>
    <t>SI</t>
  </si>
  <si>
    <t>Entrée benne 4P</t>
  </si>
  <si>
    <t>Entrée benne 8P</t>
  </si>
  <si>
    <t>tubes</t>
  </si>
  <si>
    <t>résine</t>
  </si>
  <si>
    <t>MOD fab bati</t>
  </si>
  <si>
    <t>MOD moulage</t>
  </si>
  <si>
    <t>centre atelier tubes</t>
  </si>
  <si>
    <t>centre atelier moulage</t>
  </si>
  <si>
    <t>Coût hors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</si>
</sst>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€&quot;_-;\-* #,##0.00&quot; €&quot;_-;_-* \-??&quot; €&quot;_-;_-@_-"/>
    <numFmt numFmtId="165" formatCode="#,##0.00_ ;\-#,##0.00\ 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4"/>
      <name val="Arial"/>
      <family val="2"/>
    </font>
    <font>
      <b/>
      <sz val="10"/>
      <color indexed="53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color indexed="14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53"/>
      <name val="Arial"/>
      <family val="2"/>
    </font>
    <font>
      <sz val="16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48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4"/>
      <color indexed="10"/>
      <name val="Arial"/>
      <family val="2"/>
    </font>
    <font>
      <sz val="14"/>
      <color indexed="48"/>
      <name val="Arial"/>
      <family val="2"/>
    </font>
    <font>
      <sz val="11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9"/>
      <color indexed="10"/>
      <name val="Arial"/>
      <family val="2"/>
    </font>
    <font>
      <b/>
      <i/>
      <sz val="10"/>
      <name val="Arial"/>
      <family val="2"/>
    </font>
    <font>
      <b/>
      <i/>
      <sz val="10"/>
      <color indexed="10"/>
      <name val="Arial"/>
      <family val="2"/>
    </font>
    <font>
      <b/>
      <i/>
      <sz val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4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20" borderId="1" applyNumberFormat="0" applyAlignment="0" applyProtection="0"/>
    <xf numFmtId="0" fontId="6" fillId="0" borderId="2" applyNumberFormat="0" applyFill="0" applyAlignment="0" applyProtection="0"/>
    <xf numFmtId="0" fontId="1" fillId="21" borderId="3" applyNumberFormat="0" applyAlignment="0" applyProtection="0"/>
    <xf numFmtId="0" fontId="7" fillId="7" borderId="1" applyNumberFormat="0" applyAlignment="0" applyProtection="0"/>
    <xf numFmtId="164" fontId="1" fillId="0" borderId="0" applyFill="0" applyBorder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0" fillId="4" borderId="0" applyNumberFormat="0" applyBorder="0" applyAlignment="0" applyProtection="0"/>
    <xf numFmtId="0" fontId="11" fillId="20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23" borderId="9" applyNumberFormat="0" applyAlignment="0" applyProtection="0"/>
  </cellStyleXfs>
  <cellXfs count="117">
    <xf numFmtId="0" fontId="0" fillId="0" borderId="0" xfId="0"/>
    <xf numFmtId="0" fontId="1" fillId="0" borderId="0" xfId="1"/>
    <xf numFmtId="0" fontId="19" fillId="0" borderId="0" xfId="1" applyFont="1"/>
    <xf numFmtId="0" fontId="20" fillId="0" borderId="10" xfId="1" applyFont="1" applyBorder="1"/>
    <xf numFmtId="0" fontId="1" fillId="0" borderId="11" xfId="1" applyFont="1" applyBorder="1" applyAlignment="1">
      <alignment horizontal="center"/>
    </xf>
    <xf numFmtId="0" fontId="21" fillId="0" borderId="11" xfId="1" applyFont="1" applyBorder="1"/>
    <xf numFmtId="0" fontId="22" fillId="0" borderId="11" xfId="1" applyFont="1" applyBorder="1"/>
    <xf numFmtId="0" fontId="22" fillId="0" borderId="12" xfId="1" applyFont="1" applyBorder="1"/>
    <xf numFmtId="0" fontId="20" fillId="0" borderId="13" xfId="1" applyFont="1" applyBorder="1"/>
    <xf numFmtId="3" fontId="1" fillId="0" borderId="11" xfId="1" applyNumberFormat="1" applyBorder="1"/>
    <xf numFmtId="0" fontId="1" fillId="0" borderId="11" xfId="1" applyBorder="1"/>
    <xf numFmtId="3" fontId="1" fillId="0" borderId="12" xfId="1" applyNumberFormat="1" applyBorder="1"/>
    <xf numFmtId="3" fontId="1" fillId="0" borderId="14" xfId="1" applyNumberFormat="1" applyBorder="1"/>
    <xf numFmtId="0" fontId="1" fillId="0" borderId="14" xfId="1" applyBorder="1"/>
    <xf numFmtId="0" fontId="1" fillId="0" borderId="15" xfId="1" applyBorder="1"/>
    <xf numFmtId="0" fontId="20" fillId="0" borderId="16" xfId="1" applyFont="1" applyBorder="1"/>
    <xf numFmtId="0" fontId="1" fillId="0" borderId="17" xfId="1" applyBorder="1"/>
    <xf numFmtId="0" fontId="1" fillId="0" borderId="18" xfId="1" applyBorder="1"/>
    <xf numFmtId="0" fontId="23" fillId="0" borderId="19" xfId="1" applyFont="1" applyBorder="1"/>
    <xf numFmtId="3" fontId="24" fillId="0" borderId="20" xfId="1" applyNumberFormat="1" applyFont="1" applyBorder="1"/>
    <xf numFmtId="0" fontId="25" fillId="0" borderId="20" xfId="1" applyFont="1" applyBorder="1"/>
    <xf numFmtId="0" fontId="27" fillId="0" borderId="21" xfId="1" applyFont="1" applyBorder="1"/>
    <xf numFmtId="0" fontId="1" fillId="0" borderId="22" xfId="1" applyBorder="1"/>
    <xf numFmtId="0" fontId="1" fillId="0" borderId="23" xfId="1" applyBorder="1"/>
    <xf numFmtId="0" fontId="27" fillId="0" borderId="13" xfId="1" applyFont="1" applyBorder="1"/>
    <xf numFmtId="0" fontId="21" fillId="0" borderId="14" xfId="1" applyFont="1" applyBorder="1"/>
    <xf numFmtId="0" fontId="21" fillId="0" borderId="15" xfId="1" applyFont="1" applyBorder="1"/>
    <xf numFmtId="0" fontId="27" fillId="0" borderId="16" xfId="1" applyFont="1" applyBorder="1"/>
    <xf numFmtId="0" fontId="23" fillId="0" borderId="24" xfId="1" applyFont="1" applyBorder="1"/>
    <xf numFmtId="0" fontId="1" fillId="0" borderId="0" xfId="1" applyFont="1" applyBorder="1"/>
    <xf numFmtId="0" fontId="28" fillId="0" borderId="19" xfId="1" applyFont="1" applyBorder="1"/>
    <xf numFmtId="3" fontId="29" fillId="0" borderId="17" xfId="1" applyNumberFormat="1" applyFont="1" applyBorder="1"/>
    <xf numFmtId="0" fontId="29" fillId="0" borderId="17" xfId="1" applyFont="1" applyBorder="1"/>
    <xf numFmtId="0" fontId="29" fillId="0" borderId="18" xfId="1" applyFont="1" applyBorder="1"/>
    <xf numFmtId="0" fontId="30" fillId="0" borderId="19" xfId="1" applyFont="1" applyBorder="1"/>
    <xf numFmtId="0" fontId="29" fillId="0" borderId="20" xfId="1" applyFont="1" applyBorder="1"/>
    <xf numFmtId="0" fontId="31" fillId="0" borderId="25" xfId="1" applyFont="1" applyBorder="1"/>
    <xf numFmtId="0" fontId="32" fillId="0" borderId="19" xfId="1" applyFont="1" applyFill="1" applyBorder="1" applyAlignment="1">
      <alignment horizontal="center"/>
    </xf>
    <xf numFmtId="0" fontId="27" fillId="0" borderId="0" xfId="1" applyFont="1" applyBorder="1"/>
    <xf numFmtId="0" fontId="1" fillId="0" borderId="0" xfId="1" applyBorder="1"/>
    <xf numFmtId="0" fontId="29" fillId="0" borderId="0" xfId="1" applyFont="1" applyBorder="1"/>
    <xf numFmtId="165" fontId="29" fillId="0" borderId="0" xfId="31" applyNumberFormat="1" applyFont="1" applyFill="1" applyBorder="1" applyAlignment="1" applyProtection="1"/>
    <xf numFmtId="0" fontId="33" fillId="0" borderId="26" xfId="1" applyFont="1" applyBorder="1"/>
    <xf numFmtId="0" fontId="33" fillId="0" borderId="27" xfId="1" applyFont="1" applyBorder="1"/>
    <xf numFmtId="0" fontId="34" fillId="0" borderId="27" xfId="1" applyFont="1" applyBorder="1"/>
    <xf numFmtId="0" fontId="35" fillId="0" borderId="28" xfId="1" applyFont="1" applyBorder="1"/>
    <xf numFmtId="0" fontId="35" fillId="0" borderId="26" xfId="1" applyFont="1" applyBorder="1"/>
    <xf numFmtId="0" fontId="36" fillId="0" borderId="27" xfId="1" applyFont="1" applyBorder="1"/>
    <xf numFmtId="0" fontId="1" fillId="0" borderId="27" xfId="1" applyBorder="1"/>
    <xf numFmtId="0" fontId="1" fillId="0" borderId="28" xfId="1" applyBorder="1"/>
    <xf numFmtId="0" fontId="1" fillId="0" borderId="13" xfId="1" applyFont="1" applyBorder="1"/>
    <xf numFmtId="0" fontId="19" fillId="0" borderId="14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3" xfId="1" applyFont="1" applyBorder="1" applyAlignment="1">
      <alignment horizontal="center"/>
    </xf>
    <xf numFmtId="0" fontId="19" fillId="0" borderId="14" xfId="1" applyFont="1" applyFill="1" applyBorder="1" applyAlignment="1">
      <alignment horizontal="center"/>
    </xf>
    <xf numFmtId="0" fontId="27" fillId="0" borderId="13" xfId="1" applyFont="1" applyFill="1" applyBorder="1"/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37" fillId="0" borderId="13" xfId="1" applyFont="1" applyFill="1" applyBorder="1"/>
    <xf numFmtId="0" fontId="38" fillId="0" borderId="29" xfId="1" applyFont="1" applyFill="1" applyBorder="1"/>
    <xf numFmtId="0" fontId="38" fillId="0" borderId="30" xfId="1" applyFont="1" applyBorder="1" applyAlignment="1">
      <alignment horizontal="center"/>
    </xf>
    <xf numFmtId="0" fontId="38" fillId="0" borderId="31" xfId="1" applyFont="1" applyBorder="1" applyAlignment="1">
      <alignment horizontal="center"/>
    </xf>
    <xf numFmtId="0" fontId="38" fillId="0" borderId="0" xfId="1" applyFont="1" applyFill="1" applyBorder="1"/>
    <xf numFmtId="0" fontId="38" fillId="0" borderId="0" xfId="1" applyFont="1" applyBorder="1"/>
    <xf numFmtId="0" fontId="23" fillId="0" borderId="0" xfId="1" applyFont="1" applyFill="1" applyBorder="1"/>
    <xf numFmtId="0" fontId="1" fillId="0" borderId="26" xfId="1" applyBorder="1"/>
    <xf numFmtId="0" fontId="39" fillId="0" borderId="27" xfId="1" applyFont="1" applyBorder="1"/>
    <xf numFmtId="0" fontId="33" fillId="0" borderId="28" xfId="1" applyFont="1" applyBorder="1"/>
    <xf numFmtId="0" fontId="38" fillId="0" borderId="14" xfId="1" applyFont="1" applyBorder="1" applyAlignment="1">
      <alignment horizontal="center"/>
    </xf>
    <xf numFmtId="0" fontId="38" fillId="0" borderId="15" xfId="1" applyFont="1" applyBorder="1" applyAlignment="1">
      <alignment horizontal="center"/>
    </xf>
    <xf numFmtId="0" fontId="38" fillId="0" borderId="13" xfId="1" applyFont="1" applyFill="1" applyBorder="1"/>
    <xf numFmtId="0" fontId="1" fillId="0" borderId="29" xfId="1" applyFont="1" applyBorder="1"/>
    <xf numFmtId="0" fontId="1" fillId="0" borderId="30" xfId="1" applyBorder="1" applyAlignment="1">
      <alignment horizontal="center"/>
    </xf>
    <xf numFmtId="0" fontId="1" fillId="0" borderId="31" xfId="1" applyBorder="1" applyAlignment="1">
      <alignment horizontal="center"/>
    </xf>
    <xf numFmtId="0" fontId="40" fillId="0" borderId="27" xfId="1" applyFont="1" applyBorder="1"/>
    <xf numFmtId="0" fontId="38" fillId="0" borderId="13" xfId="1" applyFont="1" applyBorder="1"/>
    <xf numFmtId="0" fontId="29" fillId="0" borderId="10" xfId="1" applyFont="1" applyBorder="1"/>
    <xf numFmtId="0" fontId="41" fillId="0" borderId="11" xfId="1" applyFont="1" applyBorder="1"/>
    <xf numFmtId="0" fontId="41" fillId="0" borderId="28" xfId="1" applyFont="1" applyBorder="1"/>
    <xf numFmtId="0" fontId="42" fillId="0" borderId="11" xfId="1" applyFont="1" applyFill="1" applyBorder="1"/>
    <xf numFmtId="0" fontId="43" fillId="0" borderId="11" xfId="1" applyFont="1" applyBorder="1"/>
    <xf numFmtId="0" fontId="43" fillId="0" borderId="12" xfId="1" applyFont="1" applyBorder="1"/>
    <xf numFmtId="0" fontId="29" fillId="0" borderId="13" xfId="1" applyFont="1" applyBorder="1"/>
    <xf numFmtId="0" fontId="23" fillId="0" borderId="29" xfId="1" applyFont="1" applyBorder="1"/>
    <xf numFmtId="0" fontId="38" fillId="0" borderId="30" xfId="1" applyFont="1" applyBorder="1"/>
    <xf numFmtId="0" fontId="23" fillId="0" borderId="0" xfId="1" applyFont="1" applyBorder="1"/>
    <xf numFmtId="0" fontId="44" fillId="0" borderId="27" xfId="1" applyFont="1" applyBorder="1"/>
    <xf numFmtId="0" fontId="29" fillId="0" borderId="27" xfId="1" applyFont="1" applyBorder="1"/>
    <xf numFmtId="0" fontId="29" fillId="0" borderId="28" xfId="1" applyFont="1" applyBorder="1"/>
    <xf numFmtId="0" fontId="1" fillId="0" borderId="14" xfId="1" applyBorder="1" applyAlignment="1"/>
    <xf numFmtId="0" fontId="38" fillId="0" borderId="14" xfId="1" applyFont="1" applyBorder="1"/>
    <xf numFmtId="0" fontId="1" fillId="0" borderId="30" xfId="1" applyBorder="1" applyAlignment="1"/>
    <xf numFmtId="0" fontId="1" fillId="0" borderId="30" xfId="1" applyFont="1" applyBorder="1"/>
    <xf numFmtId="0" fontId="45" fillId="0" borderId="27" xfId="1" applyFont="1" applyBorder="1"/>
    <xf numFmtId="4" fontId="1" fillId="0" borderId="14" xfId="1" applyNumberFormat="1" applyBorder="1" applyAlignment="1">
      <alignment horizontal="center"/>
    </xf>
    <xf numFmtId="0" fontId="38" fillId="0" borderId="32" xfId="1" applyFont="1" applyBorder="1"/>
    <xf numFmtId="0" fontId="1" fillId="0" borderId="32" xfId="1" applyFont="1" applyBorder="1"/>
    <xf numFmtId="0" fontId="1" fillId="0" borderId="33" xfId="1" applyFont="1" applyBorder="1"/>
    <xf numFmtId="0" fontId="23" fillId="0" borderId="13" xfId="1" applyFont="1" applyBorder="1"/>
    <xf numFmtId="0" fontId="27" fillId="0" borderId="14" xfId="1" applyFont="1" applyBorder="1" applyAlignment="1">
      <alignment horizontal="center"/>
    </xf>
    <xf numFmtId="0" fontId="30" fillId="0" borderId="13" xfId="1" applyFont="1" applyBorder="1"/>
    <xf numFmtId="0" fontId="23" fillId="0" borderId="30" xfId="1" applyFont="1" applyBorder="1" applyAlignment="1">
      <alignment horizontal="center"/>
    </xf>
    <xf numFmtId="2" fontId="38" fillId="0" borderId="0" xfId="1" applyNumberFormat="1" applyFont="1" applyBorder="1"/>
    <xf numFmtId="2" fontId="1" fillId="0" borderId="14" xfId="1" applyNumberFormat="1" applyBorder="1" applyAlignment="1">
      <alignment horizontal="center"/>
    </xf>
    <xf numFmtId="0" fontId="26" fillId="0" borderId="29" xfId="1" applyFont="1" applyBorder="1"/>
    <xf numFmtId="0" fontId="44" fillId="0" borderId="30" xfId="1" applyFont="1" applyBorder="1" applyAlignment="1">
      <alignment horizontal="center"/>
    </xf>
    <xf numFmtId="2" fontId="34" fillId="0" borderId="30" xfId="1" applyNumberFormat="1" applyFont="1" applyBorder="1" applyAlignment="1">
      <alignment horizontal="center"/>
    </xf>
    <xf numFmtId="3" fontId="1" fillId="0" borderId="17" xfId="1" applyNumberFormat="1" applyBorder="1"/>
    <xf numFmtId="0" fontId="47" fillId="0" borderId="14" xfId="1" applyFont="1" applyBorder="1" applyAlignment="1">
      <alignment horizontal="center"/>
    </xf>
    <xf numFmtId="0" fontId="48" fillId="0" borderId="14" xfId="1" applyFont="1" applyBorder="1" applyAlignment="1">
      <alignment horizontal="center"/>
    </xf>
    <xf numFmtId="0" fontId="47" fillId="0" borderId="15" xfId="1" applyFont="1" applyBorder="1" applyAlignment="1">
      <alignment horizontal="center"/>
    </xf>
    <xf numFmtId="0" fontId="48" fillId="0" borderId="14" xfId="1" applyFont="1" applyBorder="1"/>
    <xf numFmtId="0" fontId="49" fillId="0" borderId="14" xfId="1" applyFont="1" applyBorder="1" applyAlignment="1">
      <alignment horizontal="center"/>
    </xf>
    <xf numFmtId="3" fontId="47" fillId="0" borderId="14" xfId="1" applyNumberFormat="1" applyFont="1" applyBorder="1" applyAlignment="1">
      <alignment horizontal="center"/>
    </xf>
    <xf numFmtId="0" fontId="1" fillId="0" borderId="34" xfId="1" applyBorder="1"/>
    <xf numFmtId="0" fontId="1" fillId="0" borderId="35" xfId="1" applyBorder="1"/>
    <xf numFmtId="3" fontId="49" fillId="0" borderId="14" xfId="1" applyNumberFormat="1" applyFont="1" applyBorder="1" applyAlignment="1">
      <alignment horizontal="center"/>
    </xf>
  </cellXfs>
  <cellStyles count="44">
    <cellStyle name="20 % - Accent1 2" xfId="2" xr:uid="{00000000-0005-0000-0000-000000000000}"/>
    <cellStyle name="20 % - Accent2 2" xfId="3" xr:uid="{00000000-0005-0000-0000-000001000000}"/>
    <cellStyle name="20 % - Accent3 2" xfId="4" xr:uid="{00000000-0005-0000-0000-000002000000}"/>
    <cellStyle name="20 % - Accent4 2" xfId="5" xr:uid="{00000000-0005-0000-0000-000003000000}"/>
    <cellStyle name="20 % - Accent5 2" xfId="6" xr:uid="{00000000-0005-0000-0000-000004000000}"/>
    <cellStyle name="20 % - Accent6 2" xfId="7" xr:uid="{00000000-0005-0000-0000-000005000000}"/>
    <cellStyle name="40 % - Accent1 2" xfId="8" xr:uid="{00000000-0005-0000-0000-000006000000}"/>
    <cellStyle name="40 % - Accent2 2" xfId="9" xr:uid="{00000000-0005-0000-0000-000007000000}"/>
    <cellStyle name="40 % - Accent3 2" xfId="10" xr:uid="{00000000-0005-0000-0000-000008000000}"/>
    <cellStyle name="40 % - Accent4 2" xfId="11" xr:uid="{00000000-0005-0000-0000-000009000000}"/>
    <cellStyle name="40 % - Accent5 2" xfId="12" xr:uid="{00000000-0005-0000-0000-00000A000000}"/>
    <cellStyle name="40 % - Accent6 2" xfId="13" xr:uid="{00000000-0005-0000-0000-00000B000000}"/>
    <cellStyle name="60 % - Accent1 2" xfId="14" xr:uid="{00000000-0005-0000-0000-00000C000000}"/>
    <cellStyle name="60 % - Accent2 2" xfId="15" xr:uid="{00000000-0005-0000-0000-00000D000000}"/>
    <cellStyle name="60 % - Accent3 2" xfId="16" xr:uid="{00000000-0005-0000-0000-00000E000000}"/>
    <cellStyle name="60 % - Accent4 2" xfId="17" xr:uid="{00000000-0005-0000-0000-00000F000000}"/>
    <cellStyle name="60 % - Accent5 2" xfId="18" xr:uid="{00000000-0005-0000-0000-000010000000}"/>
    <cellStyle name="60 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Avertissement 2" xfId="26" xr:uid="{00000000-0005-0000-0000-000018000000}"/>
    <cellStyle name="Calcul 2" xfId="27" xr:uid="{00000000-0005-0000-0000-000019000000}"/>
    <cellStyle name="Cellule liée 2" xfId="28" xr:uid="{00000000-0005-0000-0000-00001A000000}"/>
    <cellStyle name="Commentaire 2" xfId="29" xr:uid="{00000000-0005-0000-0000-00001B000000}"/>
    <cellStyle name="Entrée 2" xfId="30" xr:uid="{00000000-0005-0000-0000-00001C000000}"/>
    <cellStyle name="Euro" xfId="31" xr:uid="{00000000-0005-0000-0000-00001D000000}"/>
    <cellStyle name="Insatisfaisant 2" xfId="32" xr:uid="{00000000-0005-0000-0000-00001E000000}"/>
    <cellStyle name="Neutre 2" xfId="33" xr:uid="{00000000-0005-0000-0000-00001F000000}"/>
    <cellStyle name="Normal" xfId="0" builtinId="0"/>
    <cellStyle name="Normal 2" xfId="1" xr:uid="{00000000-0005-0000-0000-000021000000}"/>
    <cellStyle name="Satisfaisant 2" xfId="34" xr:uid="{00000000-0005-0000-0000-000022000000}"/>
    <cellStyle name="Sortie 2" xfId="35" xr:uid="{00000000-0005-0000-0000-000023000000}"/>
    <cellStyle name="Texte explicatif 2" xfId="36" xr:uid="{00000000-0005-0000-0000-000024000000}"/>
    <cellStyle name="Titre 1" xfId="37" xr:uid="{00000000-0005-0000-0000-000025000000}"/>
    <cellStyle name="Titre 1 2" xfId="38" xr:uid="{00000000-0005-0000-0000-000026000000}"/>
    <cellStyle name="Titre 2 2" xfId="39" xr:uid="{00000000-0005-0000-0000-000027000000}"/>
    <cellStyle name="Titre 3 2" xfId="40" xr:uid="{00000000-0005-0000-0000-000028000000}"/>
    <cellStyle name="Titre 4 2" xfId="41" xr:uid="{00000000-0005-0000-0000-000029000000}"/>
    <cellStyle name="Total 2" xfId="42" xr:uid="{00000000-0005-0000-0000-00002A000000}"/>
    <cellStyle name="Vérification 2" xfId="4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topLeftCell="A43" workbookViewId="0">
      <selection activeCell="E59" sqref="E59"/>
    </sheetView>
  </sheetViews>
  <sheetFormatPr baseColWidth="10" defaultRowHeight="15" x14ac:dyDescent="0.25"/>
  <cols>
    <col min="1" max="1" width="21.5703125" customWidth="1"/>
    <col min="2" max="2" width="13.7109375" customWidth="1"/>
    <col min="3" max="3" width="16.140625" customWidth="1"/>
    <col min="4" max="4" width="13.85546875" customWidth="1"/>
    <col min="5" max="5" width="21" customWidth="1"/>
  </cols>
  <sheetData>
    <row r="1" spans="1:8" ht="15.75" x14ac:dyDescent="0.25">
      <c r="A1" s="1"/>
      <c r="B1" s="1"/>
      <c r="C1" s="1"/>
      <c r="D1" s="2" t="s">
        <v>0</v>
      </c>
      <c r="E1" s="2"/>
      <c r="F1" s="1"/>
      <c r="G1" s="1"/>
      <c r="H1" s="1"/>
    </row>
    <row r="2" spans="1:8" ht="16.5" thickBot="1" x14ac:dyDescent="0.3">
      <c r="A2" s="1"/>
      <c r="B2" s="1"/>
      <c r="C2" s="1"/>
      <c r="D2" s="2"/>
      <c r="E2" s="2"/>
      <c r="F2" s="1"/>
      <c r="G2" s="1"/>
      <c r="H2" s="1"/>
    </row>
    <row r="3" spans="1:8" ht="15.75" thickBot="1" x14ac:dyDescent="0.3">
      <c r="A3" s="3"/>
      <c r="B3" s="4" t="s">
        <v>1</v>
      </c>
      <c r="C3" s="5" t="s">
        <v>2</v>
      </c>
      <c r="D3" s="5" t="s">
        <v>3</v>
      </c>
      <c r="E3" s="6" t="s">
        <v>4</v>
      </c>
      <c r="F3" s="6" t="s">
        <v>5</v>
      </c>
      <c r="G3" s="6" t="s">
        <v>6</v>
      </c>
      <c r="H3" s="7" t="s">
        <v>7</v>
      </c>
    </row>
    <row r="4" spans="1:8" x14ac:dyDescent="0.25">
      <c r="A4" s="8" t="s">
        <v>39</v>
      </c>
      <c r="B4" s="9">
        <v>158265</v>
      </c>
      <c r="C4" s="10">
        <v>3000</v>
      </c>
      <c r="D4" s="10">
        <v>2700</v>
      </c>
      <c r="E4" s="10">
        <v>860</v>
      </c>
      <c r="F4" s="10">
        <v>47200</v>
      </c>
      <c r="G4" s="10">
        <v>83440</v>
      </c>
      <c r="H4" s="11">
        <v>21065</v>
      </c>
    </row>
    <row r="5" spans="1:8" x14ac:dyDescent="0.25">
      <c r="A5" s="8" t="s">
        <v>40</v>
      </c>
      <c r="B5" s="12">
        <v>100000</v>
      </c>
      <c r="C5" s="13">
        <f>0.05*B5</f>
        <v>5000</v>
      </c>
      <c r="D5" s="13">
        <f>0.02*B5</f>
        <v>2000</v>
      </c>
      <c r="E5" s="13">
        <f>0.02*B5</f>
        <v>2000</v>
      </c>
      <c r="F5" s="13">
        <f>0.3*B5</f>
        <v>30000</v>
      </c>
      <c r="G5" s="13">
        <f>0.25*B5</f>
        <v>25000</v>
      </c>
      <c r="H5" s="14">
        <f>0.36*B5</f>
        <v>36000</v>
      </c>
    </row>
    <row r="6" spans="1:8" x14ac:dyDescent="0.25">
      <c r="A6" s="8" t="s">
        <v>41</v>
      </c>
      <c r="B6" s="12">
        <v>60000</v>
      </c>
      <c r="C6" s="13"/>
      <c r="D6" s="13"/>
      <c r="E6" s="13"/>
      <c r="F6" s="13">
        <f>0.2*B6</f>
        <v>12000</v>
      </c>
      <c r="G6" s="13">
        <f>0.2*B6</f>
        <v>12000</v>
      </c>
      <c r="H6" s="14">
        <f>0.6*B6</f>
        <v>36000</v>
      </c>
    </row>
    <row r="7" spans="1:8" x14ac:dyDescent="0.25">
      <c r="A7" s="8" t="s">
        <v>42</v>
      </c>
      <c r="B7" s="12">
        <v>110000</v>
      </c>
      <c r="C7" s="13">
        <f>0.05*B7</f>
        <v>5500</v>
      </c>
      <c r="D7" s="13">
        <f>0.05*B7</f>
        <v>5500</v>
      </c>
      <c r="E7" s="13"/>
      <c r="F7" s="13">
        <f>0.3*B7</f>
        <v>33000</v>
      </c>
      <c r="G7" s="13">
        <f>0.3*B7</f>
        <v>33000</v>
      </c>
      <c r="H7" s="14">
        <f>0.3*B7</f>
        <v>33000</v>
      </c>
    </row>
    <row r="8" spans="1:8" x14ac:dyDescent="0.25">
      <c r="A8" s="8" t="s">
        <v>43</v>
      </c>
      <c r="B8" s="12">
        <v>250000</v>
      </c>
      <c r="C8" s="13">
        <f>0.05*B8</f>
        <v>12500</v>
      </c>
      <c r="D8" s="13"/>
      <c r="E8" s="13"/>
      <c r="F8" s="13">
        <f>0.4*B8</f>
        <v>100000</v>
      </c>
      <c r="G8" s="13">
        <f>0.45*B8</f>
        <v>112500</v>
      </c>
      <c r="H8" s="14">
        <f>0.1*B8</f>
        <v>25000</v>
      </c>
    </row>
    <row r="9" spans="1:8" ht="15.75" thickBot="1" x14ac:dyDescent="0.3">
      <c r="A9" s="15" t="s">
        <v>44</v>
      </c>
      <c r="B9" s="107">
        <v>20000</v>
      </c>
      <c r="C9" s="16">
        <f>0.1*B9</f>
        <v>2000</v>
      </c>
      <c r="D9" s="16">
        <f>0.1*B9</f>
        <v>2000</v>
      </c>
      <c r="E9" s="16">
        <f>0.1*B9</f>
        <v>2000</v>
      </c>
      <c r="F9" s="16"/>
      <c r="G9" s="16"/>
      <c r="H9" s="17">
        <f>0.7*B9</f>
        <v>14000</v>
      </c>
    </row>
    <row r="10" spans="1:8" ht="15.75" thickBot="1" x14ac:dyDescent="0.3">
      <c r="A10" s="18" t="s">
        <v>45</v>
      </c>
      <c r="B10" s="19">
        <v>698265</v>
      </c>
      <c r="C10" s="20">
        <f>SUM(C4:C9)</f>
        <v>28000</v>
      </c>
      <c r="D10" s="20">
        <f>SUM(D4:D9)</f>
        <v>12200</v>
      </c>
      <c r="E10" s="20">
        <f t="shared" ref="E10:G10" si="0">SUM(E4:E9)</f>
        <v>4860</v>
      </c>
      <c r="F10" s="20">
        <f t="shared" si="0"/>
        <v>222200</v>
      </c>
      <c r="G10" s="20">
        <f t="shared" si="0"/>
        <v>265940</v>
      </c>
      <c r="H10" s="20">
        <f>SUM(H4:H9)</f>
        <v>165065</v>
      </c>
    </row>
    <row r="11" spans="1:8" x14ac:dyDescent="0.25">
      <c r="A11" s="21" t="s">
        <v>46</v>
      </c>
      <c r="B11" s="22"/>
      <c r="C11" s="22"/>
      <c r="D11" s="22"/>
      <c r="E11" s="22"/>
      <c r="F11" s="22"/>
      <c r="G11" s="22"/>
      <c r="H11" s="23"/>
    </row>
    <row r="12" spans="1:8" x14ac:dyDescent="0.25">
      <c r="A12" s="24" t="s">
        <v>47</v>
      </c>
      <c r="B12" s="13">
        <f>C10</f>
        <v>28000</v>
      </c>
      <c r="C12" s="25">
        <f>-1*B12</f>
        <v>-28000</v>
      </c>
      <c r="D12" s="25">
        <f>0.1*B12</f>
        <v>2800</v>
      </c>
      <c r="E12" s="25">
        <f>0.1*B12</f>
        <v>2800</v>
      </c>
      <c r="F12" s="25">
        <f>0.3*B12</f>
        <v>8400</v>
      </c>
      <c r="G12" s="25">
        <f>0.4*B12</f>
        <v>11200</v>
      </c>
      <c r="H12" s="26">
        <f>0.1*B12</f>
        <v>2800</v>
      </c>
    </row>
    <row r="13" spans="1:8" ht="15.75" thickBot="1" x14ac:dyDescent="0.3">
      <c r="A13" s="27" t="s">
        <v>48</v>
      </c>
      <c r="B13" s="114">
        <f>D10+D12</f>
        <v>15000</v>
      </c>
      <c r="C13" s="114"/>
      <c r="D13" s="114">
        <f>-1*B13</f>
        <v>-15000</v>
      </c>
      <c r="E13" s="16"/>
      <c r="F13" s="16">
        <f>0.4*B13</f>
        <v>6000</v>
      </c>
      <c r="G13" s="16">
        <f>0.4*B13</f>
        <v>6000</v>
      </c>
      <c r="H13" s="17">
        <f>0.2*B13</f>
        <v>3000</v>
      </c>
    </row>
    <row r="14" spans="1:8" ht="15.75" thickBot="1" x14ac:dyDescent="0.3">
      <c r="A14" s="28" t="s">
        <v>49</v>
      </c>
      <c r="B14" s="29"/>
      <c r="C14" s="29">
        <f>SUM(C10:C13)</f>
        <v>0</v>
      </c>
      <c r="D14" s="29">
        <f>SUM(D10:D13)</f>
        <v>0</v>
      </c>
      <c r="E14" s="30">
        <f>SUM(E10:E13)</f>
        <v>7660</v>
      </c>
      <c r="F14" s="30">
        <f t="shared" ref="F14:H14" si="1">SUM(F10:F13)</f>
        <v>236600</v>
      </c>
      <c r="G14" s="30">
        <f t="shared" si="1"/>
        <v>283140</v>
      </c>
      <c r="H14" s="30">
        <f t="shared" si="1"/>
        <v>170865</v>
      </c>
    </row>
    <row r="15" spans="1:8" x14ac:dyDescent="0.25">
      <c r="A15" s="21" t="s">
        <v>50</v>
      </c>
      <c r="B15" s="115"/>
      <c r="C15" s="115"/>
      <c r="D15" s="115"/>
      <c r="E15" s="22" t="s">
        <v>8</v>
      </c>
      <c r="F15" s="22" t="s">
        <v>9</v>
      </c>
      <c r="G15" s="22" t="s">
        <v>10</v>
      </c>
      <c r="H15" s="23" t="s">
        <v>11</v>
      </c>
    </row>
    <row r="16" spans="1:8" ht="15.75" thickBot="1" x14ac:dyDescent="0.3">
      <c r="A16" s="27" t="s">
        <v>51</v>
      </c>
      <c r="B16" s="16"/>
      <c r="C16" s="16"/>
      <c r="D16" s="16"/>
      <c r="E16" s="31">
        <f>400*120 + 2600*11</f>
        <v>76600</v>
      </c>
      <c r="F16" s="32">
        <f>32*1 + 35*1.5</f>
        <v>84.5</v>
      </c>
      <c r="G16" s="32">
        <f>32*5+35*5.8</f>
        <v>363</v>
      </c>
      <c r="H16" s="33">
        <f xml:space="preserve"> (34*10500+40*13500)/100</f>
        <v>8970</v>
      </c>
    </row>
    <row r="17" spans="1:8" ht="21" thickBot="1" x14ac:dyDescent="0.35">
      <c r="A17" s="34" t="s">
        <v>52</v>
      </c>
      <c r="B17" s="35"/>
      <c r="C17" s="35"/>
      <c r="D17" s="36"/>
      <c r="E17" s="37">
        <f>E14/E16</f>
        <v>0.1</v>
      </c>
      <c r="F17" s="37">
        <f t="shared" ref="F17:H17" si="2">F14/F16</f>
        <v>2800</v>
      </c>
      <c r="G17" s="37">
        <f t="shared" si="2"/>
        <v>780</v>
      </c>
      <c r="H17" s="37">
        <f t="shared" si="2"/>
        <v>19.048494983277592</v>
      </c>
    </row>
    <row r="18" spans="1:8" ht="15.75" thickBot="1" x14ac:dyDescent="0.3">
      <c r="A18" s="38"/>
      <c r="B18" s="39"/>
      <c r="C18" s="39"/>
      <c r="D18" s="39"/>
      <c r="E18" s="40"/>
      <c r="F18" s="40"/>
      <c r="G18" s="40"/>
      <c r="H18" s="41"/>
    </row>
    <row r="19" spans="1:8" ht="18" x14ac:dyDescent="0.25">
      <c r="A19" s="42"/>
      <c r="B19" s="43"/>
      <c r="C19" s="44" t="s">
        <v>12</v>
      </c>
      <c r="D19" s="45"/>
      <c r="E19" s="46"/>
      <c r="F19" s="47" t="s">
        <v>13</v>
      </c>
      <c r="G19" s="48"/>
      <c r="H19" s="49"/>
    </row>
    <row r="20" spans="1:8" ht="15.75" x14ac:dyDescent="0.25">
      <c r="A20" s="50"/>
      <c r="B20" s="51" t="s">
        <v>14</v>
      </c>
      <c r="C20" s="51" t="s">
        <v>15</v>
      </c>
      <c r="D20" s="52" t="s">
        <v>16</v>
      </c>
      <c r="E20" s="53"/>
      <c r="F20" s="51" t="s">
        <v>14</v>
      </c>
      <c r="G20" s="54" t="s">
        <v>15</v>
      </c>
      <c r="H20" s="52" t="s">
        <v>16</v>
      </c>
    </row>
    <row r="21" spans="1:8" x14ac:dyDescent="0.25">
      <c r="A21" s="55" t="s">
        <v>17</v>
      </c>
      <c r="B21" s="56">
        <v>400</v>
      </c>
      <c r="C21" s="56">
        <v>120</v>
      </c>
      <c r="D21" s="57">
        <f>B21*C21</f>
        <v>48000</v>
      </c>
      <c r="E21" s="55" t="s">
        <v>17</v>
      </c>
      <c r="F21" s="56">
        <v>2600</v>
      </c>
      <c r="G21" s="56">
        <v>11</v>
      </c>
      <c r="H21" s="57">
        <f>F21*G21</f>
        <v>28600</v>
      </c>
    </row>
    <row r="22" spans="1:8" x14ac:dyDescent="0.25">
      <c r="A22" s="58" t="s">
        <v>18</v>
      </c>
      <c r="B22" s="108">
        <f>B21*C21</f>
        <v>48000</v>
      </c>
      <c r="C22" s="109">
        <f>E17</f>
        <v>0.1</v>
      </c>
      <c r="D22" s="110">
        <f>B22*C22</f>
        <v>4800</v>
      </c>
      <c r="E22" s="58" t="s">
        <v>18</v>
      </c>
      <c r="F22" s="108">
        <f>F21*G21</f>
        <v>28600</v>
      </c>
      <c r="G22" s="109">
        <f>E17</f>
        <v>0.1</v>
      </c>
      <c r="H22" s="57">
        <f>F22*G22</f>
        <v>2860</v>
      </c>
    </row>
    <row r="23" spans="1:8" ht="15.75" thickBot="1" x14ac:dyDescent="0.3">
      <c r="A23" s="59" t="s">
        <v>53</v>
      </c>
      <c r="B23" s="60">
        <v>400</v>
      </c>
      <c r="C23" s="60">
        <f>D23/B23</f>
        <v>132</v>
      </c>
      <c r="D23" s="61">
        <f>D21+D22</f>
        <v>52800</v>
      </c>
      <c r="E23" s="59" t="s">
        <v>19</v>
      </c>
      <c r="F23" s="60">
        <v>2600</v>
      </c>
      <c r="G23" s="60">
        <f>H23/F23</f>
        <v>12.1</v>
      </c>
      <c r="H23" s="61">
        <f>H21+H22</f>
        <v>31460</v>
      </c>
    </row>
    <row r="24" spans="1:8" x14ac:dyDescent="0.25">
      <c r="A24" s="62"/>
      <c r="B24" s="63"/>
      <c r="C24" s="63"/>
      <c r="D24" s="63"/>
      <c r="E24" s="62"/>
      <c r="F24" s="63"/>
      <c r="G24" s="63"/>
      <c r="H24" s="63"/>
    </row>
    <row r="25" spans="1:8" ht="15.75" thickBot="1" x14ac:dyDescent="0.3">
      <c r="A25" s="64"/>
      <c r="B25" s="63"/>
      <c r="C25" s="63"/>
      <c r="D25" s="63"/>
      <c r="E25" s="64"/>
      <c r="F25" s="63"/>
      <c r="G25" s="63"/>
      <c r="H25" s="63"/>
    </row>
    <row r="26" spans="1:8" ht="18" x14ac:dyDescent="0.25">
      <c r="A26" s="65"/>
      <c r="B26" s="43"/>
      <c r="C26" s="66" t="s">
        <v>20</v>
      </c>
      <c r="D26" s="67"/>
      <c r="E26" s="65"/>
      <c r="F26" s="48"/>
      <c r="G26" s="48"/>
      <c r="H26" s="49"/>
    </row>
    <row r="27" spans="1:8" x14ac:dyDescent="0.25">
      <c r="A27" s="55" t="s">
        <v>54</v>
      </c>
      <c r="B27" s="56">
        <v>280</v>
      </c>
      <c r="C27" s="56">
        <v>115</v>
      </c>
      <c r="D27" s="57">
        <f>B27*C27</f>
        <v>32200</v>
      </c>
      <c r="E27" s="50" t="s">
        <v>21</v>
      </c>
      <c r="F27" s="68">
        <f>32*5.1+35*8.2</f>
        <v>450.2</v>
      </c>
      <c r="G27" s="68">
        <f>C29</f>
        <v>125</v>
      </c>
      <c r="H27" s="69">
        <f>F27*G27</f>
        <v>56275</v>
      </c>
    </row>
    <row r="28" spans="1:8" x14ac:dyDescent="0.25">
      <c r="A28" s="70" t="s">
        <v>55</v>
      </c>
      <c r="B28" s="108">
        <v>400</v>
      </c>
      <c r="C28" s="56">
        <f>C23</f>
        <v>132</v>
      </c>
      <c r="D28" s="110">
        <f>B28*C28</f>
        <v>52800</v>
      </c>
      <c r="E28" s="50" t="s">
        <v>22</v>
      </c>
      <c r="F28" s="56">
        <f>B29-F27</f>
        <v>229.8</v>
      </c>
      <c r="G28" s="56">
        <f t="shared" ref="G28:H28" si="3">C29</f>
        <v>125</v>
      </c>
      <c r="H28" s="69">
        <f>F28*G28</f>
        <v>28725</v>
      </c>
    </row>
    <row r="29" spans="1:8" ht="15.75" thickBot="1" x14ac:dyDescent="0.3">
      <c r="A29" s="71" t="s">
        <v>23</v>
      </c>
      <c r="B29" s="72">
        <f>B27+B28</f>
        <v>680</v>
      </c>
      <c r="C29" s="60">
        <f>D29/B29</f>
        <v>125</v>
      </c>
      <c r="D29" s="73">
        <f>D27+D28</f>
        <v>85000</v>
      </c>
      <c r="E29" s="71" t="s">
        <v>23</v>
      </c>
      <c r="F29" s="72">
        <f>F27+F28</f>
        <v>680</v>
      </c>
      <c r="G29" s="72">
        <f>H29/F29</f>
        <v>125</v>
      </c>
      <c r="H29" s="73">
        <f>H27+H28</f>
        <v>85000</v>
      </c>
    </row>
    <row r="30" spans="1:8" x14ac:dyDescent="0.25">
      <c r="A30" s="39"/>
      <c r="B30" s="39"/>
      <c r="C30" s="39"/>
      <c r="D30" s="39"/>
      <c r="E30" s="39"/>
      <c r="F30" s="39"/>
      <c r="G30" s="39"/>
      <c r="H30" s="39"/>
    </row>
    <row r="31" spans="1:8" ht="15.75" thickBot="1" x14ac:dyDescent="0.3">
      <c r="A31" s="39"/>
      <c r="B31" s="39"/>
      <c r="C31" s="39"/>
      <c r="D31" s="39"/>
      <c r="E31" s="39"/>
      <c r="F31" s="39"/>
      <c r="G31" s="39"/>
      <c r="H31" s="39"/>
    </row>
    <row r="32" spans="1:8" ht="18" x14ac:dyDescent="0.25">
      <c r="A32" s="65"/>
      <c r="B32" s="48"/>
      <c r="C32" s="74" t="s">
        <v>24</v>
      </c>
      <c r="D32" s="67"/>
      <c r="E32" s="65"/>
      <c r="F32" s="48"/>
      <c r="G32" s="48"/>
      <c r="H32" s="49"/>
    </row>
    <row r="33" spans="1:8" x14ac:dyDescent="0.25">
      <c r="A33" s="50" t="s">
        <v>54</v>
      </c>
      <c r="B33" s="56">
        <v>1200</v>
      </c>
      <c r="C33" s="56">
        <v>10.199999999999999</v>
      </c>
      <c r="D33" s="57">
        <f>B33*C33</f>
        <v>12240</v>
      </c>
      <c r="E33" s="50" t="s">
        <v>21</v>
      </c>
      <c r="F33" s="68">
        <f>32*29.5+35*61</f>
        <v>3079</v>
      </c>
      <c r="G33" s="68">
        <f>C35</f>
        <v>11.5</v>
      </c>
      <c r="H33" s="69">
        <f>F33*G33</f>
        <v>35408.5</v>
      </c>
    </row>
    <row r="34" spans="1:8" x14ac:dyDescent="0.25">
      <c r="A34" s="75" t="s">
        <v>55</v>
      </c>
      <c r="B34" s="56">
        <v>2600</v>
      </c>
      <c r="C34" s="56">
        <f>G23</f>
        <v>12.1</v>
      </c>
      <c r="D34" s="110">
        <f>B34*C34</f>
        <v>31460</v>
      </c>
      <c r="E34" s="50" t="s">
        <v>22</v>
      </c>
      <c r="F34" s="56">
        <f>B35-F33</f>
        <v>721</v>
      </c>
      <c r="G34" s="56">
        <f t="shared" ref="G34" si="4">C35</f>
        <v>11.5</v>
      </c>
      <c r="H34" s="69">
        <f>F34*G34</f>
        <v>8291.5</v>
      </c>
    </row>
    <row r="35" spans="1:8" ht="15.75" thickBot="1" x14ac:dyDescent="0.3">
      <c r="A35" s="71" t="s">
        <v>23</v>
      </c>
      <c r="B35" s="72">
        <f>B33+B34</f>
        <v>3800</v>
      </c>
      <c r="C35" s="60">
        <f>D35/B35</f>
        <v>11.5</v>
      </c>
      <c r="D35" s="73">
        <f>D33+D34</f>
        <v>43700</v>
      </c>
      <c r="E35" s="71" t="s">
        <v>23</v>
      </c>
      <c r="F35" s="72">
        <f>F33+F34</f>
        <v>3800</v>
      </c>
      <c r="G35" s="72">
        <f>H35/F35</f>
        <v>11.5</v>
      </c>
      <c r="H35" s="73">
        <f>H33+H34</f>
        <v>43700</v>
      </c>
    </row>
    <row r="36" spans="1:8" x14ac:dyDescent="0.25">
      <c r="A36" s="39"/>
      <c r="B36" s="39"/>
      <c r="C36" s="39"/>
      <c r="D36" s="39"/>
      <c r="E36" s="39"/>
      <c r="F36" s="39"/>
      <c r="G36" s="39"/>
      <c r="H36" s="39"/>
    </row>
    <row r="37" spans="1:8" ht="15.75" thickBot="1" x14ac:dyDescent="0.3">
      <c r="A37" s="39"/>
      <c r="B37" s="39"/>
      <c r="C37" s="39"/>
      <c r="D37" s="39"/>
      <c r="E37" s="39"/>
      <c r="F37" s="39"/>
      <c r="G37" s="39"/>
      <c r="H37" s="39"/>
    </row>
    <row r="38" spans="1:8" x14ac:dyDescent="0.25">
      <c r="A38" s="76" t="s">
        <v>56</v>
      </c>
      <c r="B38" s="77"/>
      <c r="C38" s="77"/>
      <c r="D38" s="78"/>
      <c r="E38" s="79" t="s">
        <v>25</v>
      </c>
      <c r="F38" s="1"/>
      <c r="G38" s="80"/>
      <c r="H38" s="81"/>
    </row>
    <row r="39" spans="1:8" x14ac:dyDescent="0.25">
      <c r="A39" s="50" t="s">
        <v>61</v>
      </c>
      <c r="B39" s="56">
        <f>5.1*32</f>
        <v>163.19999999999999</v>
      </c>
      <c r="C39" s="56">
        <f>C29</f>
        <v>125</v>
      </c>
      <c r="D39" s="57">
        <f>B39*C39</f>
        <v>20400</v>
      </c>
      <c r="E39" s="50" t="s">
        <v>26</v>
      </c>
      <c r="F39" s="13">
        <f>8.2*35</f>
        <v>287</v>
      </c>
      <c r="G39" s="13">
        <f>C29</f>
        <v>125</v>
      </c>
      <c r="H39" s="57">
        <f>F39*G39</f>
        <v>35875</v>
      </c>
    </row>
    <row r="40" spans="1:8" x14ac:dyDescent="0.25">
      <c r="A40" s="50" t="s">
        <v>62</v>
      </c>
      <c r="B40" s="56">
        <f>32*29.5</f>
        <v>944</v>
      </c>
      <c r="C40" s="56">
        <f>C35</f>
        <v>11.5</v>
      </c>
      <c r="D40" s="57">
        <f t="shared" ref="D40:D45" si="5">B40*C40</f>
        <v>10856</v>
      </c>
      <c r="E40" s="50" t="s">
        <v>26</v>
      </c>
      <c r="F40" s="13">
        <f>61*35</f>
        <v>2135</v>
      </c>
      <c r="G40" s="13">
        <f>C35</f>
        <v>11.5</v>
      </c>
      <c r="H40" s="57">
        <f t="shared" ref="H40:H44" si="6">F40*G40</f>
        <v>24552.5</v>
      </c>
    </row>
    <row r="41" spans="1:8" x14ac:dyDescent="0.25">
      <c r="A41" s="50" t="s">
        <v>63</v>
      </c>
      <c r="B41" s="56">
        <f>3.1*32</f>
        <v>99.2</v>
      </c>
      <c r="C41" s="56">
        <v>60</v>
      </c>
      <c r="D41" s="57">
        <f t="shared" si="5"/>
        <v>5952</v>
      </c>
      <c r="E41" s="50" t="s">
        <v>26</v>
      </c>
      <c r="F41" s="13">
        <f>3.9*35</f>
        <v>136.5</v>
      </c>
      <c r="G41" s="13">
        <v>60</v>
      </c>
      <c r="H41" s="57">
        <f t="shared" si="6"/>
        <v>8190</v>
      </c>
    </row>
    <row r="42" spans="1:8" x14ac:dyDescent="0.25">
      <c r="A42" s="50" t="s">
        <v>64</v>
      </c>
      <c r="B42" s="56">
        <f>5*32</f>
        <v>160</v>
      </c>
      <c r="C42" s="56">
        <v>65</v>
      </c>
      <c r="D42" s="57">
        <f t="shared" si="5"/>
        <v>10400</v>
      </c>
      <c r="E42" s="50" t="s">
        <v>26</v>
      </c>
      <c r="F42" s="13">
        <f>5.8*35</f>
        <v>203</v>
      </c>
      <c r="G42" s="13">
        <v>65</v>
      </c>
      <c r="H42" s="57">
        <f t="shared" si="6"/>
        <v>13195</v>
      </c>
    </row>
    <row r="43" spans="1:8" x14ac:dyDescent="0.25">
      <c r="A43" s="82" t="s">
        <v>65</v>
      </c>
      <c r="B43" s="109">
        <f>32*1</f>
        <v>32</v>
      </c>
      <c r="C43" s="109">
        <f>F17</f>
        <v>2800</v>
      </c>
      <c r="D43" s="57">
        <f t="shared" si="5"/>
        <v>89600</v>
      </c>
      <c r="E43" s="82" t="s">
        <v>26</v>
      </c>
      <c r="F43" s="111">
        <f>35*1.5</f>
        <v>52.5</v>
      </c>
      <c r="G43" s="111">
        <f>F17</f>
        <v>2800</v>
      </c>
      <c r="H43" s="57">
        <f t="shared" si="6"/>
        <v>147000</v>
      </c>
    </row>
    <row r="44" spans="1:8" x14ac:dyDescent="0.25">
      <c r="A44" s="82" t="s">
        <v>66</v>
      </c>
      <c r="B44" s="109">
        <f>32*5</f>
        <v>160</v>
      </c>
      <c r="C44" s="109">
        <f>G17</f>
        <v>780</v>
      </c>
      <c r="D44" s="57">
        <f t="shared" si="5"/>
        <v>124800</v>
      </c>
      <c r="E44" s="82" t="s">
        <v>26</v>
      </c>
      <c r="F44" s="111">
        <f>35*5.8</f>
        <v>203</v>
      </c>
      <c r="G44" s="111">
        <f>G17</f>
        <v>780</v>
      </c>
      <c r="H44" s="57">
        <f t="shared" si="6"/>
        <v>158340</v>
      </c>
    </row>
    <row r="45" spans="1:8" ht="15.75" thickBot="1" x14ac:dyDescent="0.3">
      <c r="A45" s="83" t="s">
        <v>57</v>
      </c>
      <c r="B45" s="60">
        <v>32</v>
      </c>
      <c r="C45" s="60">
        <f>D45/B45</f>
        <v>8187.75</v>
      </c>
      <c r="D45" s="57">
        <f>SUM(D39:D44)</f>
        <v>262008</v>
      </c>
      <c r="E45" s="83" t="s">
        <v>27</v>
      </c>
      <c r="F45" s="84">
        <v>35</v>
      </c>
      <c r="G45" s="60">
        <f>H45/F45</f>
        <v>11061.5</v>
      </c>
      <c r="H45" s="57">
        <f>SUM(H39:H44)</f>
        <v>387152.5</v>
      </c>
    </row>
    <row r="46" spans="1:8" x14ac:dyDescent="0.25">
      <c r="A46" s="85"/>
      <c r="B46" s="63"/>
      <c r="C46" s="63"/>
      <c r="D46" s="63"/>
      <c r="E46" s="85"/>
      <c r="F46" s="63"/>
      <c r="G46" s="63"/>
      <c r="H46" s="63"/>
    </row>
    <row r="47" spans="1:8" ht="15.75" thickBot="1" x14ac:dyDescent="0.3">
      <c r="A47" s="85"/>
      <c r="B47" s="63"/>
      <c r="C47" s="63"/>
      <c r="D47" s="63"/>
      <c r="E47" s="85"/>
      <c r="F47" s="63"/>
      <c r="G47" s="63"/>
      <c r="H47" s="63"/>
    </row>
    <row r="48" spans="1:8" x14ac:dyDescent="0.25">
      <c r="A48" s="65"/>
      <c r="B48" s="86" t="s">
        <v>28</v>
      </c>
      <c r="C48" s="87"/>
      <c r="D48" s="88"/>
      <c r="E48" s="65"/>
      <c r="F48" s="48"/>
      <c r="G48" s="48"/>
      <c r="H48" s="49"/>
    </row>
    <row r="49" spans="1:8" x14ac:dyDescent="0.25">
      <c r="A49" s="50" t="s">
        <v>58</v>
      </c>
      <c r="B49" s="89">
        <v>10</v>
      </c>
      <c r="C49" s="89">
        <v>8449.2000000000007</v>
      </c>
      <c r="D49" s="89">
        <f>B49*C49</f>
        <v>84492</v>
      </c>
      <c r="E49" s="90" t="s">
        <v>21</v>
      </c>
      <c r="F49" s="68">
        <v>34</v>
      </c>
      <c r="G49" s="68">
        <f>C51</f>
        <v>8250</v>
      </c>
      <c r="H49" s="69">
        <f>G49*F49</f>
        <v>280500</v>
      </c>
    </row>
    <row r="50" spans="1:8" x14ac:dyDescent="0.25">
      <c r="A50" s="75" t="s">
        <v>59</v>
      </c>
      <c r="B50" s="89">
        <v>32</v>
      </c>
      <c r="C50" s="89">
        <f>C45</f>
        <v>8187.75</v>
      </c>
      <c r="D50" s="89">
        <f>B50*C50</f>
        <v>262008</v>
      </c>
      <c r="E50" s="13" t="s">
        <v>22</v>
      </c>
      <c r="F50" s="56">
        <f>B51-F49</f>
        <v>8</v>
      </c>
      <c r="G50" s="56">
        <f>G49</f>
        <v>8250</v>
      </c>
      <c r="H50" s="69">
        <f>G50*F50</f>
        <v>66000</v>
      </c>
    </row>
    <row r="51" spans="1:8" ht="15.75" thickBot="1" x14ac:dyDescent="0.3">
      <c r="A51" s="71" t="s">
        <v>23</v>
      </c>
      <c r="B51" s="91">
        <f>B49+B50</f>
        <v>42</v>
      </c>
      <c r="C51" s="91">
        <f>D51/B51</f>
        <v>8250</v>
      </c>
      <c r="D51" s="91">
        <f>D49+D50</f>
        <v>346500</v>
      </c>
      <c r="E51" s="92" t="s">
        <v>23</v>
      </c>
      <c r="F51" s="72">
        <f>F49+F50</f>
        <v>42</v>
      </c>
      <c r="G51" s="91">
        <f>H51/F51</f>
        <v>8250</v>
      </c>
      <c r="H51" s="91">
        <f>H49+H50</f>
        <v>346500</v>
      </c>
    </row>
    <row r="52" spans="1:8" x14ac:dyDescent="0.25">
      <c r="A52" s="39"/>
      <c r="B52" s="39"/>
      <c r="C52" s="39"/>
      <c r="D52" s="39"/>
      <c r="E52" s="39"/>
      <c r="F52" s="39"/>
      <c r="G52" s="39"/>
      <c r="H52" s="39"/>
    </row>
    <row r="53" spans="1:8" ht="15.75" thickBot="1" x14ac:dyDescent="0.3">
      <c r="A53" s="39"/>
      <c r="B53" s="39"/>
      <c r="C53" s="39"/>
      <c r="D53" s="39"/>
      <c r="E53" s="39"/>
      <c r="F53" s="39"/>
      <c r="G53" s="39"/>
      <c r="H53" s="39"/>
    </row>
    <row r="54" spans="1:8" x14ac:dyDescent="0.25">
      <c r="A54" s="65"/>
      <c r="B54" s="93" t="s">
        <v>29</v>
      </c>
      <c r="C54" s="48"/>
      <c r="D54" s="49"/>
      <c r="E54" s="48"/>
      <c r="F54" s="48"/>
      <c r="G54" s="48"/>
      <c r="H54" s="49"/>
    </row>
    <row r="55" spans="1:8" x14ac:dyDescent="0.25">
      <c r="A55" s="50" t="s">
        <v>58</v>
      </c>
      <c r="B55" s="56">
        <v>7</v>
      </c>
      <c r="C55" s="94">
        <v>10692.5</v>
      </c>
      <c r="D55" s="57">
        <f>C55*B55</f>
        <v>74847.5</v>
      </c>
      <c r="E55" s="95" t="s">
        <v>21</v>
      </c>
      <c r="F55" s="68">
        <v>40</v>
      </c>
      <c r="G55" s="68">
        <f>C57</f>
        <v>11000</v>
      </c>
      <c r="H55" s="57">
        <f>G55*F55</f>
        <v>440000</v>
      </c>
    </row>
    <row r="56" spans="1:8" x14ac:dyDescent="0.25">
      <c r="A56" s="75" t="s">
        <v>60</v>
      </c>
      <c r="B56" s="56">
        <v>35</v>
      </c>
      <c r="C56" s="56">
        <f>G45</f>
        <v>11061.5</v>
      </c>
      <c r="D56" s="57">
        <f>C56*B56</f>
        <v>387152.5</v>
      </c>
      <c r="E56" s="96" t="s">
        <v>22</v>
      </c>
      <c r="F56" s="56">
        <f>B57-F55</f>
        <v>2</v>
      </c>
      <c r="G56" s="56">
        <f>C57</f>
        <v>11000</v>
      </c>
      <c r="H56" s="57">
        <f>G56*F56</f>
        <v>22000</v>
      </c>
    </row>
    <row r="57" spans="1:8" ht="15.75" thickBot="1" x14ac:dyDescent="0.3">
      <c r="A57" s="71" t="s">
        <v>23</v>
      </c>
      <c r="B57" s="91">
        <f>B55+B56</f>
        <v>42</v>
      </c>
      <c r="C57" s="91">
        <f>D57/B57</f>
        <v>11000</v>
      </c>
      <c r="D57" s="73">
        <f>D55+D56</f>
        <v>462000</v>
      </c>
      <c r="E57" s="97" t="s">
        <v>23</v>
      </c>
      <c r="F57" s="72">
        <f>F55+F56</f>
        <v>42</v>
      </c>
      <c r="G57" s="91">
        <f>H57/F57</f>
        <v>11000</v>
      </c>
      <c r="H57" s="73">
        <f>H55+H56</f>
        <v>462000</v>
      </c>
    </row>
    <row r="58" spans="1:8" x14ac:dyDescent="0.25">
      <c r="A58" s="39"/>
      <c r="B58" s="39"/>
      <c r="C58" s="39"/>
      <c r="D58" s="39"/>
      <c r="E58" s="39"/>
      <c r="F58" s="39"/>
      <c r="G58" s="39"/>
      <c r="H58" s="39"/>
    </row>
    <row r="59" spans="1:8" ht="15.75" thickBot="1" x14ac:dyDescent="0.3"/>
    <row r="60" spans="1:8" x14ac:dyDescent="0.25">
      <c r="A60" s="65"/>
      <c r="B60" s="86" t="s">
        <v>30</v>
      </c>
      <c r="C60" s="87"/>
      <c r="D60" s="49"/>
      <c r="E60" s="65"/>
      <c r="F60" s="93" t="s">
        <v>31</v>
      </c>
      <c r="G60" s="48"/>
      <c r="H60" s="49"/>
    </row>
    <row r="61" spans="1:8" x14ac:dyDescent="0.25">
      <c r="A61" s="98" t="s">
        <v>32</v>
      </c>
      <c r="B61" s="99">
        <v>34</v>
      </c>
      <c r="C61" s="99">
        <f>C51</f>
        <v>8250</v>
      </c>
      <c r="D61" s="57">
        <f>C61*B61</f>
        <v>280500</v>
      </c>
      <c r="E61" s="98" t="s">
        <v>32</v>
      </c>
      <c r="F61" s="56">
        <v>40</v>
      </c>
      <c r="G61" s="56">
        <f>C57</f>
        <v>11000</v>
      </c>
      <c r="H61" s="57">
        <f>G61*F61</f>
        <v>440000</v>
      </c>
    </row>
    <row r="62" spans="1:8" x14ac:dyDescent="0.25">
      <c r="A62" s="100" t="s">
        <v>67</v>
      </c>
      <c r="B62" s="112">
        <f>34*10500/100</f>
        <v>3570</v>
      </c>
      <c r="C62" s="116">
        <f>G62</f>
        <v>19.048494983277592</v>
      </c>
      <c r="D62" s="57">
        <f>C62*B62</f>
        <v>68003.127090301001</v>
      </c>
      <c r="E62" s="100" t="s">
        <v>26</v>
      </c>
      <c r="F62" s="108">
        <f>40*13500/100</f>
        <v>5400</v>
      </c>
      <c r="G62" s="113">
        <f>H17</f>
        <v>19.048494983277592</v>
      </c>
      <c r="H62" s="57">
        <f>G62*F62</f>
        <v>102861.872909699</v>
      </c>
    </row>
    <row r="63" spans="1:8" ht="15.75" thickBot="1" x14ac:dyDescent="0.3">
      <c r="A63" s="83" t="s">
        <v>33</v>
      </c>
      <c r="B63" s="101">
        <v>34</v>
      </c>
      <c r="C63" s="91">
        <f>D63/B63</f>
        <v>10250.091973244147</v>
      </c>
      <c r="D63" s="73">
        <f>D61+D62</f>
        <v>348503.12709030102</v>
      </c>
      <c r="E63" s="83" t="s">
        <v>33</v>
      </c>
      <c r="F63" s="60">
        <v>40</v>
      </c>
      <c r="G63" s="91">
        <f>H63/F63</f>
        <v>13571.546822742475</v>
      </c>
      <c r="H63" s="73">
        <f>H61+H62</f>
        <v>542861.87290969898</v>
      </c>
    </row>
    <row r="64" spans="1:8" x14ac:dyDescent="0.25">
      <c r="A64" s="39"/>
      <c r="B64" s="63"/>
      <c r="C64" s="102"/>
      <c r="D64" s="102"/>
      <c r="E64" s="39"/>
      <c r="F64" s="63"/>
      <c r="G64" s="102"/>
      <c r="H64" s="102"/>
    </row>
    <row r="65" spans="1:8" ht="15.75" thickBot="1" x14ac:dyDescent="0.3">
      <c r="A65" s="39"/>
      <c r="B65" s="39"/>
      <c r="C65" s="39"/>
      <c r="D65" s="39"/>
      <c r="E65" s="39"/>
      <c r="F65" s="39"/>
      <c r="G65" s="39"/>
      <c r="H65" s="39"/>
    </row>
    <row r="66" spans="1:8" x14ac:dyDescent="0.25">
      <c r="A66" s="65"/>
      <c r="B66" s="86" t="s">
        <v>34</v>
      </c>
      <c r="C66" s="48"/>
      <c r="D66" s="49"/>
      <c r="E66" s="65"/>
      <c r="F66" s="93" t="s">
        <v>35</v>
      </c>
      <c r="G66" s="48"/>
      <c r="H66" s="49"/>
    </row>
    <row r="67" spans="1:8" x14ac:dyDescent="0.25">
      <c r="A67" s="50" t="s">
        <v>36</v>
      </c>
      <c r="B67" s="56">
        <v>34</v>
      </c>
      <c r="C67" s="56">
        <v>10500</v>
      </c>
      <c r="D67" s="57">
        <f>C67*B67</f>
        <v>357000</v>
      </c>
      <c r="E67" s="50" t="s">
        <v>36</v>
      </c>
      <c r="F67" s="56">
        <v>40</v>
      </c>
      <c r="G67" s="56">
        <f>13500</f>
        <v>13500</v>
      </c>
      <c r="H67" s="57">
        <f>G67*F67</f>
        <v>540000</v>
      </c>
    </row>
    <row r="68" spans="1:8" x14ac:dyDescent="0.25">
      <c r="A68" s="50" t="s">
        <v>37</v>
      </c>
      <c r="B68" s="56">
        <v>34</v>
      </c>
      <c r="C68" s="103">
        <f>C63</f>
        <v>10250.091973244147</v>
      </c>
      <c r="D68" s="57">
        <f>C68*B68</f>
        <v>348503.12709030102</v>
      </c>
      <c r="E68" s="50" t="s">
        <v>37</v>
      </c>
      <c r="F68" s="56">
        <v>40</v>
      </c>
      <c r="G68" s="103">
        <f>G63</f>
        <v>13571.546822742475</v>
      </c>
      <c r="H68" s="57">
        <f>G68*F68</f>
        <v>542861.87290969898</v>
      </c>
    </row>
    <row r="69" spans="1:8" ht="18.75" thickBot="1" x14ac:dyDescent="0.3">
      <c r="A69" s="104" t="s">
        <v>38</v>
      </c>
      <c r="B69" s="105"/>
      <c r="C69" s="106">
        <f>C67-C68</f>
        <v>249.90802675585292</v>
      </c>
      <c r="D69" s="73">
        <f>D67-D68</f>
        <v>8496.8729096989846</v>
      </c>
      <c r="E69" s="104" t="s">
        <v>38</v>
      </c>
      <c r="F69" s="105"/>
      <c r="G69" s="106">
        <f>G67-G68</f>
        <v>-71.546822742475342</v>
      </c>
      <c r="H69" s="73">
        <f>H67-H68</f>
        <v>-2861.8729096989846</v>
      </c>
    </row>
  </sheetData>
  <pageMargins left="0.7" right="0.7" top="0.75" bottom="0.75" header="0.3" footer="0.3"/>
  <ignoredErrors>
    <ignoredError sqref="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romain. cocogne.</cp:lastModifiedBy>
  <dcterms:created xsi:type="dcterms:W3CDTF">2017-11-21T14:40:50Z</dcterms:created>
  <dcterms:modified xsi:type="dcterms:W3CDTF">2019-12-03T13:53:47Z</dcterms:modified>
</cp:coreProperties>
</file>