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C4356EC3-9290-49F8-BC5E-3FE871519E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5" r:id="rId1"/>
    <sheet name="H-3" sheetId="1" r:id="rId2"/>
    <sheet name="Pu-241" sheetId="12" r:id="rId3"/>
    <sheet name="C-14" sheetId="6" r:id="rId4"/>
    <sheet name="S-35" sheetId="7" r:id="rId5"/>
    <sheet name="Pm-147" sheetId="11" r:id="rId6"/>
    <sheet name="Ni-63" sheetId="4" r:id="rId7"/>
    <sheet name="Ca-45" sheetId="8" r:id="rId8"/>
    <sheet name="Tc-99" sheetId="10" r:id="rId9"/>
    <sheet name="Sr-90" sheetId="3" r:id="rId10"/>
    <sheet name="Sr-89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9" l="1"/>
  <c r="Q40" i="9"/>
  <c r="Q41" i="9"/>
  <c r="Q42" i="9"/>
  <c r="P42" i="9"/>
  <c r="O42" i="9"/>
  <c r="Q39" i="3"/>
  <c r="Q40" i="3"/>
  <c r="Q41" i="3"/>
  <c r="Q42" i="3"/>
  <c r="P42" i="3"/>
  <c r="O42" i="3"/>
  <c r="Q39" i="10"/>
  <c r="Q40" i="10"/>
  <c r="Q41" i="10"/>
  <c r="Q42" i="10"/>
  <c r="P42" i="10"/>
  <c r="O42" i="10"/>
  <c r="Q42" i="8"/>
  <c r="P42" i="8"/>
  <c r="O42" i="8"/>
  <c r="Q39" i="4"/>
  <c r="Q40" i="4"/>
  <c r="Q41" i="4"/>
  <c r="Q42" i="4"/>
  <c r="P42" i="4"/>
  <c r="O42" i="4"/>
  <c r="Q39" i="11"/>
  <c r="Q40" i="11"/>
  <c r="Q41" i="11"/>
  <c r="Q42" i="11"/>
  <c r="P42" i="11"/>
  <c r="O42" i="11"/>
  <c r="Q42" i="7"/>
  <c r="P42" i="7"/>
  <c r="O42" i="7"/>
  <c r="Q39" i="6"/>
  <c r="Q40" i="6"/>
  <c r="Q41" i="6"/>
  <c r="Q42" i="6"/>
  <c r="P42" i="6"/>
  <c r="O42" i="6"/>
  <c r="Q39" i="12"/>
  <c r="Q40" i="12"/>
  <c r="Q41" i="12"/>
  <c r="Q42" i="12"/>
  <c r="P42" i="12"/>
  <c r="O42" i="12"/>
  <c r="Q42" i="1"/>
  <c r="P42" i="1"/>
  <c r="O42" i="1"/>
  <c r="Q40" i="8"/>
  <c r="Q41" i="8"/>
  <c r="Q40" i="7"/>
  <c r="Q41" i="7"/>
  <c r="Q41" i="1"/>
  <c r="Q40" i="1"/>
  <c r="E14" i="5"/>
  <c r="E15" i="5"/>
  <c r="E18" i="5"/>
  <c r="E19" i="5"/>
  <c r="C28" i="5"/>
  <c r="E11" i="5" s="1"/>
  <c r="B58" i="1"/>
  <c r="B58" i="6"/>
  <c r="B58" i="4"/>
  <c r="B58" i="12"/>
  <c r="J54" i="12"/>
  <c r="I54" i="12"/>
  <c r="H54" i="12"/>
  <c r="J53" i="12"/>
  <c r="I53" i="12"/>
  <c r="H53" i="12"/>
  <c r="J52" i="12"/>
  <c r="I52" i="12"/>
  <c r="H52" i="12"/>
  <c r="J51" i="12"/>
  <c r="I51" i="12"/>
  <c r="H51" i="12"/>
  <c r="J50" i="12"/>
  <c r="I50" i="12"/>
  <c r="H50" i="12"/>
  <c r="J49" i="12"/>
  <c r="I49" i="12"/>
  <c r="H49" i="12"/>
  <c r="J48" i="12"/>
  <c r="I48" i="12"/>
  <c r="H48" i="12"/>
  <c r="J47" i="12"/>
  <c r="I47" i="12"/>
  <c r="H47" i="12"/>
  <c r="J46" i="12"/>
  <c r="I46" i="12"/>
  <c r="H46" i="12"/>
  <c r="J45" i="12"/>
  <c r="I45" i="12"/>
  <c r="H45" i="12"/>
  <c r="J44" i="12"/>
  <c r="I44" i="12"/>
  <c r="H44" i="12"/>
  <c r="J43" i="12"/>
  <c r="I43" i="12"/>
  <c r="H43" i="12"/>
  <c r="J42" i="12"/>
  <c r="I42" i="12"/>
  <c r="H42" i="12"/>
  <c r="J41" i="12"/>
  <c r="I41" i="12"/>
  <c r="H41" i="12"/>
  <c r="J40" i="12"/>
  <c r="I40" i="12"/>
  <c r="H4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B5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B58" i="10"/>
  <c r="J54" i="10"/>
  <c r="I54" i="10"/>
  <c r="H54" i="10"/>
  <c r="J53" i="10"/>
  <c r="I53" i="10"/>
  <c r="H53" i="10"/>
  <c r="J52" i="10"/>
  <c r="I52" i="10"/>
  <c r="H52" i="10"/>
  <c r="J51" i="10"/>
  <c r="I51" i="10"/>
  <c r="H51" i="10"/>
  <c r="J50" i="10"/>
  <c r="I50" i="10"/>
  <c r="H50" i="10"/>
  <c r="J49" i="10"/>
  <c r="I49" i="10"/>
  <c r="H49" i="10"/>
  <c r="J48" i="10"/>
  <c r="I48" i="10"/>
  <c r="H48" i="10"/>
  <c r="J47" i="10"/>
  <c r="I47" i="10"/>
  <c r="H47" i="10"/>
  <c r="J46" i="10"/>
  <c r="I46" i="10"/>
  <c r="H46" i="10"/>
  <c r="J45" i="10"/>
  <c r="I45" i="10"/>
  <c r="H45" i="10"/>
  <c r="J44" i="10"/>
  <c r="I44" i="10"/>
  <c r="H44" i="10"/>
  <c r="J43" i="10"/>
  <c r="I43" i="10"/>
  <c r="H43" i="10"/>
  <c r="J42" i="10"/>
  <c r="I42" i="10"/>
  <c r="H42" i="10"/>
  <c r="J41" i="10"/>
  <c r="I41" i="10"/>
  <c r="H41" i="10"/>
  <c r="J40" i="10"/>
  <c r="I40" i="10"/>
  <c r="H4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B58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B58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B58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B58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C2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E10" i="5" l="1"/>
  <c r="E17" i="5"/>
  <c r="E13" i="5"/>
  <c r="E9" i="5"/>
  <c r="E16" i="5"/>
  <c r="E12" i="5"/>
</calcChain>
</file>

<file path=xl/sharedStrings.xml><?xml version="1.0" encoding="utf-8"?>
<sst xmlns="http://schemas.openxmlformats.org/spreadsheetml/2006/main" count="415" uniqueCount="57">
  <si>
    <t>The Stochastic implementation of TDCRPy is tested with its analystical implementation in the cases of pure beta emitting radionuclides</t>
  </si>
  <si>
    <t>Convergence of the results with the number of points considered in the quenching function (parameter nE)</t>
  </si>
  <si>
    <t>nE</t>
  </si>
  <si>
    <t>eff_D</t>
  </si>
  <si>
    <t>Analytical model, L=1 keV-1, kB=1e-5 cm/keV</t>
  </si>
  <si>
    <t>Err</t>
  </si>
  <si>
    <t>reference</t>
  </si>
  <si>
    <t>recommanded value</t>
  </si>
  <si>
    <t>Convergence of the result of the stochastic model with the results o the analytical model (N = number of Monte-Carlo trials)</t>
  </si>
  <si>
    <t>N</t>
  </si>
  <si>
    <t>eff_S</t>
  </si>
  <si>
    <t>u(eff_S)</t>
  </si>
  <si>
    <t>u(eff_D)</t>
  </si>
  <si>
    <t>eff_T</t>
  </si>
  <si>
    <t>u(eff_T)</t>
  </si>
  <si>
    <t>dev S</t>
  </si>
  <si>
    <t>dev D</t>
  </si>
  <si>
    <t>dev T</t>
  </si>
  <si>
    <t>u_r</t>
  </si>
  <si>
    <t>Relative uncertainty due to MC calculation</t>
  </si>
  <si>
    <t>the calculation uncertainty provided by the code in consistent with the observation</t>
  </si>
  <si>
    <t>H-3</t>
  </si>
  <si>
    <t>Q</t>
  </si>
  <si>
    <t>keV</t>
  </si>
  <si>
    <t>Sr-90</t>
  </si>
  <si>
    <t>Ni-63</t>
  </si>
  <si>
    <t>Parameter nE, number of bins for the energy space used to calculated the quenched energy</t>
  </si>
  <si>
    <t>Ebeta max /keV</t>
  </si>
  <si>
    <t>Radionuclide</t>
  </si>
  <si>
    <t>C-14</t>
  </si>
  <si>
    <t>S-35</t>
  </si>
  <si>
    <t>Ca-45</t>
  </si>
  <si>
    <t>Sr-89</t>
  </si>
  <si>
    <t>Tc-99</t>
  </si>
  <si>
    <t>Pm-147</t>
  </si>
  <si>
    <t>Pu-241</t>
  </si>
  <si>
    <t>Convergence function f = a/sqrt(N)</t>
  </si>
  <si>
    <t>a</t>
  </si>
  <si>
    <t>f = a / sqrt(N)</t>
  </si>
  <si>
    <t>a = 1.33 / sqrt(Q)</t>
  </si>
  <si>
    <t>f = 1.33 / sqrt(QN)</t>
  </si>
  <si>
    <t>f, relative standard uncertainty</t>
  </si>
  <si>
    <t xml:space="preserve">Factor </t>
  </si>
  <si>
    <t>Target relatif standard uncertainty &lt;=</t>
  </si>
  <si>
    <t>TDCR17 restults</t>
  </si>
  <si>
    <t>Analytical model results</t>
  </si>
  <si>
    <t>TDCRPy</t>
  </si>
  <si>
    <t>deviation</t>
  </si>
  <si>
    <t>eff</t>
  </si>
  <si>
    <t>LS Cocktail</t>
  </si>
  <si>
    <t>Ultima Gold</t>
  </si>
  <si>
    <t>lower integration bound</t>
  </si>
  <si>
    <t>64.6 eV</t>
  </si>
  <si>
    <t>Deviation = TDCRPy/TDCR17-1</t>
  </si>
  <si>
    <t>eff_T/eff_D</t>
  </si>
  <si>
    <t>Comparison of TDCRPy (analytical calculation) with the LNHB code TDCR17</t>
  </si>
  <si>
    <t>TDCR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</si>
</sst>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164" fontId="5" fillId="8" borderId="8" xfId="1" applyNumberFormat="1" applyFont="1" applyFill="1" applyBorder="1"/>
    <xf numFmtId="10" fontId="0" fillId="2" borderId="1" xfId="1" applyNumberFormat="1" applyFont="1" applyFill="1" applyBorder="1"/>
    <xf numFmtId="164" fontId="0" fillId="0" borderId="0" xfId="1" applyNumberFormat="1" applyFont="1"/>
    <xf numFmtId="11" fontId="0" fillId="0" borderId="0" xfId="0" applyNumberFormat="1"/>
    <xf numFmtId="11" fontId="2" fillId="9" borderId="0" xfId="0" applyNumberFormat="1" applyFont="1" applyFill="1"/>
    <xf numFmtId="1" fontId="0" fillId="0" borderId="0" xfId="0" applyNumberFormat="1"/>
    <xf numFmtId="0" fontId="6" fillId="10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6" fillId="10" borderId="10" xfId="0" applyFont="1" applyFill="1" applyBorder="1"/>
    <xf numFmtId="0" fontId="6" fillId="10" borderId="11" xfId="0" applyFont="1" applyFill="1" applyBorder="1"/>
    <xf numFmtId="0" fontId="6" fillId="10" borderId="12" xfId="0" applyFont="1" applyFill="1" applyBorder="1"/>
  </cellXfs>
  <cellStyles count="2">
    <cellStyle name="Normal" xfId="0" builtinId="0"/>
    <cellStyle name="Percent" xfId="1" builtinId="5"/>
  </cellStyles>
  <dxfs count="154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4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ur &lt; 1e-4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490594925634296E-2"/>
                  <c:y val="-0.53563124179220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Summary!$B$9:$B$19</c:f>
              <c:numCache>
                <c:formatCode>General</c:formatCode>
                <c:ptCount val="11"/>
                <c:pt idx="0">
                  <c:v>18.591000000000001</c:v>
                </c:pt>
                <c:pt idx="1">
                  <c:v>20.8</c:v>
                </c:pt>
                <c:pt idx="2">
                  <c:v>66.98</c:v>
                </c:pt>
                <c:pt idx="3">
                  <c:v>156.476</c:v>
                </c:pt>
                <c:pt idx="4">
                  <c:v>167.33</c:v>
                </c:pt>
                <c:pt idx="5">
                  <c:v>224.1</c:v>
                </c:pt>
                <c:pt idx="6">
                  <c:v>258</c:v>
                </c:pt>
                <c:pt idx="7">
                  <c:v>293.8</c:v>
                </c:pt>
                <c:pt idx="8">
                  <c:v>545.9</c:v>
                </c:pt>
                <c:pt idx="9">
                  <c:v>1495.1</c:v>
                </c:pt>
              </c:numCache>
            </c:numRef>
          </c:xVal>
          <c:yVal>
            <c:numRef>
              <c:f>Summary!$C$9:$C$19</c:f>
              <c:numCache>
                <c:formatCode>General</c:formatCode>
                <c:ptCount val="11"/>
                <c:pt idx="0">
                  <c:v>7000</c:v>
                </c:pt>
                <c:pt idx="1">
                  <c:v>7000</c:v>
                </c:pt>
                <c:pt idx="2">
                  <c:v>2000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500</c:v>
                </c:pt>
                <c:pt idx="7">
                  <c:v>500</c:v>
                </c:pt>
                <c:pt idx="8">
                  <c:v>200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3-48AD-8063-2EDCEDD7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03296"/>
        <c:axId val="542085536"/>
      </c:scatterChart>
      <c:valAx>
        <c:axId val="542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5536"/>
        <c:crosses val="autoZero"/>
        <c:crossBetween val="midCat"/>
      </c:valAx>
      <c:valAx>
        <c:axId val="54208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'C-14'!$I$39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'C-14'!$A$40:$A$54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'C-14'!$I$40:$I$54</c:f>
              <c:numCache>
                <c:formatCode>0.00%</c:formatCode>
                <c:ptCount val="15"/>
                <c:pt idx="0">
                  <c:v>-5.6724773415524066E-2</c:v>
                </c:pt>
                <c:pt idx="1">
                  <c:v>-3.8360754907539096E-2</c:v>
                </c:pt>
                <c:pt idx="2">
                  <c:v>-6.3124605951100365E-2</c:v>
                </c:pt>
                <c:pt idx="3">
                  <c:v>6.3902712747367918E-3</c:v>
                </c:pt>
                <c:pt idx="4">
                  <c:v>-5.0734457999308535E-3</c:v>
                </c:pt>
                <c:pt idx="5">
                  <c:v>8.3440919821495818E-3</c:v>
                </c:pt>
                <c:pt idx="6">
                  <c:v>6.4481722257339058E-3</c:v>
                </c:pt>
                <c:pt idx="7">
                  <c:v>-1.953017909974486E-3</c:v>
                </c:pt>
                <c:pt idx="8">
                  <c:v>-1.6004412494174947E-4</c:v>
                </c:pt>
                <c:pt idx="9">
                  <c:v>-8.6513945478672305E-4</c:v>
                </c:pt>
                <c:pt idx="10">
                  <c:v>-8.976784732978027E-4</c:v>
                </c:pt>
                <c:pt idx="11">
                  <c:v>2.6091621144530563E-5</c:v>
                </c:pt>
                <c:pt idx="12">
                  <c:v>2.7650101184328868E-4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951-9CA3-1E937844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0.89893550874800499</c:v>
                      </c:pt>
                      <c:pt idx="1">
                        <c:v>0.90750136229428002</c:v>
                      </c:pt>
                      <c:pt idx="2">
                        <c:v>0.88823485405134495</c:v>
                      </c:pt>
                      <c:pt idx="3">
                        <c:v>0.94945344351088601</c:v>
                      </c:pt>
                      <c:pt idx="4">
                        <c:v>0.94470960622021105</c:v>
                      </c:pt>
                      <c:pt idx="5">
                        <c:v>0.95527715237758604</c:v>
                      </c:pt>
                      <c:pt idx="6">
                        <c:v>0.95509079890170401</c:v>
                      </c:pt>
                      <c:pt idx="7">
                        <c:v>0.94749982266632204</c:v>
                      </c:pt>
                      <c:pt idx="8">
                        <c:v>0.94771954553932103</c:v>
                      </c:pt>
                      <c:pt idx="9">
                        <c:v>0.94684248616475197</c:v>
                      </c:pt>
                      <c:pt idx="10">
                        <c:v>0.94677986347830501</c:v>
                      </c:pt>
                      <c:pt idx="11">
                        <c:v>0.94764405289547005</c:v>
                      </c:pt>
                      <c:pt idx="12">
                        <c:v>0.94807797258894499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57-4951-9CA3-1E9378444EA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9.4760118410161395E-2</c:v>
                      </c:pt>
                      <c:pt idx="1">
                        <c:v>4.5546792290276999E-2</c:v>
                      </c:pt>
                      <c:pt idx="2">
                        <c:v>3.4868250691253898E-2</c:v>
                      </c:pt>
                      <c:pt idx="3">
                        <c:v>1.3694133694864099E-2</c:v>
                      </c:pt>
                      <c:pt idx="4">
                        <c:v>1.3010022533934001E-2</c:v>
                      </c:pt>
                      <c:pt idx="5">
                        <c:v>7.3467714694471099E-3</c:v>
                      </c:pt>
                      <c:pt idx="6">
                        <c:v>4.9259952873762503E-3</c:v>
                      </c:pt>
                      <c:pt idx="7">
                        <c:v>3.8180148423681498E-3</c:v>
                      </c:pt>
                      <c:pt idx="8">
                        <c:v>2.3571926718998501E-3</c:v>
                      </c:pt>
                      <c:pt idx="9">
                        <c:v>1.66387943211599E-3</c:v>
                      </c:pt>
                      <c:pt idx="10">
                        <c:v>1.1792041901762401E-3</c:v>
                      </c:pt>
                      <c:pt idx="11">
                        <c:v>7.4050888187413802E-4</c:v>
                      </c:pt>
                      <c:pt idx="12">
                        <c:v>5.2275612724150605E-4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57-4951-9CA3-1E9378444EA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0.89997366619230601</c:v>
                      </c:pt>
                      <c:pt idx="1">
                        <c:v>0.91749467448009703</c:v>
                      </c:pt>
                      <c:pt idx="2">
                        <c:v>0.89386762143703902</c:v>
                      </c:pt>
                      <c:pt idx="3">
                        <c:v>0.96019138055703102</c:v>
                      </c:pt>
                      <c:pt idx="4">
                        <c:v>0.949253911626317</c:v>
                      </c:pt>
                      <c:pt idx="5">
                        <c:v>0.96205551006618795</c:v>
                      </c:pt>
                      <c:pt idx="6">
                        <c:v>0.96024662353349899</c:v>
                      </c:pt>
                      <c:pt idx="7">
                        <c:v>0.95223109458317401</c:v>
                      </c:pt>
                      <c:pt idx="8">
                        <c:v>0.95394176093507799</c:v>
                      </c:pt>
                      <c:pt idx="9">
                        <c:v>0.95326903338840696</c:v>
                      </c:pt>
                      <c:pt idx="10">
                        <c:v>0.95323798809117199</c:v>
                      </c:pt>
                      <c:pt idx="11">
                        <c:v>0.95411935201888198</c:v>
                      </c:pt>
                      <c:pt idx="12">
                        <c:v>0.95435826623081599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57-4951-9CA3-1E9378444EA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9.4865557085838395E-2</c:v>
                      </c:pt>
                      <c:pt idx="1">
                        <c:v>4.8818025693388702E-2</c:v>
                      </c:pt>
                      <c:pt idx="2">
                        <c:v>3.7189769956728798E-2</c:v>
                      </c:pt>
                      <c:pt idx="3">
                        <c:v>1.37440113936163E-2</c:v>
                      </c:pt>
                      <c:pt idx="4">
                        <c:v>1.3619457289454901E-2</c:v>
                      </c:pt>
                      <c:pt idx="5">
                        <c:v>7.4771338562232403E-3</c:v>
                      </c:pt>
                      <c:pt idx="6">
                        <c:v>5.1544562976750998E-3</c:v>
                      </c:pt>
                      <c:pt idx="7">
                        <c:v>4.0171487802615601E-3</c:v>
                      </c:pt>
                      <c:pt idx="8">
                        <c:v>2.4535993806516802E-3</c:v>
                      </c:pt>
                      <c:pt idx="9">
                        <c:v>1.73008739418755E-3</c:v>
                      </c:pt>
                      <c:pt idx="10">
                        <c:v>1.22481595097394E-3</c:v>
                      </c:pt>
                      <c:pt idx="11">
                        <c:v>7.6787055092523103E-4</c:v>
                      </c:pt>
                      <c:pt idx="12">
                        <c:v>5.4309776318826799E-4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57-4951-9CA3-1E9378444EA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0.89683294085251797</c:v>
                      </c:pt>
                      <c:pt idx="1">
                        <c:v>0.838826055246921</c:v>
                      </c:pt>
                      <c:pt idx="2">
                        <c:v>0.82769254117901203</c:v>
                      </c:pt>
                      <c:pt idx="3">
                        <c:v>0.90022646646142601</c:v>
                      </c:pt>
                      <c:pt idx="4">
                        <c:v>0.91486561021400403</c:v>
                      </c:pt>
                      <c:pt idx="5">
                        <c:v>0.928285190017062</c:v>
                      </c:pt>
                      <c:pt idx="6">
                        <c:v>0.92457248381017398</c:v>
                      </c:pt>
                      <c:pt idx="7">
                        <c:v>0.91425003564711105</c:v>
                      </c:pt>
                      <c:pt idx="8">
                        <c:v>0.91196030472178502</c:v>
                      </c:pt>
                      <c:pt idx="9">
                        <c:v>0.90965894518505097</c:v>
                      </c:pt>
                      <c:pt idx="10">
                        <c:v>0.90968484645028702</c:v>
                      </c:pt>
                      <c:pt idx="11">
                        <c:v>0.91111070578287401</c:v>
                      </c:pt>
                      <c:pt idx="12">
                        <c:v>0.91208972533241905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57-4951-9CA3-1E9378444EA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9.45698688427552E-2</c:v>
                      </c:pt>
                      <c:pt idx="1">
                        <c:v>6.7133672546629303E-2</c:v>
                      </c:pt>
                      <c:pt idx="2">
                        <c:v>4.6181900864841398E-2</c:v>
                      </c:pt>
                      <c:pt idx="3">
                        <c:v>2.3245883351317199E-2</c:v>
                      </c:pt>
                      <c:pt idx="4">
                        <c:v>1.6850003548789599E-2</c:v>
                      </c:pt>
                      <c:pt idx="5">
                        <c:v>9.3675335564188996E-3</c:v>
                      </c:pt>
                      <c:pt idx="6">
                        <c:v>6.9133849595660497E-3</c:v>
                      </c:pt>
                      <c:pt idx="7">
                        <c:v>5.2882588025011503E-3</c:v>
                      </c:pt>
                      <c:pt idx="8">
                        <c:v>3.3135085396315601E-3</c:v>
                      </c:pt>
                      <c:pt idx="9">
                        <c:v>2.3673996510910002E-3</c:v>
                      </c:pt>
                      <c:pt idx="10">
                        <c:v>1.67393542587383E-3</c:v>
                      </c:pt>
                      <c:pt idx="11">
                        <c:v>1.05001738436732E-3</c:v>
                      </c:pt>
                      <c:pt idx="12">
                        <c:v>7.3983710587228102E-4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57-4951-9CA3-1E9378444EA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-5.1649661859212159E-2</c:v>
                      </c:pt>
                      <c:pt idx="1">
                        <c:v>-4.2612940061017457E-2</c:v>
                      </c:pt>
                      <c:pt idx="2">
                        <c:v>-6.2938535645095883E-2</c:v>
                      </c:pt>
                      <c:pt idx="3">
                        <c:v>1.6452631363277348E-3</c:v>
                      </c:pt>
                      <c:pt idx="4">
                        <c:v>-3.3593447080794148E-3</c:v>
                      </c:pt>
                      <c:pt idx="5">
                        <c:v>7.789103511106843E-3</c:v>
                      </c:pt>
                      <c:pt idx="6">
                        <c:v>7.5925061132438021E-3</c:v>
                      </c:pt>
                      <c:pt idx="7">
                        <c:v>-4.1574899469987159E-4</c:v>
                      </c:pt>
                      <c:pt idx="8">
                        <c:v>-1.8394787117315126E-4</c:v>
                      </c:pt>
                      <c:pt idx="9">
                        <c:v>-1.1092195356561252E-3</c:v>
                      </c:pt>
                      <c:pt idx="10">
                        <c:v>-1.1752846151743546E-3</c:v>
                      </c:pt>
                      <c:pt idx="11">
                        <c:v>-2.6359037458578705E-4</c:v>
                      </c:pt>
                      <c:pt idx="12">
                        <c:v>1.9418205071985994E-4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57-4951-9CA3-1E9378444EA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-1.6762793733972936E-2</c:v>
                      </c:pt>
                      <c:pt idx="1">
                        <c:v>-8.0358281309199531E-2</c:v>
                      </c:pt>
                      <c:pt idx="2">
                        <c:v>-9.2564440081253974E-2</c:v>
                      </c:pt>
                      <c:pt idx="3">
                        <c:v>-1.3042323078732321E-2</c:v>
                      </c:pt>
                      <c:pt idx="4">
                        <c:v>3.0072109534688973E-3</c:v>
                      </c:pt>
                      <c:pt idx="5">
                        <c:v>1.7719683649086049E-2</c:v>
                      </c:pt>
                      <c:pt idx="6">
                        <c:v>1.3649281334161101E-2</c:v>
                      </c:pt>
                      <c:pt idx="7">
                        <c:v>2.3323296128872073E-3</c:v>
                      </c:pt>
                      <c:pt idx="8">
                        <c:v>-1.7800261908718085E-4</c:v>
                      </c:pt>
                      <c:pt idx="9">
                        <c:v>-2.7010838067174081E-3</c:v>
                      </c:pt>
                      <c:pt idx="10">
                        <c:v>-2.6726871159744592E-3</c:v>
                      </c:pt>
                      <c:pt idx="11">
                        <c:v>-1.1094551216539461E-3</c:v>
                      </c:pt>
                      <c:pt idx="12">
                        <c:v>-3.6113139077587064E-5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57-4951-9CA3-1E9378444EA7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'C-14'!$E$39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'C-14'!$A$44:$A$51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'C-14'!$E$44:$E$51</c:f>
              <c:numCache>
                <c:formatCode>0.00%</c:formatCode>
                <c:ptCount val="8"/>
                <c:pt idx="0">
                  <c:v>1.3619457289454901E-2</c:v>
                </c:pt>
                <c:pt idx="1">
                  <c:v>7.4771338562232403E-3</c:v>
                </c:pt>
                <c:pt idx="2">
                  <c:v>5.1544562976750998E-3</c:v>
                </c:pt>
                <c:pt idx="3">
                  <c:v>4.0171487802615601E-3</c:v>
                </c:pt>
                <c:pt idx="4">
                  <c:v>2.4535993806516802E-3</c:v>
                </c:pt>
                <c:pt idx="5">
                  <c:v>1.73008739418755E-3</c:v>
                </c:pt>
                <c:pt idx="6">
                  <c:v>1.22481595097394E-3</c:v>
                </c:pt>
                <c:pt idx="7">
                  <c:v>7.6787055092523103E-4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9-4B13-9BE5-7385DB8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'S-35'!$C$9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'S-35'!$A$10:$A$29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'S-35'!$C$10:$C$29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9.1946331626810984E-3</c:v>
                </c:pt>
                <c:pt idx="6">
                  <c:v>4.4765796229779831E-3</c:v>
                </c:pt>
                <c:pt idx="7">
                  <c:v>1.5836938065922901E-3</c:v>
                </c:pt>
                <c:pt idx="8">
                  <c:v>9.2413019312842515E-4</c:v>
                </c:pt>
                <c:pt idx="9">
                  <c:v>7.2196981110606018E-4</c:v>
                </c:pt>
                <c:pt idx="10">
                  <c:v>3.5163573842900142E-4</c:v>
                </c:pt>
                <c:pt idx="11">
                  <c:v>1.3031977856647892E-4</c:v>
                </c:pt>
                <c:pt idx="12">
                  <c:v>5.9916211434529743E-5</c:v>
                </c:pt>
                <c:pt idx="13">
                  <c:v>2.6005877900914243E-5</c:v>
                </c:pt>
                <c:pt idx="14">
                  <c:v>6.4374078394546785E-6</c:v>
                </c:pt>
                <c:pt idx="15">
                  <c:v>2.929819704400316E-6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3-4242-A831-4CF4F6B6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0.94812945703303597</c:v>
                      </c:pt>
                      <c:pt idx="6">
                        <c:v>0.94369688734443902</c:v>
                      </c:pt>
                      <c:pt idx="7">
                        <c:v>0.94097904663441401</c:v>
                      </c:pt>
                      <c:pt idx="8">
                        <c:v>0.94035939243673705</c:v>
                      </c:pt>
                      <c:pt idx="9">
                        <c:v>0.94016946454082695</c:v>
                      </c:pt>
                      <c:pt idx="10">
                        <c:v>0.93982153894579301</c:v>
                      </c:pt>
                      <c:pt idx="11">
                        <c:v>0.93961361455344905</c:v>
                      </c:pt>
                      <c:pt idx="12">
                        <c:v>0.93954747102306901</c:v>
                      </c:pt>
                      <c:pt idx="13">
                        <c:v>0.93951561256379401</c:v>
                      </c:pt>
                      <c:pt idx="14">
                        <c:v>0.93949722815876002</c:v>
                      </c:pt>
                      <c:pt idx="15">
                        <c:v>0.93949393281064297</c:v>
                      </c:pt>
                      <c:pt idx="16">
                        <c:v>0.93949118027087097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B83-4242-A831-4CF4F6B6ADA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'S-35'!$I$39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'S-35'!$A$40:$A$54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'S-35'!$I$40:$I$54</c:f>
              <c:numCache>
                <c:formatCode>0.00%</c:formatCode>
                <c:ptCount val="15"/>
                <c:pt idx="0">
                  <c:v>6.4125769098023255E-2</c:v>
                </c:pt>
                <c:pt idx="1">
                  <c:v>-3.2420704212749785E-2</c:v>
                </c:pt>
                <c:pt idx="2">
                  <c:v>3.7327691004881647E-2</c:v>
                </c:pt>
                <c:pt idx="3">
                  <c:v>-1.9543892855161671E-2</c:v>
                </c:pt>
                <c:pt idx="4">
                  <c:v>8.067690272921757E-3</c:v>
                </c:pt>
                <c:pt idx="5">
                  <c:v>6.47391526226615E-4</c:v>
                </c:pt>
                <c:pt idx="6">
                  <c:v>5.7684694009505488E-3</c:v>
                </c:pt>
                <c:pt idx="7">
                  <c:v>-2.2741761802171911E-3</c:v>
                </c:pt>
                <c:pt idx="8">
                  <c:v>-3.1943554523018447E-3</c:v>
                </c:pt>
                <c:pt idx="9">
                  <c:v>-4.0111834912995858E-3</c:v>
                </c:pt>
                <c:pt idx="10">
                  <c:v>-2.5049650659464406E-3</c:v>
                </c:pt>
                <c:pt idx="11">
                  <c:v>3.4624544670935897E-4</c:v>
                </c:pt>
                <c:pt idx="12">
                  <c:v>-9.4445447672242278E-4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A-4DB7-8349-C13FF583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0.99689492046975403</c:v>
                      </c:pt>
                      <c:pt idx="1">
                        <c:v>0.91772224255082302</c:v>
                      </c:pt>
                      <c:pt idx="2">
                        <c:v>0.96749527595093798</c:v>
                      </c:pt>
                      <c:pt idx="3">
                        <c:v>0.91462040278416601</c:v>
                      </c:pt>
                      <c:pt idx="4">
                        <c:v>0.94265138334656595</c:v>
                      </c:pt>
                      <c:pt idx="5">
                        <c:v>0.93239119709362805</c:v>
                      </c:pt>
                      <c:pt idx="6">
                        <c:v>0.93754207848006799</c:v>
                      </c:pt>
                      <c:pt idx="7">
                        <c:v>0.93123123920144801</c:v>
                      </c:pt>
                      <c:pt idx="8">
                        <c:v>0.93039955219859805</c:v>
                      </c:pt>
                      <c:pt idx="9">
                        <c:v>0.92924353946243698</c:v>
                      </c:pt>
                      <c:pt idx="10">
                        <c:v>0.93058295116096501</c:v>
                      </c:pt>
                      <c:pt idx="11">
                        <c:v>0.93316898447799901</c:v>
                      </c:pt>
                      <c:pt idx="12">
                        <c:v>0.93217847657539099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97A-4DB7-8349-C13FF583C1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2.4347463421259099E-3</c:v>
                      </c:pt>
                      <c:pt idx="1">
                        <c:v>5.4528017665543403E-2</c:v>
                      </c:pt>
                      <c:pt idx="2">
                        <c:v>2.0506421263800902E-2</c:v>
                      </c:pt>
                      <c:pt idx="3">
                        <c:v>2.0929740650401402E-2</c:v>
                      </c:pt>
                      <c:pt idx="4">
                        <c:v>1.2891554812912201E-2</c:v>
                      </c:pt>
                      <c:pt idx="5">
                        <c:v>8.3947097464930499E-3</c:v>
                      </c:pt>
                      <c:pt idx="6">
                        <c:v>5.7177417595046798E-3</c:v>
                      </c:pt>
                      <c:pt idx="7">
                        <c:v>4.3505776470177202E-3</c:v>
                      </c:pt>
                      <c:pt idx="8">
                        <c:v>2.7564689930207301E-3</c:v>
                      </c:pt>
                      <c:pt idx="9">
                        <c:v>1.9568682336074299E-3</c:v>
                      </c:pt>
                      <c:pt idx="10">
                        <c:v>1.3751378680632901E-3</c:v>
                      </c:pt>
                      <c:pt idx="11">
                        <c:v>8.4449982705064896E-4</c:v>
                      </c:pt>
                      <c:pt idx="12">
                        <c:v>6.0400591312055097E-4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7A-4DB7-8349-C13FF583C1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0.99979667520652604</c:v>
                      </c:pt>
                      <c:pt idx="1">
                        <c:v>0.909086680371193</c:v>
                      </c:pt>
                      <c:pt idx="2">
                        <c:v>0.97461860870583605</c:v>
                      </c:pt>
                      <c:pt idx="3">
                        <c:v>0.92118505591705602</c:v>
                      </c:pt>
                      <c:pt idx="4">
                        <c:v>0.94712744901599</c:v>
                      </c:pt>
                      <c:pt idx="5">
                        <c:v>0.94015572609429698</c:v>
                      </c:pt>
                      <c:pt idx="6">
                        <c:v>0.94496722186040605</c:v>
                      </c:pt>
                      <c:pt idx="7">
                        <c:v>0.93741077454428501</c:v>
                      </c:pt>
                      <c:pt idx="8">
                        <c:v>0.93654622243631003</c:v>
                      </c:pt>
                      <c:pt idx="9">
                        <c:v>0.93577877371800899</c:v>
                      </c:pt>
                      <c:pt idx="10">
                        <c:v>0.93719393743035795</c:v>
                      </c:pt>
                      <c:pt idx="11">
                        <c:v>0.93987278505687799</c:v>
                      </c:pt>
                      <c:pt idx="12">
                        <c:v>0.938660111207968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7A-4DB7-8349-C13FF583C1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1.8469653293921699E-4</c:v>
                      </c:pt>
                      <c:pt idx="1">
                        <c:v>6.0969564160569603E-2</c:v>
                      </c:pt>
                      <c:pt idx="2">
                        <c:v>1.9985704767066799E-2</c:v>
                      </c:pt>
                      <c:pt idx="3">
                        <c:v>2.2701884300864401E-2</c:v>
                      </c:pt>
                      <c:pt idx="4">
                        <c:v>1.3527668230671201E-2</c:v>
                      </c:pt>
                      <c:pt idx="5">
                        <c:v>8.7581883940228301E-3</c:v>
                      </c:pt>
                      <c:pt idx="6">
                        <c:v>5.9223006133268903E-3</c:v>
                      </c:pt>
                      <c:pt idx="7">
                        <c:v>4.5533353555431196E-3</c:v>
                      </c:pt>
                      <c:pt idx="8">
                        <c:v>2.8917297851523299E-3</c:v>
                      </c:pt>
                      <c:pt idx="9">
                        <c:v>2.0463851143970998E-3</c:v>
                      </c:pt>
                      <c:pt idx="10">
                        <c:v>1.4368360818666601E-3</c:v>
                      </c:pt>
                      <c:pt idx="11">
                        <c:v>8.8243637237530302E-4</c:v>
                      </c:pt>
                      <c:pt idx="12">
                        <c:v>6.3106756995430296E-4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7A-4DB7-8349-C13FF583C1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0.99088980593059095</c:v>
                      </c:pt>
                      <c:pt idx="1">
                        <c:v>0.89797697283918498</c:v>
                      </c:pt>
                      <c:pt idx="2">
                        <c:v>0.94829985760679103</c:v>
                      </c:pt>
                      <c:pt idx="3">
                        <c:v>0.85991130037903896</c:v>
                      </c:pt>
                      <c:pt idx="4">
                        <c:v>0.90918137692809298</c:v>
                      </c:pt>
                      <c:pt idx="5">
                        <c:v>0.88680551737528301</c:v>
                      </c:pt>
                      <c:pt idx="6">
                        <c:v>0.89503296869346305</c:v>
                      </c:pt>
                      <c:pt idx="7">
                        <c:v>0.88886462161304702</c:v>
                      </c:pt>
                      <c:pt idx="8">
                        <c:v>0.88717778870000996</c:v>
                      </c:pt>
                      <c:pt idx="9">
                        <c:v>0.88479094584554097</c:v>
                      </c:pt>
                      <c:pt idx="10">
                        <c:v>0.88711009945744701</c:v>
                      </c:pt>
                      <c:pt idx="11">
                        <c:v>0.889758634700755</c:v>
                      </c:pt>
                      <c:pt idx="12">
                        <c:v>0.88882848414433002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7A-4DB7-8349-C13FF583C1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7.1203590398926904E-3</c:v>
                      </c:pt>
                      <c:pt idx="1">
                        <c:v>6.6472482472692898E-2</c:v>
                      </c:pt>
                      <c:pt idx="2">
                        <c:v>2.4318695534783202E-2</c:v>
                      </c:pt>
                      <c:pt idx="3">
                        <c:v>2.9034638922003898E-2</c:v>
                      </c:pt>
                      <c:pt idx="4">
                        <c:v>1.7336916781602801E-2</c:v>
                      </c:pt>
                      <c:pt idx="5">
                        <c:v>1.17155442702942E-2</c:v>
                      </c:pt>
                      <c:pt idx="6">
                        <c:v>8.0203283227685395E-3</c:v>
                      </c:pt>
                      <c:pt idx="7">
                        <c:v>5.9330130279379297E-3</c:v>
                      </c:pt>
                      <c:pt idx="8">
                        <c:v>3.78101365791003E-3</c:v>
                      </c:pt>
                      <c:pt idx="9">
                        <c:v>2.6919013441981899E-3</c:v>
                      </c:pt>
                      <c:pt idx="10">
                        <c:v>1.88240284467127E-3</c:v>
                      </c:pt>
                      <c:pt idx="11">
                        <c:v>1.1733204686700601E-3</c:v>
                      </c:pt>
                      <c:pt idx="12">
                        <c:v>8.3629652621560195E-4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7A-4DB7-8349-C13FF583C1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6.8573663903707782E-2</c:v>
                      </c:pt>
                      <c:pt idx="1">
                        <c:v>-1.6291688289113537E-2</c:v>
                      </c:pt>
                      <c:pt idx="2">
                        <c:v>3.7060126001303484E-2</c:v>
                      </c:pt>
                      <c:pt idx="3">
                        <c:v>-1.96165565538019E-2</c:v>
                      </c:pt>
                      <c:pt idx="4">
                        <c:v>1.0429907709716302E-2</c:v>
                      </c:pt>
                      <c:pt idx="5">
                        <c:v>-5.680065052242611E-4</c:v>
                      </c:pt>
                      <c:pt idx="6">
                        <c:v>4.953233579786831E-3</c:v>
                      </c:pt>
                      <c:pt idx="7">
                        <c:v>-1.8113676954254476E-3</c:v>
                      </c:pt>
                      <c:pt idx="8">
                        <c:v>-2.7028546612108961E-3</c:v>
                      </c:pt>
                      <c:pt idx="9">
                        <c:v>-3.94198703076587E-3</c:v>
                      </c:pt>
                      <c:pt idx="10">
                        <c:v>-2.5062689457573395E-3</c:v>
                      </c:pt>
                      <c:pt idx="11">
                        <c:v>2.6570535145142848E-4</c:v>
                      </c:pt>
                      <c:pt idx="12">
                        <c:v>-7.9602205520112879E-4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7A-4DB7-8349-C13FF583C17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0.11369344168384798</c:v>
                      </c:pt>
                      <c:pt idx="1">
                        <c:v>9.2656715697077008E-3</c:v>
                      </c:pt>
                      <c:pt idx="2">
                        <c:v>6.5825206642995848E-2</c:v>
                      </c:pt>
                      <c:pt idx="3">
                        <c:v>-3.3517581944881081E-2</c:v>
                      </c:pt>
                      <c:pt idx="4">
                        <c:v>2.1858667558876776E-2</c:v>
                      </c:pt>
                      <c:pt idx="5">
                        <c:v>-3.2902923828392883E-3</c:v>
                      </c:pt>
                      <c:pt idx="6">
                        <c:v>5.9568090809050123E-3</c:v>
                      </c:pt>
                      <c:pt idx="7">
                        <c:v>-9.7599782494195431E-4</c:v>
                      </c:pt>
                      <c:pt idx="8">
                        <c:v>-2.8718844727024795E-3</c:v>
                      </c:pt>
                      <c:pt idx="9">
                        <c:v>-5.554535174568942E-3</c:v>
                      </c:pt>
                      <c:pt idx="10">
                        <c:v>-2.9479626249487856E-3</c:v>
                      </c:pt>
                      <c:pt idx="11">
                        <c:v>2.8812706563074997E-5</c:v>
                      </c:pt>
                      <c:pt idx="12">
                        <c:v>-1.016613907243169E-3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7A-4DB7-8349-C13FF583C17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'S-35'!$E$39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'S-35'!$A$43:$A$51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'S-35'!$E$43:$E$51</c:f>
              <c:numCache>
                <c:formatCode>General</c:formatCode>
                <c:ptCount val="9"/>
                <c:pt idx="0">
                  <c:v>2.2701884300864401E-2</c:v>
                </c:pt>
                <c:pt idx="1">
                  <c:v>1.3527668230671201E-2</c:v>
                </c:pt>
                <c:pt idx="2">
                  <c:v>8.7581883940228301E-3</c:v>
                </c:pt>
                <c:pt idx="3">
                  <c:v>5.9223006133268903E-3</c:v>
                </c:pt>
                <c:pt idx="4">
                  <c:v>4.5533353555431196E-3</c:v>
                </c:pt>
                <c:pt idx="5">
                  <c:v>2.8917297851523299E-3</c:v>
                </c:pt>
                <c:pt idx="6">
                  <c:v>2.0463851143970998E-3</c:v>
                </c:pt>
                <c:pt idx="7">
                  <c:v>1.4368360818666601E-3</c:v>
                </c:pt>
                <c:pt idx="8">
                  <c:v>8.8243637237530302E-4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9-4D27-89B9-57151AF3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'Pm-147'!$C$9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'Pm-147'!$A$10:$A$29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'Pm-147'!$C$10:$C$29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7.5949170096025753E-3</c:v>
                </c:pt>
                <c:pt idx="6">
                  <c:v>3.7008814027379433E-3</c:v>
                </c:pt>
                <c:pt idx="7">
                  <c:v>1.3053868233097177E-3</c:v>
                </c:pt>
                <c:pt idx="8">
                  <c:v>7.5652120433944425E-4</c:v>
                </c:pt>
                <c:pt idx="9">
                  <c:v>5.9012910503430938E-4</c:v>
                </c:pt>
                <c:pt idx="10">
                  <c:v>2.8407042788214376E-4</c:v>
                </c:pt>
                <c:pt idx="11">
                  <c:v>1.0588896306118478E-4</c:v>
                </c:pt>
                <c:pt idx="12">
                  <c:v>4.6387579299755899E-5</c:v>
                </c:pt>
                <c:pt idx="13">
                  <c:v>1.7205452916169151E-5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1-4EF3-BACC-29204228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0.95488759691167502</c:v>
                      </c:pt>
                      <c:pt idx="6">
                        <c:v>0.95119725842330405</c:v>
                      </c:pt>
                      <c:pt idx="7">
                        <c:v>0.94892707223662298</c:v>
                      </c:pt>
                      <c:pt idx="8">
                        <c:v>0.94840691779451702</c:v>
                      </c:pt>
                      <c:pt idx="9">
                        <c:v>0.94824922967087899</c:v>
                      </c:pt>
                      <c:pt idx="10">
                        <c:v>0.94795918093223797</c:v>
                      </c:pt>
                      <c:pt idx="11">
                        <c:v>0.94779032014514497</c:v>
                      </c:pt>
                      <c:pt idx="12">
                        <c:v>0.94773393128053895</c:v>
                      </c:pt>
                      <c:pt idx="13">
                        <c:v>0.94770627567205501</c:v>
                      </c:pt>
                      <c:pt idx="14">
                        <c:v>0.94768997023689305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01-4EF3-BACC-292042285E7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'Pm-147'!$I$39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'Pm-147'!$A$40:$A$54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'Pm-147'!$I$40:$I$54</c:f>
              <c:numCache>
                <c:formatCode>0.00%</c:formatCode>
                <c:ptCount val="15"/>
                <c:pt idx="0">
                  <c:v>-6.8046034709625003E-2</c:v>
                </c:pt>
                <c:pt idx="1">
                  <c:v>4.4539592051665133E-2</c:v>
                </c:pt>
                <c:pt idx="2">
                  <c:v>3.9375851511318505E-3</c:v>
                </c:pt>
                <c:pt idx="3">
                  <c:v>5.8653104870165507E-3</c:v>
                </c:pt>
                <c:pt idx="4">
                  <c:v>-8.8400166140700787E-3</c:v>
                </c:pt>
                <c:pt idx="5">
                  <c:v>1.5862866421088251E-2</c:v>
                </c:pt>
                <c:pt idx="6">
                  <c:v>-3.2247055829156546E-3</c:v>
                </c:pt>
                <c:pt idx="7">
                  <c:v>-1.9710977876459257E-3</c:v>
                </c:pt>
                <c:pt idx="8">
                  <c:v>1.7716839928041406E-3</c:v>
                </c:pt>
                <c:pt idx="9">
                  <c:v>-6.4246681756641166E-5</c:v>
                </c:pt>
                <c:pt idx="10">
                  <c:v>-3.4178783980280958E-3</c:v>
                </c:pt>
                <c:pt idx="11">
                  <c:v>-4.0894206643660169E-4</c:v>
                </c:pt>
                <c:pt idx="12">
                  <c:v>3.2105061541054525E-4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D89-8B2F-2238FA90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0.86449487866661101</c:v>
                      </c:pt>
                      <c:pt idx="1">
                        <c:v>0.98150600730826798</c:v>
                      </c:pt>
                      <c:pt idx="2">
                        <c:v>0.951177821618854</c:v>
                      </c:pt>
                      <c:pt idx="3">
                        <c:v>0.94744767063900204</c:v>
                      </c:pt>
                      <c:pt idx="4">
                        <c:v>0.93507673059317498</c:v>
                      </c:pt>
                      <c:pt idx="5">
                        <c:v>0.95563058337251905</c:v>
                      </c:pt>
                      <c:pt idx="6">
                        <c:v>0.93910595875811198</c:v>
                      </c:pt>
                      <c:pt idx="7">
                        <c:v>0.93983644932820598</c:v>
                      </c:pt>
                      <c:pt idx="8">
                        <c:v>0.94416778563500903</c:v>
                      </c:pt>
                      <c:pt idx="9">
                        <c:v>0.94172164323445195</c:v>
                      </c:pt>
                      <c:pt idx="10">
                        <c:v>0.93893757862813298</c:v>
                      </c:pt>
                      <c:pt idx="11">
                        <c:v>0.94178471411981601</c:v>
                      </c:pt>
                      <c:pt idx="12">
                        <c:v>0.94242788881672701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D3D-4D89-8B2F-2238FA90E0D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9.3801458673291094E-2</c:v>
                      </c:pt>
                      <c:pt idx="1">
                        <c:v>1.3663369617593501E-2</c:v>
                      </c:pt>
                      <c:pt idx="2">
                        <c:v>2.1922419079956599E-2</c:v>
                      </c:pt>
                      <c:pt idx="3">
                        <c:v>1.69966110545344E-2</c:v>
                      </c:pt>
                      <c:pt idx="4">
                        <c:v>1.3837786056704699E-2</c:v>
                      </c:pt>
                      <c:pt idx="5">
                        <c:v>6.4822074579118597E-3</c:v>
                      </c:pt>
                      <c:pt idx="6">
                        <c:v>5.9974094229948201E-3</c:v>
                      </c:pt>
                      <c:pt idx="7">
                        <c:v>4.09219343719103E-3</c:v>
                      </c:pt>
                      <c:pt idx="8">
                        <c:v>2.5250391351435298E-3</c:v>
                      </c:pt>
                      <c:pt idx="9">
                        <c:v>1.79156686374436E-3</c:v>
                      </c:pt>
                      <c:pt idx="10">
                        <c:v>1.30460279246735E-3</c:v>
                      </c:pt>
                      <c:pt idx="11">
                        <c:v>8.0494651418416103E-4</c:v>
                      </c:pt>
                      <c:pt idx="12">
                        <c:v>5.6659855979576603E-4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3D-4D89-8B2F-2238FA90E0D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0.88324439529713406</c:v>
                      </c:pt>
                      <c:pt idx="1">
                        <c:v>0.98994561395329495</c:v>
                      </c:pt>
                      <c:pt idx="2">
                        <c:v>0.95146571433557303</c:v>
                      </c:pt>
                      <c:pt idx="3">
                        <c:v>0.95329268504658005</c:v>
                      </c:pt>
                      <c:pt idx="4">
                        <c:v>0.93935594758230101</c:v>
                      </c:pt>
                      <c:pt idx="5">
                        <c:v>0.96276770803517497</c:v>
                      </c:pt>
                      <c:pt idx="6">
                        <c:v>0.94467776838121997</c:v>
                      </c:pt>
                      <c:pt idx="7">
                        <c:v>0.94586585502531495</c:v>
                      </c:pt>
                      <c:pt idx="8">
                        <c:v>0.94941301631602604</c:v>
                      </c:pt>
                      <c:pt idx="9">
                        <c:v>0.94767304252026596</c:v>
                      </c:pt>
                      <c:pt idx="10">
                        <c:v>0.94449469194973701</c:v>
                      </c:pt>
                      <c:pt idx="11">
                        <c:v>0.94734636300824904</c:v>
                      </c:pt>
                      <c:pt idx="12">
                        <c:v>0.94803820184242205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D-4D89-8B2F-2238FA90E0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9.3708515766109196E-2</c:v>
                      </c:pt>
                      <c:pt idx="1">
                        <c:v>9.1896946152839106E-3</c:v>
                      </c:pt>
                      <c:pt idx="2">
                        <c:v>2.3367858469842299E-2</c:v>
                      </c:pt>
                      <c:pt idx="3">
                        <c:v>1.7247047317116002E-2</c:v>
                      </c:pt>
                      <c:pt idx="4">
                        <c:v>1.4455760978324701E-2</c:v>
                      </c:pt>
                      <c:pt idx="5">
                        <c:v>6.6951456540986897E-3</c:v>
                      </c:pt>
                      <c:pt idx="6">
                        <c:v>6.2515638462950903E-3</c:v>
                      </c:pt>
                      <c:pt idx="7">
                        <c:v>4.2265575764036901E-3</c:v>
                      </c:pt>
                      <c:pt idx="8">
                        <c:v>2.6284070962727299E-3</c:v>
                      </c:pt>
                      <c:pt idx="9">
                        <c:v>1.85900461953876E-3</c:v>
                      </c:pt>
                      <c:pt idx="10">
                        <c:v>1.35812619252496E-3</c:v>
                      </c:pt>
                      <c:pt idx="11">
                        <c:v>8.3810530936557603E-4</c:v>
                      </c:pt>
                      <c:pt idx="12">
                        <c:v>5.8915890405455398E-4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D-4D89-8B2F-2238FA90E0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0.81138559995118797</c:v>
                      </c:pt>
                      <c:pt idx="1">
                        <c:v>0.95565888667588905</c:v>
                      </c:pt>
                      <c:pt idx="2">
                        <c:v>0.91742044971539005</c:v>
                      </c:pt>
                      <c:pt idx="3">
                        <c:v>0.91317200847648705</c:v>
                      </c:pt>
                      <c:pt idx="4">
                        <c:v>0.89932006123942199</c:v>
                      </c:pt>
                      <c:pt idx="5">
                        <c:v>0.91997512394332104</c:v>
                      </c:pt>
                      <c:pt idx="6">
                        <c:v>0.904494498152421</c:v>
                      </c:pt>
                      <c:pt idx="7">
                        <c:v>0.90224404109828704</c:v>
                      </c:pt>
                      <c:pt idx="8">
                        <c:v>0.91029137274341199</c:v>
                      </c:pt>
                      <c:pt idx="9">
                        <c:v>0.90456863615316396</c:v>
                      </c:pt>
                      <c:pt idx="10">
                        <c:v>0.90121797224863198</c:v>
                      </c:pt>
                      <c:pt idx="11">
                        <c:v>0.90535990692278301</c:v>
                      </c:pt>
                      <c:pt idx="12">
                        <c:v>0.90639147670251397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3D-4D89-8B2F-2238FA90E0D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0.10190647390994199</c:v>
                      </c:pt>
                      <c:pt idx="1">
                        <c:v>3.0963731380355599E-2</c:v>
                      </c:pt>
                      <c:pt idx="2">
                        <c:v>3.5059102387414803E-2</c:v>
                      </c:pt>
                      <c:pt idx="3">
                        <c:v>2.3763898961529601E-2</c:v>
                      </c:pt>
                      <c:pt idx="4">
                        <c:v>1.8403057825887199E-2</c:v>
                      </c:pt>
                      <c:pt idx="5">
                        <c:v>9.71545927643566E-3</c:v>
                      </c:pt>
                      <c:pt idx="6">
                        <c:v>7.8617783655835407E-3</c:v>
                      </c:pt>
                      <c:pt idx="7">
                        <c:v>5.6102274469469601E-3</c:v>
                      </c:pt>
                      <c:pt idx="8">
                        <c:v>3.4227522684035102E-3</c:v>
                      </c:pt>
                      <c:pt idx="9">
                        <c:v>2.4709318841695201E-3</c:v>
                      </c:pt>
                      <c:pt idx="10">
                        <c:v>1.7906072419838701E-3</c:v>
                      </c:pt>
                      <c:pt idx="11">
                        <c:v>1.1060013136147699E-3</c:v>
                      </c:pt>
                      <c:pt idx="12">
                        <c:v>7.7756608253084505E-4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3D-4D89-8B2F-2238FA90E0D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-8.2418046590841287E-2</c:v>
                      </c:pt>
                      <c:pt idx="1">
                        <c:v>4.17785248859317E-2</c:v>
                      </c:pt>
                      <c:pt idx="2">
                        <c:v>9.5879398923333081E-3</c:v>
                      </c:pt>
                      <c:pt idx="3">
                        <c:v>5.6287270536374834E-3</c:v>
                      </c:pt>
                      <c:pt idx="4">
                        <c:v>-7.5018901574972485E-3</c:v>
                      </c:pt>
                      <c:pt idx="5">
                        <c:v>1.4314137732042154E-2</c:v>
                      </c:pt>
                      <c:pt idx="6">
                        <c:v>-3.2252343420035023E-3</c:v>
                      </c:pt>
                      <c:pt idx="7">
                        <c:v>-2.4498856606005592E-3</c:v>
                      </c:pt>
                      <c:pt idx="8">
                        <c:v>2.1474302140733759E-3</c:v>
                      </c:pt>
                      <c:pt idx="9">
                        <c:v>-4.4892538919172331E-4</c:v>
                      </c:pt>
                      <c:pt idx="10">
                        <c:v>-3.4039543927454341E-3</c:v>
                      </c:pt>
                      <c:pt idx="11">
                        <c:v>-3.8198143426071418E-4</c:v>
                      </c:pt>
                      <c:pt idx="12">
                        <c:v>3.0068946332195701E-4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3D-4D89-8B2F-2238FA90E0D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-0.10448278284281598</c:v>
                      </c:pt>
                      <c:pt idx="1">
                        <c:v>5.4750031056761905E-2</c:v>
                      </c:pt>
                      <c:pt idx="2">
                        <c:v>1.2546695605200275E-2</c:v>
                      </c:pt>
                      <c:pt idx="3">
                        <c:v>7.8577384980651477E-3</c:v>
                      </c:pt>
                      <c:pt idx="4">
                        <c:v>-7.4305008331367883E-3</c:v>
                      </c:pt>
                      <c:pt idx="5">
                        <c:v>1.5366260994920777E-2</c:v>
                      </c:pt>
                      <c:pt idx="6">
                        <c:v>-1.7195326510996978E-3</c:v>
                      </c:pt>
                      <c:pt idx="7">
                        <c:v>-4.2033369465802606E-3</c:v>
                      </c:pt>
                      <c:pt idx="8">
                        <c:v>4.6784130386510192E-3</c:v>
                      </c:pt>
                      <c:pt idx="9">
                        <c:v>-1.6377073683797594E-3</c:v>
                      </c:pt>
                      <c:pt idx="10">
                        <c:v>-5.3357976667484097E-3</c:v>
                      </c:pt>
                      <c:pt idx="11">
                        <c:v>-7.6439066462052896E-4</c:v>
                      </c:pt>
                      <c:pt idx="12">
                        <c:v>3.7414137058400243E-4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3D-4D89-8B2F-2238FA90E0DA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'Pm-147'!$E$39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099737532808397E-3"/>
                  <c:y val="-0.42430788542736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'Pm-147'!$A$42:$A$51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xVal>
          <c:yVal>
            <c:numRef>
              <c:f>'Pm-147'!$E$42:$E$51</c:f>
              <c:numCache>
                <c:formatCode>General</c:formatCode>
                <c:ptCount val="10"/>
                <c:pt idx="0">
                  <c:v>2.3367858469842299E-2</c:v>
                </c:pt>
                <c:pt idx="1">
                  <c:v>1.7247047317116002E-2</c:v>
                </c:pt>
                <c:pt idx="2">
                  <c:v>1.4455760978324701E-2</c:v>
                </c:pt>
                <c:pt idx="3">
                  <c:v>6.6951456540986897E-3</c:v>
                </c:pt>
                <c:pt idx="4">
                  <c:v>6.2515638462950903E-3</c:v>
                </c:pt>
                <c:pt idx="5">
                  <c:v>4.2265575764036901E-3</c:v>
                </c:pt>
                <c:pt idx="6">
                  <c:v>2.6284070962727299E-3</c:v>
                </c:pt>
                <c:pt idx="7">
                  <c:v>1.85900461953876E-3</c:v>
                </c:pt>
                <c:pt idx="8">
                  <c:v>1.35812619252496E-3</c:v>
                </c:pt>
                <c:pt idx="9">
                  <c:v>8.3810530936557603E-4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5-4F56-B00C-19EEA59A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'Ni-63'!$C$9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'Ni-63'!$A$10:$A$29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'Ni-63'!$C$10:$C$29</c:f>
              <c:numCache>
                <c:formatCode>0.0000%</c:formatCode>
                <c:ptCount val="20"/>
                <c:pt idx="0">
                  <c:v>8.9171229605927937E-2</c:v>
                </c:pt>
                <c:pt idx="1">
                  <c:v>6.9549727920121818E-2</c:v>
                </c:pt>
                <c:pt idx="2">
                  <c:v>5.6918392534251128E-2</c:v>
                </c:pt>
                <c:pt idx="3">
                  <c:v>4.8075415129297472E-2</c:v>
                </c:pt>
                <c:pt idx="4">
                  <c:v>4.1548047085930628E-2</c:v>
                </c:pt>
                <c:pt idx="5">
                  <c:v>2.9292208254215968E-2</c:v>
                </c:pt>
                <c:pt idx="6">
                  <c:v>1.4179083338621945E-2</c:v>
                </c:pt>
                <c:pt idx="7">
                  <c:v>4.9887413050893059E-3</c:v>
                </c:pt>
                <c:pt idx="8">
                  <c:v>2.9090377476239659E-3</c:v>
                </c:pt>
                <c:pt idx="9">
                  <c:v>2.2742226731815585E-3</c:v>
                </c:pt>
                <c:pt idx="10">
                  <c:v>1.1013192421025497E-3</c:v>
                </c:pt>
                <c:pt idx="11">
                  <c:v>4.2707189234825194E-4</c:v>
                </c:pt>
                <c:pt idx="12">
                  <c:v>1.972882047858171E-4</c:v>
                </c:pt>
                <c:pt idx="13">
                  <c:v>8.5713408711551864E-5</c:v>
                </c:pt>
                <c:pt idx="14">
                  <c:v>2.2048570393007338E-5</c:v>
                </c:pt>
                <c:pt idx="15">
                  <c:v>9.247827008618259E-6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9-42A0-B959-9A2D83F5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0.90637218087976001</c:v>
                      </c:pt>
                      <c:pt idx="1">
                        <c:v>0.89004381781646602</c:v>
                      </c:pt>
                      <c:pt idx="2">
                        <c:v>0.879532439357399</c:v>
                      </c:pt>
                      <c:pt idx="3">
                        <c:v>0.87217360678990796</c:v>
                      </c:pt>
                      <c:pt idx="4">
                        <c:v>0.86674174754862798</c:v>
                      </c:pt>
                      <c:pt idx="5">
                        <c:v>0.85654284487064303</c:v>
                      </c:pt>
                      <c:pt idx="6">
                        <c:v>0.84396620345989704</c:v>
                      </c:pt>
                      <c:pt idx="7">
                        <c:v>0.83631830556694797</c:v>
                      </c:pt>
                      <c:pt idx="8">
                        <c:v>0.83458764522840301</c:v>
                      </c:pt>
                      <c:pt idx="9">
                        <c:v>0.834059373173617</c:v>
                      </c:pt>
                      <c:pt idx="10">
                        <c:v>0.83308332183119105</c:v>
                      </c:pt>
                      <c:pt idx="11">
                        <c:v>0.83252223554444604</c:v>
                      </c:pt>
                      <c:pt idx="12">
                        <c:v>0.83233101717917402</c:v>
                      </c:pt>
                      <c:pt idx="13">
                        <c:v>0.83223816833364805</c:v>
                      </c:pt>
                      <c:pt idx="14">
                        <c:v>0.83218518856629498</c:v>
                      </c:pt>
                      <c:pt idx="15">
                        <c:v>0.83217453621211701</c:v>
                      </c:pt>
                      <c:pt idx="16">
                        <c:v>0.83216684047713396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519-42A0-B959-9A2D83F57653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'Ni-63'!$I$39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'Ni-63'!$A$40:$A$54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'Ni-63'!$I$40:$I$54</c:f>
              <c:numCache>
                <c:formatCode>0.00%</c:formatCode>
                <c:ptCount val="15"/>
                <c:pt idx="0">
                  <c:v>-7.4257664298122084E-2</c:v>
                </c:pt>
                <c:pt idx="1">
                  <c:v>-0.10871477290025666</c:v>
                </c:pt>
                <c:pt idx="2">
                  <c:v>2.7372683876357717E-2</c:v>
                </c:pt>
                <c:pt idx="3">
                  <c:v>3.2053953603021101E-2</c:v>
                </c:pt>
                <c:pt idx="4">
                  <c:v>3.2649487484219808E-3</c:v>
                </c:pt>
                <c:pt idx="5">
                  <c:v>-2.8475838592889602E-3</c:v>
                </c:pt>
                <c:pt idx="6">
                  <c:v>2.3154346376486057E-3</c:v>
                </c:pt>
                <c:pt idx="7">
                  <c:v>9.7816047355465674E-3</c:v>
                </c:pt>
                <c:pt idx="8">
                  <c:v>8.3482465468076583E-3</c:v>
                </c:pt>
                <c:pt idx="9">
                  <c:v>-2.8587074932806544E-5</c:v>
                </c:pt>
                <c:pt idx="10">
                  <c:v>-2.3355235040191102E-3</c:v>
                </c:pt>
                <c:pt idx="11">
                  <c:v>9.0644098229408776E-4</c:v>
                </c:pt>
                <c:pt idx="12">
                  <c:v>5.2766837313078518E-4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2-47E4-AEE7-4627199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'Ni-63'!$B$40:$B$54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0.76047643603523896</c:v>
                      </c:pt>
                      <c:pt idx="1">
                        <c:v>0.73242625613807699</c:v>
                      </c:pt>
                      <c:pt idx="2">
                        <c:v>0.83742099043215201</c:v>
                      </c:pt>
                      <c:pt idx="3">
                        <c:v>0.83927964274684497</c:v>
                      </c:pt>
                      <c:pt idx="4">
                        <c:v>0.81998322042939997</c:v>
                      </c:pt>
                      <c:pt idx="5">
                        <c:v>0.81535104229275801</c:v>
                      </c:pt>
                      <c:pt idx="6">
                        <c:v>0.81871624440397806</c:v>
                      </c:pt>
                      <c:pt idx="7">
                        <c:v>0.82189247830710599</c:v>
                      </c:pt>
                      <c:pt idx="8">
                        <c:v>0.82325800239992897</c:v>
                      </c:pt>
                      <c:pt idx="9">
                        <c:v>0.81729640417025196</c:v>
                      </c:pt>
                      <c:pt idx="10">
                        <c:v>0.81542833055928199</c:v>
                      </c:pt>
                      <c:pt idx="11">
                        <c:v>0.81761741542036004</c:v>
                      </c:pt>
                      <c:pt idx="12">
                        <c:v>0.81741808976938901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82-47E4-AEE7-4627199426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'Ni-63'!$C$40:$C$54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9.6439211330977798E-2</c:v>
                      </c:pt>
                      <c:pt idx="1">
                        <c:v>7.0897826555132604E-2</c:v>
                      </c:pt>
                      <c:pt idx="2">
                        <c:v>3.6996213529700901E-2</c:v>
                      </c:pt>
                      <c:pt idx="3">
                        <c:v>2.5822556912816201E-2</c:v>
                      </c:pt>
                      <c:pt idx="4">
                        <c:v>1.8923348571125601E-2</c:v>
                      </c:pt>
                      <c:pt idx="5">
                        <c:v>1.25855529209745E-2</c:v>
                      </c:pt>
                      <c:pt idx="6">
                        <c:v>8.7222622485061199E-3</c:v>
                      </c:pt>
                      <c:pt idx="7">
                        <c:v>6.03425634785672E-3</c:v>
                      </c:pt>
                      <c:pt idx="8">
                        <c:v>3.8266929879148398E-3</c:v>
                      </c:pt>
                      <c:pt idx="9">
                        <c:v>2.7785537147416201E-3</c:v>
                      </c:pt>
                      <c:pt idx="10">
                        <c:v>1.9735453402924801E-3</c:v>
                      </c:pt>
                      <c:pt idx="11">
                        <c:v>1.2314357386741101E-3</c:v>
                      </c:pt>
                      <c:pt idx="12">
                        <c:v>8.7516829605944698E-4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82-47E4-AEE7-4627199426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'Ni-63'!$D$40:$D$54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0.77043810581344396</c:v>
                      </c:pt>
                      <c:pt idx="1">
                        <c:v>0.74176158486432997</c:v>
                      </c:pt>
                      <c:pt idx="2">
                        <c:v>0.85501876062528404</c:v>
                      </c:pt>
                      <c:pt idx="3">
                        <c:v>0.85891469196807801</c:v>
                      </c:pt>
                      <c:pt idx="4">
                        <c:v>0.83495538329973795</c:v>
                      </c:pt>
                      <c:pt idx="5">
                        <c:v>0.82986830035841697</c:v>
                      </c:pt>
                      <c:pt idx="6">
                        <c:v>0.834165161415381</c:v>
                      </c:pt>
                      <c:pt idx="7">
                        <c:v>0.84037879314212305</c:v>
                      </c:pt>
                      <c:pt idx="8">
                        <c:v>0.839185897748561</c:v>
                      </c:pt>
                      <c:pt idx="9">
                        <c:v>0.832214377078768</c:v>
                      </c:pt>
                      <c:pt idx="10">
                        <c:v>0.830294456530563</c:v>
                      </c:pt>
                      <c:pt idx="11">
                        <c:v>0.83299254311645499</c:v>
                      </c:pt>
                      <c:pt idx="12">
                        <c:v>0.83267731409399004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82-47E4-AEE7-4627199426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'Ni-63'!$E$40:$E$54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0.105054632206211</c:v>
                      </c:pt>
                      <c:pt idx="1">
                        <c:v>7.5528818333994996E-2</c:v>
                      </c:pt>
                      <c:pt idx="2">
                        <c:v>4.01646237462506E-2</c:v>
                      </c:pt>
                      <c:pt idx="3">
                        <c:v>2.81334203989233E-2</c:v>
                      </c:pt>
                      <c:pt idx="4">
                        <c:v>2.0551714021599599E-2</c:v>
                      </c:pt>
                      <c:pt idx="5">
                        <c:v>1.3782513671459599E-2</c:v>
                      </c:pt>
                      <c:pt idx="6">
                        <c:v>9.5172947933029797E-3</c:v>
                      </c:pt>
                      <c:pt idx="7">
                        <c:v>6.5467894758650799E-3</c:v>
                      </c:pt>
                      <c:pt idx="8">
                        <c:v>4.14471252572468E-3</c:v>
                      </c:pt>
                      <c:pt idx="9">
                        <c:v>3.01938620903516E-3</c:v>
                      </c:pt>
                      <c:pt idx="10">
                        <c:v>2.1467772088699299E-3</c:v>
                      </c:pt>
                      <c:pt idx="11">
                        <c:v>1.3377486121535899E-3</c:v>
                      </c:pt>
                      <c:pt idx="12">
                        <c:v>9.5023373722278801E-4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82-47E4-AEE7-46271994263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'Ni-63'!$F$40:$F$54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0.62177538397268195</c:v>
                      </c:pt>
                      <c:pt idx="1">
                        <c:v>0.58458659289574599</c:v>
                      </c:pt>
                      <c:pt idx="2">
                        <c:v>0.727055478677051</c:v>
                      </c:pt>
                      <c:pt idx="3">
                        <c:v>0.72714879893721296</c:v>
                      </c:pt>
                      <c:pt idx="4">
                        <c:v>0.69850896737208301</c:v>
                      </c:pt>
                      <c:pt idx="5">
                        <c:v>0.70105893981761103</c:v>
                      </c:pt>
                      <c:pt idx="6">
                        <c:v>0.70247864066631305</c:v>
                      </c:pt>
                      <c:pt idx="7">
                        <c:v>0.70230822129058101</c:v>
                      </c:pt>
                      <c:pt idx="8">
                        <c:v>0.70686450307717696</c:v>
                      </c:pt>
                      <c:pt idx="9">
                        <c:v>0.70165834105061897</c:v>
                      </c:pt>
                      <c:pt idx="10">
                        <c:v>0.69908425145847197</c:v>
                      </c:pt>
                      <c:pt idx="11">
                        <c:v>0.69998363382606699</c:v>
                      </c:pt>
                      <c:pt idx="12">
                        <c:v>0.70080777514050097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82-47E4-AEE7-46271994263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'Ni-63'!$G$40:$G$54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0.127337793339318</c:v>
                      </c:pt>
                      <c:pt idx="1">
                        <c:v>9.2833605797798202E-2</c:v>
                      </c:pt>
                      <c:pt idx="2">
                        <c:v>4.9437722631997402E-2</c:v>
                      </c:pt>
                      <c:pt idx="3">
                        <c:v>3.4247901360188598E-2</c:v>
                      </c:pt>
                      <c:pt idx="4">
                        <c:v>2.61140212521506E-2</c:v>
                      </c:pt>
                      <c:pt idx="5">
                        <c:v>1.6465295329540799E-2</c:v>
                      </c:pt>
                      <c:pt idx="6">
                        <c:v>1.1555950600171901E-2</c:v>
                      </c:pt>
                      <c:pt idx="7">
                        <c:v>8.0312049190091397E-3</c:v>
                      </c:pt>
                      <c:pt idx="8">
                        <c:v>5.1503597405190898E-3</c:v>
                      </c:pt>
                      <c:pt idx="9">
                        <c:v>3.6830183580164001E-3</c:v>
                      </c:pt>
                      <c:pt idx="10">
                        <c:v>2.6113482415745198E-3</c:v>
                      </c:pt>
                      <c:pt idx="11">
                        <c:v>1.64489838037674E-3</c:v>
                      </c:pt>
                      <c:pt idx="12">
                        <c:v>1.16371268217628E-3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82-47E4-AEE7-46271994263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-6.9115861986069338E-2</c:v>
                      </c:pt>
                      <c:pt idx="1">
                        <c:v>-0.10345153143933739</c:v>
                      </c:pt>
                      <c:pt idx="2">
                        <c:v>2.507044254699764E-2</c:v>
                      </c:pt>
                      <c:pt idx="3">
                        <c:v>2.73455820198929E-2</c:v>
                      </c:pt>
                      <c:pt idx="4">
                        <c:v>3.7252137815597663E-3</c:v>
                      </c:pt>
                      <c:pt idx="5">
                        <c:v>-1.9449436980535362E-3</c:v>
                      </c:pt>
                      <c:pt idx="6">
                        <c:v>2.1743335314654555E-3</c:v>
                      </c:pt>
                      <c:pt idx="7">
                        <c:v>6.0622985214902059E-3</c:v>
                      </c:pt>
                      <c:pt idx="8">
                        <c:v>7.7338095083552272E-3</c:v>
                      </c:pt>
                      <c:pt idx="9">
                        <c:v>4.3633523268793439E-4</c:v>
                      </c:pt>
                      <c:pt idx="10">
                        <c:v>-1.8503366623157103E-3</c:v>
                      </c:pt>
                      <c:pt idx="11">
                        <c:v>8.2927874374205679E-4</c:v>
                      </c:pt>
                      <c:pt idx="12">
                        <c:v>5.8528816363212499E-4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82-47E4-AEE7-46271994263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-0.11107344411035658</c:v>
                      </c:pt>
                      <c:pt idx="1">
                        <c:v>-0.16424072094673359</c:v>
                      </c:pt>
                      <c:pt idx="2">
                        <c:v>3.9441153928799766E-2</c:v>
                      </c:pt>
                      <c:pt idx="3">
                        <c:v>3.9574570045935786E-2</c:v>
                      </c:pt>
                      <c:pt idx="4">
                        <c:v>-1.3706128781424409E-3</c:v>
                      </c:pt>
                      <c:pt idx="5">
                        <c:v>2.2749772851959893E-3</c:v>
                      </c:pt>
                      <c:pt idx="6">
                        <c:v>4.3046648835807222E-3</c:v>
                      </c:pt>
                      <c:pt idx="7">
                        <c:v>4.0610233489826175E-3</c:v>
                      </c:pt>
                      <c:pt idx="8">
                        <c:v>1.0574951015825507E-2</c:v>
                      </c:pt>
                      <c:pt idx="9">
                        <c:v>3.1319164426282242E-3</c:v>
                      </c:pt>
                      <c:pt idx="10">
                        <c:v>-5.4815300798083388E-4</c:v>
                      </c:pt>
                      <c:pt idx="11">
                        <c:v>7.3765677327175538E-4</c:v>
                      </c:pt>
                      <c:pt idx="12">
                        <c:v>1.9158975320572313E-3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82-47E4-AEE7-462719942631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19772528433941E-2"/>
                  <c:y val="-0.44944189268008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Summary!$B$9:$B$18</c:f>
              <c:numCache>
                <c:formatCode>General</c:formatCode>
                <c:ptCount val="10"/>
                <c:pt idx="0">
                  <c:v>18.591000000000001</c:v>
                </c:pt>
                <c:pt idx="1">
                  <c:v>20.8</c:v>
                </c:pt>
                <c:pt idx="2">
                  <c:v>66.98</c:v>
                </c:pt>
                <c:pt idx="3">
                  <c:v>156.476</c:v>
                </c:pt>
                <c:pt idx="4">
                  <c:v>167.33</c:v>
                </c:pt>
                <c:pt idx="5">
                  <c:v>224.1</c:v>
                </c:pt>
                <c:pt idx="6">
                  <c:v>258</c:v>
                </c:pt>
                <c:pt idx="7">
                  <c:v>293.8</c:v>
                </c:pt>
                <c:pt idx="8">
                  <c:v>545.9</c:v>
                </c:pt>
                <c:pt idx="9">
                  <c:v>1495.1</c:v>
                </c:pt>
              </c:numCache>
            </c:numRef>
          </c:xVal>
          <c:yVal>
            <c:numRef>
              <c:f>Summary!$D$9:$D$18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0.33700000000000002</c:v>
                </c:pt>
                <c:pt idx="2">
                  <c:v>0.315</c:v>
                </c:pt>
                <c:pt idx="3">
                  <c:v>0.186</c:v>
                </c:pt>
                <c:pt idx="4">
                  <c:v>0.20799999999999999</c:v>
                </c:pt>
                <c:pt idx="5">
                  <c:v>0.16300000000000001</c:v>
                </c:pt>
                <c:pt idx="6">
                  <c:v>0.182</c:v>
                </c:pt>
                <c:pt idx="7">
                  <c:v>0.13600000000000001</c:v>
                </c:pt>
                <c:pt idx="8">
                  <c:v>0.106</c:v>
                </c:pt>
                <c:pt idx="9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B-404F-88F6-3F90AD8A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79888"/>
        <c:axId val="2091189008"/>
      </c:scatterChart>
      <c:valAx>
        <c:axId val="20911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End point energy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89008"/>
        <c:crosses val="autoZero"/>
        <c:crossBetween val="midCat"/>
      </c:valAx>
      <c:valAx>
        <c:axId val="2091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Convergence parameter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'Ni-63'!$E$39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'Ni-63'!$A$40:$A$51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'Ni-63'!$E$40:$E$51</c:f>
              <c:numCache>
                <c:formatCode>0.0000%</c:formatCode>
                <c:ptCount val="12"/>
                <c:pt idx="0">
                  <c:v>0.105054632206211</c:v>
                </c:pt>
                <c:pt idx="1">
                  <c:v>7.5528818333994996E-2</c:v>
                </c:pt>
                <c:pt idx="2">
                  <c:v>4.01646237462506E-2</c:v>
                </c:pt>
                <c:pt idx="3">
                  <c:v>2.81334203989233E-2</c:v>
                </c:pt>
                <c:pt idx="4">
                  <c:v>2.0551714021599599E-2</c:v>
                </c:pt>
                <c:pt idx="5">
                  <c:v>1.3782513671459599E-2</c:v>
                </c:pt>
                <c:pt idx="6">
                  <c:v>9.5172947933029797E-3</c:v>
                </c:pt>
                <c:pt idx="7">
                  <c:v>6.5467894758650799E-3</c:v>
                </c:pt>
                <c:pt idx="8">
                  <c:v>4.14471252572468E-3</c:v>
                </c:pt>
                <c:pt idx="9">
                  <c:v>3.01938620903516E-3</c:v>
                </c:pt>
                <c:pt idx="10">
                  <c:v>2.1467772088699299E-3</c:v>
                </c:pt>
                <c:pt idx="11">
                  <c:v>1.3377486121535899E-3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1-43B5-88BB-8ABC8F25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'Ca-45'!$C$9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'Ca-45'!$A$10:$A$29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'Ca-45'!$C$10:$C$29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2.693590729905937E-3</c:v>
                </c:pt>
                <c:pt idx="7">
                  <c:v>9.523241131481619E-4</c:v>
                </c:pt>
                <c:pt idx="8">
                  <c:v>5.553800707287504E-4</c:v>
                </c:pt>
                <c:pt idx="9">
                  <c:v>4.3301415619301231E-4</c:v>
                </c:pt>
                <c:pt idx="10">
                  <c:v>2.0939156225474598E-4</c:v>
                </c:pt>
                <c:pt idx="11">
                  <c:v>8.1541183505784431E-5</c:v>
                </c:pt>
                <c:pt idx="12">
                  <c:v>3.7717385687141558E-5</c:v>
                </c:pt>
                <c:pt idx="13">
                  <c:v>1.6096423637979029E-5</c:v>
                </c:pt>
                <c:pt idx="14">
                  <c:v>4.3312807449513713E-6</c:v>
                </c:pt>
                <c:pt idx="15">
                  <c:v>1.8466431430663732E-6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C-44D9-8F5B-1A7206B0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0.96458596051836498</c:v>
                      </c:pt>
                      <c:pt idx="7">
                        <c:v>0.96291087119140395</c:v>
                      </c:pt>
                      <c:pt idx="8">
                        <c:v>0.96252901311036199</c:v>
                      </c:pt>
                      <c:pt idx="9">
                        <c:v>0.962411297744174</c:v>
                      </c:pt>
                      <c:pt idx="10">
                        <c:v>0.96219617398497004</c:v>
                      </c:pt>
                      <c:pt idx="11">
                        <c:v>0.96207318259305497</c:v>
                      </c:pt>
                      <c:pt idx="12">
                        <c:v>0.96203102433004895</c:v>
                      </c:pt>
                      <c:pt idx="13">
                        <c:v>0.96201022507827505</c:v>
                      </c:pt>
                      <c:pt idx="14">
                        <c:v>0.96199890707269198</c:v>
                      </c:pt>
                      <c:pt idx="15">
                        <c:v>0.96199651686438703</c:v>
                      </c:pt>
                      <c:pt idx="16">
                        <c:v>0.96199474040339605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FBC-44D9-8F5B-1A7206B0998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'Ca-45'!$I$39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'Ca-45'!$A$40:$A$54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'Ca-45'!$I$40:$I$54</c:f>
              <c:numCache>
                <c:formatCode>0.00%</c:formatCode>
                <c:ptCount val="15"/>
                <c:pt idx="0">
                  <c:v>-4.9829302683855881E-2</c:v>
                </c:pt>
                <c:pt idx="1">
                  <c:v>-1.1381103598786635E-2</c:v>
                </c:pt>
                <c:pt idx="2">
                  <c:v>-7.0937447653295238E-2</c:v>
                </c:pt>
                <c:pt idx="3">
                  <c:v>2.3892192775057275E-2</c:v>
                </c:pt>
                <c:pt idx="4">
                  <c:v>1.2680134395592235E-2</c:v>
                </c:pt>
                <c:pt idx="5">
                  <c:v>-5.461989354311636E-3</c:v>
                </c:pt>
                <c:pt idx="6">
                  <c:v>1.1944264138356919E-2</c:v>
                </c:pt>
                <c:pt idx="7">
                  <c:v>-2.7580874123485088E-3</c:v>
                </c:pt>
                <c:pt idx="8">
                  <c:v>4.3036206245350428E-6</c:v>
                </c:pt>
                <c:pt idx="9">
                  <c:v>-1.6654195280407791E-5</c:v>
                </c:pt>
                <c:pt idx="10">
                  <c:v>6.4142410596446098E-4</c:v>
                </c:pt>
                <c:pt idx="11">
                  <c:v>-1.4653275784093367E-5</c:v>
                </c:pt>
                <c:pt idx="12">
                  <c:v>-1.5163498945838239E-3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B-4234-9691-CE22F81E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0.90153152992254004</c:v>
                      </c:pt>
                      <c:pt idx="1">
                        <c:v>0.95372564380579605</c:v>
                      </c:pt>
                      <c:pt idx="2">
                        <c:v>0.89718722773767301</c:v>
                      </c:pt>
                      <c:pt idx="3">
                        <c:v>0.98023136699513402</c:v>
                      </c:pt>
                      <c:pt idx="4">
                        <c:v>0.96860355581206503</c:v>
                      </c:pt>
                      <c:pt idx="5">
                        <c:v>0.95481867977449197</c:v>
                      </c:pt>
                      <c:pt idx="6">
                        <c:v>0.96829872502464298</c:v>
                      </c:pt>
                      <c:pt idx="7">
                        <c:v>0.95493423643498399</c:v>
                      </c:pt>
                      <c:pt idx="8">
                        <c:v>0.95791634772760703</c:v>
                      </c:pt>
                      <c:pt idx="9">
                        <c:v>0.95806420184442098</c:v>
                      </c:pt>
                      <c:pt idx="10">
                        <c:v>0.95821451824261605</c:v>
                      </c:pt>
                      <c:pt idx="11">
                        <c:v>0.95795360526968798</c:v>
                      </c:pt>
                      <c:pt idx="12">
                        <c:v>0.95644007647427998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8B-4234-9691-CE22F81EB0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5.5641645528801797E-2</c:v>
                      </c:pt>
                      <c:pt idx="1">
                        <c:v>4.4280165494410398E-2</c:v>
                      </c:pt>
                      <c:pt idx="2">
                        <c:v>3.6284702658829097E-2</c:v>
                      </c:pt>
                      <c:pt idx="3">
                        <c:v>9.2312950685352908E-3</c:v>
                      </c:pt>
                      <c:pt idx="4">
                        <c:v>9.5344503435593093E-3</c:v>
                      </c:pt>
                      <c:pt idx="5">
                        <c:v>7.7777085086426397E-3</c:v>
                      </c:pt>
                      <c:pt idx="6">
                        <c:v>3.8737426502992401E-3</c:v>
                      </c:pt>
                      <c:pt idx="7">
                        <c:v>3.5886159503988298E-3</c:v>
                      </c:pt>
                      <c:pt idx="8">
                        <c:v>2.1769127724600699E-3</c:v>
                      </c:pt>
                      <c:pt idx="9">
                        <c:v>1.56302157179711E-3</c:v>
                      </c:pt>
                      <c:pt idx="10">
                        <c:v>1.0873291495406799E-3</c:v>
                      </c:pt>
                      <c:pt idx="11">
                        <c:v>6.9277193609163196E-4</c:v>
                      </c:pt>
                      <c:pt idx="12">
                        <c:v>5.0040375897756402E-4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8B-4234-9691-CE22F81EB02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0.91413374677360504</c:v>
                      </c:pt>
                      <c:pt idx="1">
                        <c:v>0.95112372803234901</c:v>
                      </c:pt>
                      <c:pt idx="2">
                        <c:v>0.89382616656422098</c:v>
                      </c:pt>
                      <c:pt idx="3">
                        <c:v>0.98505922053528105</c:v>
                      </c:pt>
                      <c:pt idx="4">
                        <c:v>0.97427239984672998</c:v>
                      </c:pt>
                      <c:pt idx="5">
                        <c:v>0.95681834911166297</c:v>
                      </c:pt>
                      <c:pt idx="6">
                        <c:v>0.973564438806376</c:v>
                      </c:pt>
                      <c:pt idx="7">
                        <c:v>0.959419700658387</c:v>
                      </c:pt>
                      <c:pt idx="8">
                        <c:v>0.96207732299104598</c:v>
                      </c:pt>
                      <c:pt idx="9">
                        <c:v>0.96205716003839803</c:v>
                      </c:pt>
                      <c:pt idx="10">
                        <c:v>0.96269027952407205</c:v>
                      </c:pt>
                      <c:pt idx="11">
                        <c:v>0.96205908506938598</c:v>
                      </c:pt>
                      <c:pt idx="12">
                        <c:v>0.96061434302404802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8B-4234-9691-CE22F81EB0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5.3116981917314197E-2</c:v>
                      </c:pt>
                      <c:pt idx="1">
                        <c:v>4.7602967650921202E-2</c:v>
                      </c:pt>
                      <c:pt idx="2">
                        <c:v>3.9244365362698298E-2</c:v>
                      </c:pt>
                      <c:pt idx="3">
                        <c:v>9.6010466409954705E-3</c:v>
                      </c:pt>
                      <c:pt idx="4">
                        <c:v>9.5254846000284998E-3</c:v>
                      </c:pt>
                      <c:pt idx="5">
                        <c:v>8.1875443788199196E-3</c:v>
                      </c:pt>
                      <c:pt idx="6">
                        <c:v>3.9822980821154303E-3</c:v>
                      </c:pt>
                      <c:pt idx="7">
                        <c:v>3.6914349154109202E-3</c:v>
                      </c:pt>
                      <c:pt idx="8">
                        <c:v>2.2545523095715602E-3</c:v>
                      </c:pt>
                      <c:pt idx="9">
                        <c:v>1.6177140394686999E-3</c:v>
                      </c:pt>
                      <c:pt idx="10">
                        <c:v>1.1230495998953299E-3</c:v>
                      </c:pt>
                      <c:pt idx="11">
                        <c:v>7.1840668530980195E-4</c:v>
                      </c:pt>
                      <c:pt idx="12">
                        <c:v>5.1933213744731E-4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8B-4234-9691-CE22F81EB02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0.80851166653720397</c:v>
                      </c:pt>
                      <c:pt idx="1">
                        <c:v>0.94764903314936699</c:v>
                      </c:pt>
                      <c:pt idx="2">
                        <c:v>0.85924777266927999</c:v>
                      </c:pt>
                      <c:pt idx="3">
                        <c:v>0.96153321029043703</c:v>
                      </c:pt>
                      <c:pt idx="4">
                        <c:v>0.94742479558043902</c:v>
                      </c:pt>
                      <c:pt idx="5">
                        <c:v>0.93447845454768297</c:v>
                      </c:pt>
                      <c:pt idx="6">
                        <c:v>0.94213023510445904</c:v>
                      </c:pt>
                      <c:pt idx="7">
                        <c:v>0.92677373686267694</c:v>
                      </c:pt>
                      <c:pt idx="8">
                        <c:v>0.93090905151192205</c:v>
                      </c:pt>
                      <c:pt idx="9">
                        <c:v>0.93244748877302797</c:v>
                      </c:pt>
                      <c:pt idx="10">
                        <c:v>0.93138599507758502</c:v>
                      </c:pt>
                      <c:pt idx="11">
                        <c:v>0.93147809389680902</c:v>
                      </c:pt>
                      <c:pt idx="12">
                        <c:v>0.92941984661699695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8B-4234-9691-CE22F81EB02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0.103143318622168</c:v>
                      </c:pt>
                      <c:pt idx="1">
                        <c:v>4.8624722422410803E-2</c:v>
                      </c:pt>
                      <c:pt idx="2">
                        <c:v>4.59341425867884E-2</c:v>
                      </c:pt>
                      <c:pt idx="3">
                        <c:v>1.43300980911082E-2</c:v>
                      </c:pt>
                      <c:pt idx="4">
                        <c:v>1.2607894061949799E-2</c:v>
                      </c:pt>
                      <c:pt idx="5">
                        <c:v>9.7981434882680706E-3</c:v>
                      </c:pt>
                      <c:pt idx="6">
                        <c:v>5.9140122565715502E-3</c:v>
                      </c:pt>
                      <c:pt idx="7">
                        <c:v>4.9486828182576503E-3</c:v>
                      </c:pt>
                      <c:pt idx="8">
                        <c:v>3.04198954252103E-3</c:v>
                      </c:pt>
                      <c:pt idx="9">
                        <c:v>2.1362641180269E-3</c:v>
                      </c:pt>
                      <c:pt idx="10">
                        <c:v>1.50627699243919E-3</c:v>
                      </c:pt>
                      <c:pt idx="11">
                        <c:v>9.5816346567915696E-4</c:v>
                      </c:pt>
                      <c:pt idx="12">
                        <c:v>6.8770165445153396E-4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8B-4234-9691-CE22F81EB0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-5.8808117484063893E-2</c:v>
                      </c:pt>
                      <c:pt idx="1">
                        <c:v>-4.3178698648222991E-3</c:v>
                      </c:pt>
                      <c:pt idx="2">
                        <c:v>-6.334353506612489E-2</c:v>
                      </c:pt>
                      <c:pt idx="3">
                        <c:v>2.3353898318551947E-2</c:v>
                      </c:pt>
                      <c:pt idx="4">
                        <c:v>1.1214554176175895E-2</c:v>
                      </c:pt>
                      <c:pt idx="5">
                        <c:v>-3.17674884255148E-3</c:v>
                      </c:pt>
                      <c:pt idx="6">
                        <c:v>1.0896313212726438E-2</c:v>
                      </c:pt>
                      <c:pt idx="7">
                        <c:v>-3.0561085906958274E-3</c:v>
                      </c:pt>
                      <c:pt idx="8">
                        <c:v>5.7192329147914833E-5</c:v>
                      </c:pt>
                      <c:pt idx="9">
                        <c:v>2.1155087338398104E-4</c:v>
                      </c:pt>
                      <c:pt idx="10">
                        <c:v>3.6848002016864889E-4</c:v>
                      </c:pt>
                      <c:pt idx="11">
                        <c:v>9.6088912356684375E-5</c:v>
                      </c:pt>
                      <c:pt idx="12">
                        <c:v>-1.4840233398619729E-3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8B-4234-9691-CE22F81EB0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-0.13176434908412205</c:v>
                      </c:pt>
                      <c:pt idx="1">
                        <c:v>1.7650961871905624E-2</c:v>
                      </c:pt>
                      <c:pt idx="2">
                        <c:v>-7.7280415263863311E-2</c:v>
                      </c:pt>
                      <c:pt idx="3">
                        <c:v>3.2560749913849385E-2</c:v>
                      </c:pt>
                      <c:pt idx="4">
                        <c:v>1.7410160087991011E-2</c:v>
                      </c:pt>
                      <c:pt idx="5">
                        <c:v>3.507485211701411E-3</c:v>
                      </c:pt>
                      <c:pt idx="6">
                        <c:v>1.1724495487918762E-2</c:v>
                      </c:pt>
                      <c:pt idx="7">
                        <c:v>-4.7663726078338575E-3</c:v>
                      </c:pt>
                      <c:pt idx="8">
                        <c:v>-3.2558621620781825E-4</c:v>
                      </c:pt>
                      <c:pt idx="9">
                        <c:v>1.3264939355979166E-3</c:v>
                      </c:pt>
                      <c:pt idx="10">
                        <c:v>1.8658871499277474E-4</c:v>
                      </c:pt>
                      <c:pt idx="11">
                        <c:v>2.8549078600437205E-4</c:v>
                      </c:pt>
                      <c:pt idx="12">
                        <c:v>-1.9247972539782054E-3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8B-4234-9691-CE22F81EB02D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'Ca-45'!$E$39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'Ca-45'!$A$40:$A$51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'Ca-45'!$E$40:$E$51</c:f>
              <c:numCache>
                <c:formatCode>General</c:formatCode>
                <c:ptCount val="12"/>
                <c:pt idx="0">
                  <c:v>5.3116981917314197E-2</c:v>
                </c:pt>
                <c:pt idx="1">
                  <c:v>4.7602967650921202E-2</c:v>
                </c:pt>
                <c:pt idx="2">
                  <c:v>3.9244365362698298E-2</c:v>
                </c:pt>
                <c:pt idx="3">
                  <c:v>9.6010466409954705E-3</c:v>
                </c:pt>
                <c:pt idx="4">
                  <c:v>9.5254846000284998E-3</c:v>
                </c:pt>
                <c:pt idx="5">
                  <c:v>8.1875443788199196E-3</c:v>
                </c:pt>
                <c:pt idx="6">
                  <c:v>3.9822980821154303E-3</c:v>
                </c:pt>
                <c:pt idx="7">
                  <c:v>3.6914349154109202E-3</c:v>
                </c:pt>
                <c:pt idx="8">
                  <c:v>2.2545523095715602E-3</c:v>
                </c:pt>
                <c:pt idx="9">
                  <c:v>1.6177140394686999E-3</c:v>
                </c:pt>
                <c:pt idx="10">
                  <c:v>1.1230495998953299E-3</c:v>
                </c:pt>
                <c:pt idx="11">
                  <c:v>7.1840668530980195E-4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025-BCC5-BD14393E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'Tc-99'!$C$9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'Tc-99'!$A$10:$A$29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'Tc-99'!$C$10:$C$29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3.7813108012609842E-3</c:v>
                </c:pt>
                <c:pt idx="6">
                  <c:v>1.843976811919168E-3</c:v>
                </c:pt>
                <c:pt idx="7">
                  <c:v>6.5294951101613208E-4</c:v>
                </c:pt>
                <c:pt idx="8">
                  <c:v>3.802347055603672E-4</c:v>
                </c:pt>
                <c:pt idx="9">
                  <c:v>2.9706528494499729E-4</c:v>
                </c:pt>
                <c:pt idx="10">
                  <c:v>1.4432915888695774E-4</c:v>
                </c:pt>
                <c:pt idx="11">
                  <c:v>5.5618393141720901E-5</c:v>
                </c:pt>
                <c:pt idx="12">
                  <c:v>2.6092849849446154E-5</c:v>
                </c:pt>
                <c:pt idx="13">
                  <c:v>1.1495846029108137E-5</c:v>
                </c:pt>
                <c:pt idx="14">
                  <c:v>2.8994860470366035E-6</c:v>
                </c:pt>
                <c:pt idx="15">
                  <c:v>1.2006173908396534E-6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B-4376-85D7-DB81CD38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0.97806206307106303</c:v>
                      </c:pt>
                      <c:pt idx="6">
                        <c:v>0.97617436815377001</c:v>
                      </c:pt>
                      <c:pt idx="7">
                        <c:v>0.975013857785067</c:v>
                      </c:pt>
                      <c:pt idx="8">
                        <c:v>0.97474813057697496</c:v>
                      </c:pt>
                      <c:pt idx="9">
                        <c:v>0.97466709215333003</c:v>
                      </c:pt>
                      <c:pt idx="10">
                        <c:v>0.97451826948752596</c:v>
                      </c:pt>
                      <c:pt idx="11">
                        <c:v>0.97443183170110004</c:v>
                      </c:pt>
                      <c:pt idx="12">
                        <c:v>0.97440306267195498</c:v>
                      </c:pt>
                      <c:pt idx="13">
                        <c:v>0.97438883967784495</c:v>
                      </c:pt>
                      <c:pt idx="14">
                        <c:v>0.974380463576907</c:v>
                      </c:pt>
                      <c:pt idx="15">
                        <c:v>0.97437880823727796</c:v>
                      </c:pt>
                      <c:pt idx="16">
                        <c:v>0.97437763838253999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70B-4376-85D7-DB81CD38063C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'Tc-99'!$I$39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'Tc-99'!$A$40:$A$54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'Tc-99'!$I$40:$I$54</c:f>
              <c:numCache>
                <c:formatCode>0.00%</c:formatCode>
                <c:ptCount val="15"/>
                <c:pt idx="0">
                  <c:v>-7.6605751269133826E-2</c:v>
                </c:pt>
                <c:pt idx="1">
                  <c:v>-1.0386609455609985E-2</c:v>
                </c:pt>
                <c:pt idx="2">
                  <c:v>3.7250345511468108E-3</c:v>
                </c:pt>
                <c:pt idx="3">
                  <c:v>-1.0665675337049318E-3</c:v>
                </c:pt>
                <c:pt idx="4">
                  <c:v>3.9335730322731521E-3</c:v>
                </c:pt>
                <c:pt idx="5">
                  <c:v>-4.185924576659561E-3</c:v>
                </c:pt>
                <c:pt idx="6">
                  <c:v>1.5141290469065094E-3</c:v>
                </c:pt>
                <c:pt idx="7">
                  <c:v>-1.2185341054490317E-3</c:v>
                </c:pt>
                <c:pt idx="8">
                  <c:v>-6.2299432010781697E-4</c:v>
                </c:pt>
                <c:pt idx="9">
                  <c:v>1.2511950754223733E-4</c:v>
                </c:pt>
                <c:pt idx="10">
                  <c:v>-1.4441276420849025E-3</c:v>
                </c:pt>
                <c:pt idx="11">
                  <c:v>-1.7704232838867684E-3</c:v>
                </c:pt>
                <c:pt idx="12">
                  <c:v>-9.3017077633505973E-4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768-ABEF-1A296943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0.89960149169134196</c:v>
                      </c:pt>
                      <c:pt idx="1">
                        <c:v>0.96660539491654196</c:v>
                      </c:pt>
                      <c:pt idx="2">
                        <c:v>0.97436817181486801</c:v>
                      </c:pt>
                      <c:pt idx="3">
                        <c:v>0.96808848449917995</c:v>
                      </c:pt>
                      <c:pt idx="4">
                        <c:v>0.975745740333548</c:v>
                      </c:pt>
                      <c:pt idx="5">
                        <c:v>0.96638613801365103</c:v>
                      </c:pt>
                      <c:pt idx="6">
                        <c:v>0.97228329350939402</c:v>
                      </c:pt>
                      <c:pt idx="7">
                        <c:v>0.97054851332435799</c:v>
                      </c:pt>
                      <c:pt idx="8">
                        <c:v>0.97061879005464502</c:v>
                      </c:pt>
                      <c:pt idx="9">
                        <c:v>0.97160110106383901</c:v>
                      </c:pt>
                      <c:pt idx="10">
                        <c:v>0.96963612244987596</c:v>
                      </c:pt>
                      <c:pt idx="11">
                        <c:v>0.96967745024445795</c:v>
                      </c:pt>
                      <c:pt idx="12">
                        <c:v>0.97035846169529305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80-4768-ABEF-1A2969431A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8.4505657571247506E-2</c:v>
                      </c:pt>
                      <c:pt idx="1">
                        <c:v>3.1438173970020397E-2</c:v>
                      </c:pt>
                      <c:pt idx="2">
                        <c:v>1.61687426313087E-2</c:v>
                      </c:pt>
                      <c:pt idx="3">
                        <c:v>1.40754060169391E-2</c:v>
                      </c:pt>
                      <c:pt idx="4">
                        <c:v>8.12915756396238E-3</c:v>
                      </c:pt>
                      <c:pt idx="5">
                        <c:v>6.1281862769012501E-3</c:v>
                      </c:pt>
                      <c:pt idx="6">
                        <c:v>3.90361541663276E-3</c:v>
                      </c:pt>
                      <c:pt idx="7">
                        <c:v>2.93928143528691E-3</c:v>
                      </c:pt>
                      <c:pt idx="8">
                        <c:v>1.8308414057656599E-3</c:v>
                      </c:pt>
                      <c:pt idx="9">
                        <c:v>1.2800908527134699E-3</c:v>
                      </c:pt>
                      <c:pt idx="10">
                        <c:v>9.2938225162097696E-4</c:v>
                      </c:pt>
                      <c:pt idx="11">
                        <c:v>5.9475328388173903E-4</c:v>
                      </c:pt>
                      <c:pt idx="12">
                        <c:v>4.1182231496749198E-4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0-4768-ABEF-1A2969431A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0.89978474917307905</c:v>
                      </c:pt>
                      <c:pt idx="1">
                        <c:v>0.96431078882410604</c:v>
                      </c:pt>
                      <c:pt idx="2">
                        <c:v>0.97806162394192397</c:v>
                      </c:pt>
                      <c:pt idx="3">
                        <c:v>0.97339253434559903</c:v>
                      </c:pt>
                      <c:pt idx="4">
                        <c:v>0.97826483047606805</c:v>
                      </c:pt>
                      <c:pt idx="5">
                        <c:v>0.97035293354850305</c:v>
                      </c:pt>
                      <c:pt idx="6">
                        <c:v>0.97590724724170896</c:v>
                      </c:pt>
                      <c:pt idx="7">
                        <c:v>0.97324445328073705</c:v>
                      </c:pt>
                      <c:pt idx="8">
                        <c:v>0.973824766204618</c:v>
                      </c:pt>
                      <c:pt idx="9">
                        <c:v>0.974553752132016</c:v>
                      </c:pt>
                      <c:pt idx="10">
                        <c:v>0.973024627757613</c:v>
                      </c:pt>
                      <c:pt idx="11">
                        <c:v>0.97270667489769602</c:v>
                      </c:pt>
                      <c:pt idx="12">
                        <c:v>0.97352544368772098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80-4768-ABEF-1A2969431A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9.1730664335212195E-2</c:v>
                      </c:pt>
                      <c:pt idx="1">
                        <c:v>3.4733103319540201E-2</c:v>
                      </c:pt>
                      <c:pt idx="2">
                        <c:v>1.7478574220994799E-2</c:v>
                      </c:pt>
                      <c:pt idx="3">
                        <c:v>1.4120056594416499E-2</c:v>
                      </c:pt>
                      <c:pt idx="4">
                        <c:v>8.3105662767085902E-3</c:v>
                      </c:pt>
                      <c:pt idx="5">
                        <c:v>6.1851607827005297E-3</c:v>
                      </c:pt>
                      <c:pt idx="6">
                        <c:v>3.9936876284518003E-3</c:v>
                      </c:pt>
                      <c:pt idx="7">
                        <c:v>3.0583931431254702E-3</c:v>
                      </c:pt>
                      <c:pt idx="8">
                        <c:v>1.8801363760207199E-3</c:v>
                      </c:pt>
                      <c:pt idx="9">
                        <c:v>1.3237316864734699E-3</c:v>
                      </c:pt>
                      <c:pt idx="10">
                        <c:v>9.5790590072671999E-4</c:v>
                      </c:pt>
                      <c:pt idx="11">
                        <c:v>6.1429596345308798E-4</c:v>
                      </c:pt>
                      <c:pt idx="12">
                        <c:v>4.2494639802335602E-4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80-4768-ABEF-1A2969431AA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0.87114998361662599</c:v>
                      </c:pt>
                      <c:pt idx="1">
                        <c:v>0.94898435328767194</c:v>
                      </c:pt>
                      <c:pt idx="2">
                        <c:v>0.954666307268623</c:v>
                      </c:pt>
                      <c:pt idx="3">
                        <c:v>0.94881426173833305</c:v>
                      </c:pt>
                      <c:pt idx="4">
                        <c:v>0.95881217024048104</c:v>
                      </c:pt>
                      <c:pt idx="5">
                        <c:v>0.94384278512645903</c:v>
                      </c:pt>
                      <c:pt idx="6">
                        <c:v>0.95290590061681701</c:v>
                      </c:pt>
                      <c:pt idx="7">
                        <c:v>0.95224252450128</c:v>
                      </c:pt>
                      <c:pt idx="8">
                        <c:v>0.95137872220640096</c:v>
                      </c:pt>
                      <c:pt idx="9">
                        <c:v>0.95331566218470098</c:v>
                      </c:pt>
                      <c:pt idx="10">
                        <c:v>0.94969154214948204</c:v>
                      </c:pt>
                      <c:pt idx="11">
                        <c:v>0.950588058971651</c:v>
                      </c:pt>
                      <c:pt idx="12">
                        <c:v>0.95107023729740303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80-4768-ABEF-1A2969431AA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9.5671383177868302E-2</c:v>
                      </c:pt>
                      <c:pt idx="1">
                        <c:v>4.6480693162846698E-2</c:v>
                      </c:pt>
                      <c:pt idx="2">
                        <c:v>2.34492527607328E-2</c:v>
                      </c:pt>
                      <c:pt idx="3">
                        <c:v>1.7915753298471299E-2</c:v>
                      </c:pt>
                      <c:pt idx="4">
                        <c:v>1.19144620763483E-2</c:v>
                      </c:pt>
                      <c:pt idx="5">
                        <c:v>8.7129821128957598E-3</c:v>
                      </c:pt>
                      <c:pt idx="6">
                        <c:v>5.5620757340265198E-3</c:v>
                      </c:pt>
                      <c:pt idx="7">
                        <c:v>4.0676764853000598E-3</c:v>
                      </c:pt>
                      <c:pt idx="8">
                        <c:v>2.5727250781993902E-3</c:v>
                      </c:pt>
                      <c:pt idx="9">
                        <c:v>1.78562875595688E-3</c:v>
                      </c:pt>
                      <c:pt idx="10">
                        <c:v>1.30175270245336E-3</c:v>
                      </c:pt>
                      <c:pt idx="11">
                        <c:v>8.2408534579601705E-4</c:v>
                      </c:pt>
                      <c:pt idx="12">
                        <c:v>5.7677358392978196E-4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80-4768-ABEF-1A2969431A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-7.3891227669165893E-2</c:v>
                      </c:pt>
                      <c:pt idx="1">
                        <c:v>-4.91301550480161E-3</c:v>
                      </c:pt>
                      <c:pt idx="2">
                        <c:v>3.0784961251653087E-3</c:v>
                      </c:pt>
                      <c:pt idx="3">
                        <c:v>-3.3862258259058642E-3</c:v>
                      </c:pt>
                      <c:pt idx="4">
                        <c:v>4.4966555006435982E-3</c:v>
                      </c:pt>
                      <c:pt idx="5">
                        <c:v>-5.138732939728996E-3</c:v>
                      </c:pt>
                      <c:pt idx="6">
                        <c:v>9.3218566906361211E-4</c:v>
                      </c:pt>
                      <c:pt idx="7">
                        <c:v>-8.5371082206708859E-4</c:v>
                      </c:pt>
                      <c:pt idx="8">
                        <c:v>-7.8136334708989175E-4</c:v>
                      </c:pt>
                      <c:pt idx="9">
                        <c:v>2.2989202673273645E-4</c:v>
                      </c:pt>
                      <c:pt idx="10">
                        <c:v>-1.7929858237833995E-3</c:v>
                      </c:pt>
                      <c:pt idx="11">
                        <c:v>-1.7504402817217768E-3</c:v>
                      </c:pt>
                      <c:pt idx="12">
                        <c:v>-1.0493624328062889E-3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80-4768-ABEF-1A2969431AA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-8.5696271758238352E-2</c:v>
                      </c:pt>
                      <c:pt idx="1">
                        <c:v>-4.0062577377564246E-3</c:v>
                      </c:pt>
                      <c:pt idx="2">
                        <c:v>1.9571605095978217E-3</c:v>
                      </c:pt>
                      <c:pt idx="3">
                        <c:v>-4.1847750317099974E-3</c:v>
                      </c:pt>
                      <c:pt idx="4">
                        <c:v>6.3083951342171041E-3</c:v>
                      </c:pt>
                      <c:pt idx="5">
                        <c:v>-9.4025213286593745E-3</c:v>
                      </c:pt>
                      <c:pt idx="6">
                        <c:v>1.0954942627350306E-4</c:v>
                      </c:pt>
                      <c:pt idx="7">
                        <c:v>-5.8668803807682135E-4</c:v>
                      </c:pt>
                      <c:pt idx="8">
                        <c:v>-1.4932800985999473E-3</c:v>
                      </c:pt>
                      <c:pt idx="9">
                        <c:v>5.3960915910056251E-4</c:v>
                      </c:pt>
                      <c:pt idx="10">
                        <c:v>-3.2640371958473358E-3</c:v>
                      </c:pt>
                      <c:pt idx="11">
                        <c:v>-2.3231100439721208E-3</c:v>
                      </c:pt>
                      <c:pt idx="12">
                        <c:v>-1.8170462786004649E-3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80-4768-ABEF-1A2969431AA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'Tc-99'!$E$39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'Tc-99'!$A$41:$A$51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</c:numCache>
            </c:numRef>
          </c:xVal>
          <c:yVal>
            <c:numRef>
              <c:f>'Tc-99'!$E$41:$E$51</c:f>
              <c:numCache>
                <c:formatCode>0.00%</c:formatCode>
                <c:ptCount val="11"/>
                <c:pt idx="0">
                  <c:v>3.4733103319540201E-2</c:v>
                </c:pt>
                <c:pt idx="1">
                  <c:v>1.7478574220994799E-2</c:v>
                </c:pt>
                <c:pt idx="2">
                  <c:v>1.4120056594416499E-2</c:v>
                </c:pt>
                <c:pt idx="3">
                  <c:v>8.3105662767085902E-3</c:v>
                </c:pt>
                <c:pt idx="4">
                  <c:v>6.1851607827005297E-3</c:v>
                </c:pt>
                <c:pt idx="5">
                  <c:v>3.9936876284518003E-3</c:v>
                </c:pt>
                <c:pt idx="6">
                  <c:v>3.0583931431254702E-3</c:v>
                </c:pt>
                <c:pt idx="7">
                  <c:v>1.8801363760207199E-3</c:v>
                </c:pt>
                <c:pt idx="8">
                  <c:v>1.3237316864734699E-3</c:v>
                </c:pt>
                <c:pt idx="9">
                  <c:v>9.5790590072671999E-4</c:v>
                </c:pt>
                <c:pt idx="10">
                  <c:v>6.1429596345308798E-4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6-4615-82C6-49B39EF4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'Sr-90'!$C$9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'Sr-90'!$A$10:$A$29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'Sr-90'!$C$10:$C$29</c:f>
              <c:numCache>
                <c:formatCode>0.0000%</c:formatCode>
                <c:ptCount val="20"/>
                <c:pt idx="0">
                  <c:v>5.7794351848552417E-3</c:v>
                </c:pt>
                <c:pt idx="1">
                  <c:v>4.539833919687819E-3</c:v>
                </c:pt>
                <c:pt idx="2">
                  <c:v>3.738144395632137E-3</c:v>
                </c:pt>
                <c:pt idx="3">
                  <c:v>3.1645468600782767E-3</c:v>
                </c:pt>
                <c:pt idx="4">
                  <c:v>2.7453631218965491E-3</c:v>
                </c:pt>
                <c:pt idx="5">
                  <c:v>1.9429837956206342E-3</c:v>
                </c:pt>
                <c:pt idx="6">
                  <c:v>9.4778474533452339E-4</c:v>
                </c:pt>
                <c:pt idx="7">
                  <c:v>3.3577851400257153E-4</c:v>
                </c:pt>
                <c:pt idx="8">
                  <c:v>1.9546885782206758E-4</c:v>
                </c:pt>
                <c:pt idx="9">
                  <c:v>1.5263188659830895E-4</c:v>
                </c:pt>
                <c:pt idx="10">
                  <c:v>7.3637173769736108E-5</c:v>
                </c:pt>
                <c:pt idx="11">
                  <c:v>2.7066267484610051E-5</c:v>
                </c:pt>
                <c:pt idx="12">
                  <c:v>1.1746882334850994E-5</c:v>
                </c:pt>
                <c:pt idx="13">
                  <c:v>4.564204467705224E-6</c:v>
                </c:pt>
                <c:pt idx="14">
                  <c:v>7.0000920948665168E-7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F-4288-A0E3-815CF165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0.992067809389786</c:v>
                      </c:pt>
                      <c:pt idx="1">
                        <c:v>0.99084510740500598</c:v>
                      </c:pt>
                      <c:pt idx="2">
                        <c:v>0.99005434718251795</c:v>
                      </c:pt>
                      <c:pt idx="3">
                        <c:v>0.98948856940792695</c:v>
                      </c:pt>
                      <c:pt idx="4">
                        <c:v>0.98907510033277801</c:v>
                      </c:pt>
                      <c:pt idx="5">
                        <c:v>0.98828365971203003</c:v>
                      </c:pt>
                      <c:pt idx="6">
                        <c:v>0.98730202804689005</c:v>
                      </c:pt>
                      <c:pt idx="7">
                        <c:v>0.98669836519595999</c:v>
                      </c:pt>
                      <c:pt idx="8">
                        <c:v>0.98655996835826998</c:v>
                      </c:pt>
                      <c:pt idx="9">
                        <c:v>0.98651771537643695</c:v>
                      </c:pt>
                      <c:pt idx="10">
                        <c:v>0.98643979758555</c:v>
                      </c:pt>
                      <c:pt idx="11">
                        <c:v>0.98639386157277897</c:v>
                      </c:pt>
                      <c:pt idx="12">
                        <c:v>0.98637875103428996</c:v>
                      </c:pt>
                      <c:pt idx="13">
                        <c:v>0.98637166627669004</c:v>
                      </c:pt>
                      <c:pt idx="14">
                        <c:v>0.98636785476137101</c:v>
                      </c:pt>
                      <c:pt idx="15">
                        <c:v>0.98636716429527205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CEF-4288-A0E3-815CF165402D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'Sr-90'!$I$39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'Sr-90'!$A$40:$A$54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'Sr-90'!$I$40:$I$54</c:f>
              <c:numCache>
                <c:formatCode>0.00%</c:formatCode>
                <c:ptCount val="15"/>
                <c:pt idx="0">
                  <c:v>1.3746609214007277E-2</c:v>
                </c:pt>
                <c:pt idx="1">
                  <c:v>1.374660866693489E-2</c:v>
                </c:pt>
                <c:pt idx="2">
                  <c:v>1.1194599763230118E-2</c:v>
                </c:pt>
                <c:pt idx="3">
                  <c:v>-1.3916718127483518E-3</c:v>
                </c:pt>
                <c:pt idx="4">
                  <c:v>1.9847218475814721E-3</c:v>
                </c:pt>
                <c:pt idx="5">
                  <c:v>-5.1872605291953811E-3</c:v>
                </c:pt>
                <c:pt idx="6">
                  <c:v>3.6105149542287052E-4</c:v>
                </c:pt>
                <c:pt idx="7">
                  <c:v>2.6188853021067438E-3</c:v>
                </c:pt>
                <c:pt idx="8">
                  <c:v>-2.3544324912110337E-3</c:v>
                </c:pt>
                <c:pt idx="9">
                  <c:v>-2.3495454917824565E-3</c:v>
                </c:pt>
                <c:pt idx="10">
                  <c:v>-1.8792287349853609E-3</c:v>
                </c:pt>
                <c:pt idx="11">
                  <c:v>-1.0124116393077642E-3</c:v>
                </c:pt>
                <c:pt idx="12">
                  <c:v>-4.2775191738997353E-4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BF5-BED4-8DEE6A96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0.99999963955336302</c:v>
                      </c:pt>
                      <c:pt idx="1">
                        <c:v>0.99999697958623301</c:v>
                      </c:pt>
                      <c:pt idx="2">
                        <c:v>0.99290300551591304</c:v>
                      </c:pt>
                      <c:pt idx="3">
                        <c:v>0.98456473832439495</c:v>
                      </c:pt>
                      <c:pt idx="4">
                        <c:v>0.98598139447607802</c:v>
                      </c:pt>
                      <c:pt idx="5">
                        <c:v>0.979525122513901</c:v>
                      </c:pt>
                      <c:pt idx="6">
                        <c:v>0.98474102382963702</c:v>
                      </c:pt>
                      <c:pt idx="7">
                        <c:v>0.98714504046967499</c:v>
                      </c:pt>
                      <c:pt idx="8">
                        <c:v>0.98239043682791904</c:v>
                      </c:pt>
                      <c:pt idx="9">
                        <c:v>0.98245484223848301</c:v>
                      </c:pt>
                      <c:pt idx="10">
                        <c:v>0.98302092978236799</c:v>
                      </c:pt>
                      <c:pt idx="11">
                        <c:v>0.98380818511221102</c:v>
                      </c:pt>
                      <c:pt idx="12">
                        <c:v>0.98436253664413598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27-4BF5-BED4-8DEE6A96FC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'Sr-90'!$C$40:$C$54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3.4190873202320503E-7</c:v>
                      </c:pt>
                      <c:pt idx="1">
                        <c:v>2.9331542099950201E-6</c:v>
                      </c:pt>
                      <c:pt idx="2" formatCode="General">
                        <c:v>4.2034392513131801E-3</c:v>
                      </c:pt>
                      <c:pt idx="3" formatCode="General">
                        <c:v>1.0054546258506099E-2</c:v>
                      </c:pt>
                      <c:pt idx="4" formatCode="General">
                        <c:v>7.2245901699370301E-3</c:v>
                      </c:pt>
                      <c:pt idx="5" formatCode="General">
                        <c:v>5.3245769435702603E-3</c:v>
                      </c:pt>
                      <c:pt idx="6" formatCode="General">
                        <c:v>2.9256833557122501E-3</c:v>
                      </c:pt>
                      <c:pt idx="7" formatCode="General">
                        <c:v>1.9928185167878698E-3</c:v>
                      </c:pt>
                      <c:pt idx="8" formatCode="General">
                        <c:v>1.4530326366836801E-3</c:v>
                      </c:pt>
                      <c:pt idx="9" formatCode="General">
                        <c:v>1.04243510976491E-3</c:v>
                      </c:pt>
                      <c:pt idx="10" formatCode="General">
                        <c:v>7.20442087544264E-4</c:v>
                      </c:pt>
                      <c:pt idx="11" formatCode="General">
                        <c:v>4.4164074574145999E-4</c:v>
                      </c:pt>
                      <c:pt idx="12" formatCode="General">
                        <c:v>3.0504496385145099E-4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27-4BF5-BED4-8DEE6A96FC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0.99999999999610301</c:v>
                      </c:pt>
                      <c:pt idx="1">
                        <c:v>0.99999999945644902</c:v>
                      </c:pt>
                      <c:pt idx="2">
                        <c:v>0.99748259631004199</c:v>
                      </c:pt>
                      <c:pt idx="3">
                        <c:v>0.98506699712427703</c:v>
                      </c:pt>
                      <c:pt idx="4">
                        <c:v>0.98839760620314199</c:v>
                      </c:pt>
                      <c:pt idx="5">
                        <c:v>0.98132287735910695</c:v>
                      </c:pt>
                      <c:pt idx="6">
                        <c:v>0.98679595314961299</c:v>
                      </c:pt>
                      <c:pt idx="7">
                        <c:v>0.98902317027286002</c:v>
                      </c:pt>
                      <c:pt idx="8">
                        <c:v>0.984117291675491</c:v>
                      </c:pt>
                      <c:pt idx="9">
                        <c:v>0.98412211240621805</c:v>
                      </c:pt>
                      <c:pt idx="10">
                        <c:v>0.98458605157259405</c:v>
                      </c:pt>
                      <c:pt idx="11">
                        <c:v>0.98544111445299798</c:v>
                      </c:pt>
                      <c:pt idx="12">
                        <c:v>0.98601784607074305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27-4BF5-BED4-8DEE6A96FC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'Sr-90'!$E$40:$E$54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3.69684678803042E-12</c:v>
                      </c:pt>
                      <c:pt idx="1">
                        <c:v>5.2978067662144297E-10</c:v>
                      </c:pt>
                      <c:pt idx="2" formatCode="General">
                        <c:v>1.7773828400849E-3</c:v>
                      </c:pt>
                      <c:pt idx="3" formatCode="General">
                        <c:v>1.06530351560527E-2</c:v>
                      </c:pt>
                      <c:pt idx="4" formatCode="General">
                        <c:v>7.1103870198594302E-3</c:v>
                      </c:pt>
                      <c:pt idx="5" formatCode="General">
                        <c:v>5.48089967423956E-3</c:v>
                      </c:pt>
                      <c:pt idx="6" formatCode="General">
                        <c:v>2.9166588705717999E-3</c:v>
                      </c:pt>
                      <c:pt idx="7" formatCode="General">
                        <c:v>1.97780901778318E-3</c:v>
                      </c:pt>
                      <c:pt idx="8" formatCode="General">
                        <c:v>1.4968264740995399E-3</c:v>
                      </c:pt>
                      <c:pt idx="9" formatCode="General">
                        <c:v>1.0764908953973199E-3</c:v>
                      </c:pt>
                      <c:pt idx="10" formatCode="General">
                        <c:v>7.4089560162783901E-4</c:v>
                      </c:pt>
                      <c:pt idx="11" formatCode="General">
                        <c:v>4.5283331234080598E-4</c:v>
                      </c:pt>
                      <c:pt idx="12" formatCode="General">
                        <c:v>3.1323473248800402E-4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27-4BF5-BED4-8DEE6A96FC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0.99999891866398805</c:v>
                      </c:pt>
                      <c:pt idx="1">
                        <c:v>0.99999093930226102</c:v>
                      </c:pt>
                      <c:pt idx="2">
                        <c:v>0.98136843700424203</c:v>
                      </c:pt>
                      <c:pt idx="3">
                        <c:v>0.97668217243520405</c:v>
                      </c:pt>
                      <c:pt idx="4">
                        <c:v>0.97969857321498099</c:v>
                      </c:pt>
                      <c:pt idx="5">
                        <c:v>0.96980609949525598</c:v>
                      </c:pt>
                      <c:pt idx="6">
                        <c:v>0.974013784091593</c:v>
                      </c:pt>
                      <c:pt idx="7">
                        <c:v>0.97908538817194402</c:v>
                      </c:pt>
                      <c:pt idx="8">
                        <c:v>0.97141258854318802</c:v>
                      </c:pt>
                      <c:pt idx="9">
                        <c:v>0.97206528372471501</c:v>
                      </c:pt>
                      <c:pt idx="10">
                        <c:v>0.97277330084414604</c:v>
                      </c:pt>
                      <c:pt idx="11">
                        <c:v>0.97372575153660501</c:v>
                      </c:pt>
                      <c:pt idx="12">
                        <c:v>0.97440334678301499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27-4BF5-BED4-8DEE6A96FC3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'Sr-90'!$G$40:$G$54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1.0257224992357199E-6</c:v>
                      </c:pt>
                      <c:pt idx="1">
                        <c:v>8.7989328418867094E-6</c:v>
                      </c:pt>
                      <c:pt idx="2" formatCode="General">
                        <c:v>1.0794515870854299E-2</c:v>
                      </c:pt>
                      <c:pt idx="3" formatCode="General">
                        <c:v>1.34945111445351E-2</c:v>
                      </c:pt>
                      <c:pt idx="4" formatCode="General">
                        <c:v>8.1032847481732097E-3</c:v>
                      </c:pt>
                      <c:pt idx="5" formatCode="General">
                        <c:v>6.5990572075470197E-3</c:v>
                      </c:pt>
                      <c:pt idx="6" formatCode="General">
                        <c:v>4.2346845600233496E-3</c:v>
                      </c:pt>
                      <c:pt idx="7" formatCode="General">
                        <c:v>2.6766795347760901E-3</c:v>
                      </c:pt>
                      <c:pt idx="8" formatCode="General">
                        <c:v>2.01750911763247E-3</c:v>
                      </c:pt>
                      <c:pt idx="9" formatCode="General">
                        <c:v>1.41119817055974E-3</c:v>
                      </c:pt>
                      <c:pt idx="10" formatCode="General">
                        <c:v>9.9029567282665092E-4</c:v>
                      </c:pt>
                      <c:pt idx="11" formatCode="General">
                        <c:v>6.1186513557147295E-4</c:v>
                      </c:pt>
                      <c:pt idx="12" formatCode="General">
                        <c:v>4.2493771418777301E-4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27-4BF5-BED4-8DEE6A96FC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1.5365036768939744E-2</c:v>
                      </c:pt>
                      <c:pt idx="1">
                        <c:v>1.5362335930343418E-2</c:v>
                      </c:pt>
                      <c:pt idx="2">
                        <c:v>8.1593600913067998E-3</c:v>
                      </c:pt>
                      <c:pt idx="3">
                        <c:v>-3.0702793387937799E-4</c:v>
                      </c:pt>
                      <c:pt idx="4">
                        <c:v>1.1313957101382055E-3</c:v>
                      </c:pt>
                      <c:pt idx="5">
                        <c:v>-5.4240794710268547E-3</c:v>
                      </c:pt>
                      <c:pt idx="6">
                        <c:v>-1.2803373084957492E-4</c:v>
                      </c:pt>
                      <c:pt idx="7">
                        <c:v>2.3129215930899338E-3</c:v>
                      </c:pt>
                      <c:pt idx="8">
                        <c:v>-2.5147384485572077E-3</c:v>
                      </c:pt>
                      <c:pt idx="9">
                        <c:v>-2.4493434229203581E-3</c:v>
                      </c:pt>
                      <c:pt idx="10">
                        <c:v>-1.8745577159295923E-3</c:v>
                      </c:pt>
                      <c:pt idx="11">
                        <c:v>-1.0752058908732876E-3</c:v>
                      </c:pt>
                      <c:pt idx="12">
                        <c:v>-5.1233652439308663E-4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27-4BF5-BED4-8DEE6A96FC3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2.5388115528287125E-2</c:v>
                      </c:pt>
                      <c:pt idx="1">
                        <c:v>2.5379933576755276E-2</c:v>
                      </c:pt>
                      <c:pt idx="2">
                        <c:v>6.2846203905186915E-3</c:v>
                      </c:pt>
                      <c:pt idx="3">
                        <c:v>1.4793751991211135E-3</c:v>
                      </c:pt>
                      <c:pt idx="4">
                        <c:v>4.5723600549305576E-3</c:v>
                      </c:pt>
                      <c:pt idx="5">
                        <c:v>-5.5712758991302014E-3</c:v>
                      </c:pt>
                      <c:pt idx="6">
                        <c:v>-1.256761454714872E-3</c:v>
                      </c:pt>
                      <c:pt idx="7">
                        <c:v>3.9436067192870627E-3</c:v>
                      </c:pt>
                      <c:pt idx="8">
                        <c:v>-3.9239993403948903E-3</c:v>
                      </c:pt>
                      <c:pt idx="9">
                        <c:v>-3.2547327344923938E-3</c:v>
                      </c:pt>
                      <c:pt idx="10">
                        <c:v>-2.5287396095947656E-3</c:v>
                      </c:pt>
                      <c:pt idx="11">
                        <c:v>-1.5521069328525705E-3</c:v>
                      </c:pt>
                      <c:pt idx="12">
                        <c:v>-8.573080687342971E-4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27-4BF5-BED4-8DEE6A96FC33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'Sr-90'!$E$39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'Sr-90'!$A$43:$A$51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'Sr-90'!$E$43:$E$51</c:f>
              <c:numCache>
                <c:formatCode>General</c:formatCode>
                <c:ptCount val="9"/>
                <c:pt idx="0">
                  <c:v>1.06530351560527E-2</c:v>
                </c:pt>
                <c:pt idx="1">
                  <c:v>7.1103870198594302E-3</c:v>
                </c:pt>
                <c:pt idx="2">
                  <c:v>5.48089967423956E-3</c:v>
                </c:pt>
                <c:pt idx="3">
                  <c:v>2.9166588705717999E-3</c:v>
                </c:pt>
                <c:pt idx="4">
                  <c:v>1.97780901778318E-3</c:v>
                </c:pt>
                <c:pt idx="5">
                  <c:v>1.4968264740995399E-3</c:v>
                </c:pt>
                <c:pt idx="6">
                  <c:v>1.0764908953973199E-3</c:v>
                </c:pt>
                <c:pt idx="7">
                  <c:v>7.4089560162783901E-4</c:v>
                </c:pt>
                <c:pt idx="8">
                  <c:v>4.5283331234080598E-4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786-AD13-BE187A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'H-3'!$C$9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'H-3'!$A$10:$A$29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'H-3'!$C$10:$C$29</c:f>
              <c:numCache>
                <c:formatCode>0.0000%</c:formatCode>
                <c:ptCount val="20"/>
                <c:pt idx="0">
                  <c:v>0.3069008218623821</c:v>
                </c:pt>
                <c:pt idx="1">
                  <c:v>0.23774872956859028</c:v>
                </c:pt>
                <c:pt idx="2">
                  <c:v>0.19345752772521219</c:v>
                </c:pt>
                <c:pt idx="3">
                  <c:v>0.16269656239876928</c:v>
                </c:pt>
                <c:pt idx="4">
                  <c:v>0.14009585575236705</c:v>
                </c:pt>
                <c:pt idx="5">
                  <c:v>9.8015880547615675E-2</c:v>
                </c:pt>
                <c:pt idx="6">
                  <c:v>4.6839742353579794E-2</c:v>
                </c:pt>
                <c:pt idx="7">
                  <c:v>1.6279844089611251E-2</c:v>
                </c:pt>
                <c:pt idx="8">
                  <c:v>9.5113990906199319E-3</c:v>
                </c:pt>
                <c:pt idx="9">
                  <c:v>7.4851106778226484E-3</c:v>
                </c:pt>
                <c:pt idx="10">
                  <c:v>3.7261094267455608E-3</c:v>
                </c:pt>
                <c:pt idx="11">
                  <c:v>1.472841525035351E-3</c:v>
                </c:pt>
                <c:pt idx="12">
                  <c:v>7.2820151922647902E-4</c:v>
                </c:pt>
                <c:pt idx="13">
                  <c:v>3.5729836858555686E-4</c:v>
                </c:pt>
                <c:pt idx="14">
                  <c:v>1.3718358755010485E-4</c:v>
                </c:pt>
                <c:pt idx="15">
                  <c:v>9.4030342937756473E-5</c:v>
                </c:pt>
                <c:pt idx="16">
                  <c:v>6.3585358345052967E-5</c:v>
                </c:pt>
                <c:pt idx="17">
                  <c:v>2.6372644714944826E-5</c:v>
                </c:pt>
                <c:pt idx="18">
                  <c:v>4.2991096897981862E-6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D-4CD1-81DF-144FAD8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0.77669130719101798</c:v>
                      </c:pt>
                      <c:pt idx="1">
                        <c:v>0.735594210869569</c:v>
                      </c:pt>
                      <c:pt idx="2">
                        <c:v>0.70927194457259601</c:v>
                      </c:pt>
                      <c:pt idx="3">
                        <c:v>0.69099069937771895</c:v>
                      </c:pt>
                      <c:pt idx="4">
                        <c:v>0.67755909684523297</c:v>
                      </c:pt>
                      <c:pt idx="5">
                        <c:v>0.65255096279128899</c:v>
                      </c:pt>
                      <c:pt idx="6">
                        <c:v>0.62213697803744095</c:v>
                      </c:pt>
                      <c:pt idx="7">
                        <c:v>0.60397522702067896</c:v>
                      </c:pt>
                      <c:pt idx="8">
                        <c:v>0.59995273938735905</c:v>
                      </c:pt>
                      <c:pt idx="9">
                        <c:v>0.59874851595299095</c:v>
                      </c:pt>
                      <c:pt idx="10">
                        <c:v>0.59651454108160695</c:v>
                      </c:pt>
                      <c:pt idx="11">
                        <c:v>0.59517542371114196</c:v>
                      </c:pt>
                      <c:pt idx="12">
                        <c:v>0.59473288407093094</c:v>
                      </c:pt>
                      <c:pt idx="13">
                        <c:v>0.59451245628628702</c:v>
                      </c:pt>
                      <c:pt idx="14">
                        <c:v>0.59438164204686295</c:v>
                      </c:pt>
                      <c:pt idx="15">
                        <c:v>0.59435599606867795</c:v>
                      </c:pt>
                      <c:pt idx="16">
                        <c:v>0.59433790261086905</c:v>
                      </c:pt>
                      <c:pt idx="17">
                        <c:v>0.59431578709092303</c:v>
                      </c:pt>
                      <c:pt idx="18">
                        <c:v>0.59430266878654503</c:v>
                      </c:pt>
                      <c:pt idx="19">
                        <c:v>0.59430011382516701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E2D-4CD1-81DF-144FAD828721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'Sr-89'!$C$9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'Sr-89'!$A$10:$A$29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'Sr-89'!$C$10:$C$29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2.3194486048772056E-4</c:v>
                </c:pt>
                <c:pt idx="7">
                  <c:v>7.9156615705233691E-5</c:v>
                </c:pt>
                <c:pt idx="8">
                  <c:v>4.4163647487494018E-5</c:v>
                </c:pt>
                <c:pt idx="9">
                  <c:v>3.4528364653674259E-5</c:v>
                </c:pt>
                <c:pt idx="10">
                  <c:v>1.5199289442380248E-5</c:v>
                </c:pt>
                <c:pt idx="11">
                  <c:v>3.7291842924780383E-6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5B1-8A42-1EB1F8FB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0.995752154602498</c:v>
                      </c:pt>
                      <c:pt idx="7">
                        <c:v>0.99560005065828605</c:v>
                      </c:pt>
                      <c:pt idx="8">
                        <c:v>0.995565214414875</c:v>
                      </c:pt>
                      <c:pt idx="9">
                        <c:v>0.99555562228607797</c:v>
                      </c:pt>
                      <c:pt idx="10">
                        <c:v>0.99553637978098997</c:v>
                      </c:pt>
                      <c:pt idx="11">
                        <c:v>0.99552496104759003</c:v>
                      </c:pt>
                      <c:pt idx="12">
                        <c:v>0.99552124856538704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556-45B1-8A42-1EB1F8FB8D1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'Sr-89'!$I$39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'Sr-89'!$A$40:$A$54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'Sr-89'!$I$40:$I$54</c:f>
              <c:numCache>
                <c:formatCode>0.00%</c:formatCode>
                <c:ptCount val="15"/>
                <c:pt idx="0">
                  <c:v>4.4193944534300922E-3</c:v>
                </c:pt>
                <c:pt idx="1">
                  <c:v>4.4193944534300922E-3</c:v>
                </c:pt>
                <c:pt idx="2">
                  <c:v>-2.5292358889205002E-2</c:v>
                </c:pt>
                <c:pt idx="3">
                  <c:v>-1.5669004179442725E-2</c:v>
                </c:pt>
                <c:pt idx="4">
                  <c:v>4.3608716074223786E-3</c:v>
                </c:pt>
                <c:pt idx="5">
                  <c:v>4.8664214134142014E-4</c:v>
                </c:pt>
                <c:pt idx="6">
                  <c:v>-9.7627976185055143E-4</c:v>
                </c:pt>
                <c:pt idx="7">
                  <c:v>-2.1767313256183529E-3</c:v>
                </c:pt>
                <c:pt idx="8">
                  <c:v>-8.2251419949364024E-4</c:v>
                </c:pt>
                <c:pt idx="9">
                  <c:v>-1.1419989565321087E-3</c:v>
                </c:pt>
                <c:pt idx="10">
                  <c:v>-1.7461872931922029E-3</c:v>
                </c:pt>
                <c:pt idx="11">
                  <c:v>-9.8857626496029471E-4</c:v>
                </c:pt>
                <c:pt idx="12">
                  <c:v>-1.7513966080938692E-3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D-48A2-AB1A-98892C40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0.99999999981968501</c:v>
                      </c:pt>
                      <c:pt idx="1">
                        <c:v>0.999999999999996</c:v>
                      </c:pt>
                      <c:pt idx="2">
                        <c:v>0.970064908695914</c:v>
                      </c:pt>
                      <c:pt idx="3">
                        <c:v>0.97999165297600199</c:v>
                      </c:pt>
                      <c:pt idx="4">
                        <c:v>0.99956989619078995</c:v>
                      </c:pt>
                      <c:pt idx="5">
                        <c:v>0.99499795898797005</c:v>
                      </c:pt>
                      <c:pt idx="6">
                        <c:v>0.99390900428458095</c:v>
                      </c:pt>
                      <c:pt idx="7">
                        <c:v>0.992605536796623</c:v>
                      </c:pt>
                      <c:pt idx="8">
                        <c:v>0.99410924519933097</c:v>
                      </c:pt>
                      <c:pt idx="9">
                        <c:v>0.99388883588608201</c:v>
                      </c:pt>
                      <c:pt idx="10">
                        <c:v>0.99319310377730197</c:v>
                      </c:pt>
                      <c:pt idx="11">
                        <c:v>0.99394377663695599</c:v>
                      </c:pt>
                      <c:pt idx="12">
                        <c:v>0.99313535759462401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5D-48A2-AB1A-98892C40C1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1.71061414579583E-10</c:v>
                      </c:pt>
                      <c:pt idx="1">
                        <c:v>3.0084176095910199E-15</c:v>
                      </c:pt>
                      <c:pt idx="2">
                        <c:v>2.1829442775133101E-2</c:v>
                      </c:pt>
                      <c:pt idx="3">
                        <c:v>1.3999882005215E-2</c:v>
                      </c:pt>
                      <c:pt idx="4">
                        <c:v>3.1614463050096798E-4</c:v>
                      </c:pt>
                      <c:pt idx="5">
                        <c:v>2.3762164919281701E-3</c:v>
                      </c:pt>
                      <c:pt idx="6">
                        <c:v>2.0195745020872E-3</c:v>
                      </c:pt>
                      <c:pt idx="7">
                        <c:v>1.68090683459786E-3</c:v>
                      </c:pt>
                      <c:pt idx="8">
                        <c:v>8.8359661977801597E-4</c:v>
                      </c:pt>
                      <c:pt idx="9">
                        <c:v>6.6943789598781795E-4</c:v>
                      </c:pt>
                      <c:pt idx="10">
                        <c:v>4.99428229501529E-4</c:v>
                      </c:pt>
                      <c:pt idx="11">
                        <c:v>2.9367185763361502E-4</c:v>
                      </c:pt>
                      <c:pt idx="12">
                        <c:v>2.2237412082196599E-4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5D-48A2-AB1A-98892C40C1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0.97041897686692602</c:v>
                      </c:pt>
                      <c:pt idx="3">
                        <c:v>0.97999998930346799</c:v>
                      </c:pt>
                      <c:pt idx="4">
                        <c:v>0.99994173465155001</c:v>
                      </c:pt>
                      <c:pt idx="5">
                        <c:v>0.996084551598858</c:v>
                      </c:pt>
                      <c:pt idx="6">
                        <c:v>0.99462806647793101</c:v>
                      </c:pt>
                      <c:pt idx="7">
                        <c:v>0.99343289684023095</c:v>
                      </c:pt>
                      <c:pt idx="8">
                        <c:v>0.994781155479603</c:v>
                      </c:pt>
                      <c:pt idx="9">
                        <c:v>0.99446307643931098</c:v>
                      </c:pt>
                      <c:pt idx="10">
                        <c:v>0.993861546500725</c:v>
                      </c:pt>
                      <c:pt idx="11">
                        <c:v>0.99461582407881199</c:v>
                      </c:pt>
                      <c:pt idx="12">
                        <c:v>0.99385636010654499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5D-48A2-AB1A-98892C40C1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2.1775263850868799E-2</c:v>
                      </c:pt>
                      <c:pt idx="3">
                        <c:v>1.3999999847195001E-2</c:v>
                      </c:pt>
                      <c:pt idx="4">
                        <c:v>5.2348529766710901E-5</c:v>
                      </c:pt>
                      <c:pt idx="5">
                        <c:v>2.2685587248155699E-3</c:v>
                      </c:pt>
                      <c:pt idx="6">
                        <c:v>1.9807643881555601E-3</c:v>
                      </c:pt>
                      <c:pt idx="7">
                        <c:v>1.6549606390527901E-3</c:v>
                      </c:pt>
                      <c:pt idx="8">
                        <c:v>8.6553760692667601E-4</c:v>
                      </c:pt>
                      <c:pt idx="9">
                        <c:v>6.6134781300446102E-4</c:v>
                      </c:pt>
                      <c:pt idx="10">
                        <c:v>4.9401980242849903E-4</c:v>
                      </c:pt>
                      <c:pt idx="11">
                        <c:v>2.8940160557082401E-4</c:v>
                      </c:pt>
                      <c:pt idx="12">
                        <c:v>2.1943915132372599E-4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5D-48A2-AB1A-98892C40C1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0.99999999945905604</c:v>
                      </c:pt>
                      <c:pt idx="1">
                        <c:v>0.99999999999999001</c:v>
                      </c:pt>
                      <c:pt idx="2">
                        <c:v>0.96206874508181695</c:v>
                      </c:pt>
                      <c:pt idx="3">
                        <c:v>0.979974969626212</c:v>
                      </c:pt>
                      <c:pt idx="4">
                        <c:v>0.998769082958745</c:v>
                      </c:pt>
                      <c:pt idx="5">
                        <c:v>0.99122393539829401</c:v>
                      </c:pt>
                      <c:pt idx="6">
                        <c:v>0.99058665171220694</c:v>
                      </c:pt>
                      <c:pt idx="7">
                        <c:v>0.98965852245864605</c:v>
                      </c:pt>
                      <c:pt idx="8">
                        <c:v>0.99084478174499802</c:v>
                      </c:pt>
                      <c:pt idx="9">
                        <c:v>0.9912131953776</c:v>
                      </c:pt>
                      <c:pt idx="10">
                        <c:v>0.99020089552851598</c:v>
                      </c:pt>
                      <c:pt idx="11">
                        <c:v>0.99104667163104598</c:v>
                      </c:pt>
                      <c:pt idx="12">
                        <c:v>0.98996611514533295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5D-48A2-AB1A-98892C40C13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5.1318424373874299E-10</c:v>
                      </c:pt>
                      <c:pt idx="1">
                        <c:v>9.0248157883817305E-15</c:v>
                      </c:pt>
                      <c:pt idx="2">
                        <c:v>2.58894593312173E-2</c:v>
                      </c:pt>
                      <c:pt idx="3">
                        <c:v>1.39996536485849E-2</c:v>
                      </c:pt>
                      <c:pt idx="4">
                        <c:v>8.9639788280665596E-4</c:v>
                      </c:pt>
                      <c:pt idx="5">
                        <c:v>3.33310934633554E-3</c:v>
                      </c:pt>
                      <c:pt idx="6">
                        <c:v>2.6438451896979801E-3</c:v>
                      </c:pt>
                      <c:pt idx="7">
                        <c:v>1.9748959202550401E-3</c:v>
                      </c:pt>
                      <c:pt idx="8">
                        <c:v>1.17121802868312E-3</c:v>
                      </c:pt>
                      <c:pt idx="9">
                        <c:v>8.2464157183411097E-4</c:v>
                      </c:pt>
                      <c:pt idx="10">
                        <c:v>6.12389299849326E-4</c:v>
                      </c:pt>
                      <c:pt idx="11">
                        <c:v>3.66315659606289E-4</c:v>
                      </c:pt>
                      <c:pt idx="12">
                        <c:v>2.7551399163161901E-4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5D-48A2-AB1A-98892C40C13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4.927717385012409E-3</c:v>
                      </c:pt>
                      <c:pt idx="1">
                        <c:v>4.9277175662119088E-3</c:v>
                      </c:pt>
                      <c:pt idx="2">
                        <c:v>-2.5154885413135486E-2</c:v>
                      </c:pt>
                      <c:pt idx="3">
                        <c:v>-1.5179224940883196E-2</c:v>
                      </c:pt>
                      <c:pt idx="4">
                        <c:v>4.4954943269099878E-3</c:v>
                      </c:pt>
                      <c:pt idx="5">
                        <c:v>-9.8972091175930643E-5</c:v>
                      </c:pt>
                      <c:pt idx="6">
                        <c:v>-1.1932928557857325E-3</c:v>
                      </c:pt>
                      <c:pt idx="7">
                        <c:v>-2.5031834633810757E-3</c:v>
                      </c:pt>
                      <c:pt idx="8">
                        <c:v>-9.9206521036254713E-4</c:v>
                      </c:pt>
                      <c:pt idx="9">
                        <c:v>-1.2135606384562347E-3</c:v>
                      </c:pt>
                      <c:pt idx="10">
                        <c:v>-1.9127211185701043E-3</c:v>
                      </c:pt>
                      <c:pt idx="11">
                        <c:v>-1.1583491550790637E-3</c:v>
                      </c:pt>
                      <c:pt idx="12">
                        <c:v>-1.9707518581267847E-3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5D-48A2-AB1A-98892C40C13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7.2054697681147584E-3</c:v>
                      </c:pt>
                      <c:pt idx="1">
                        <c:v>7.2054703129464936E-3</c:v>
                      </c:pt>
                      <c:pt idx="2">
                        <c:v>-3.0999097136472642E-2</c:v>
                      </c:pt>
                      <c:pt idx="3">
                        <c:v>-1.296384982270582E-2</c:v>
                      </c:pt>
                      <c:pt idx="4">
                        <c:v>5.9656839355031188E-3</c:v>
                      </c:pt>
                      <c:pt idx="5">
                        <c:v>-1.6338299617015828E-3</c:v>
                      </c:pt>
                      <c:pt idx="6">
                        <c:v>-2.275705576469722E-3</c:v>
                      </c:pt>
                      <c:pt idx="7">
                        <c:v>-3.2105224378137232E-3</c:v>
                      </c:pt>
                      <c:pt idx="8">
                        <c:v>-2.0157155953904882E-3</c:v>
                      </c:pt>
                      <c:pt idx="9">
                        <c:v>-1.6446473692959263E-3</c:v>
                      </c:pt>
                      <c:pt idx="10">
                        <c:v>-2.6642413148902921E-3</c:v>
                      </c:pt>
                      <c:pt idx="11">
                        <c:v>-1.8123709977621028E-3</c:v>
                      </c:pt>
                      <c:pt idx="12">
                        <c:v>-2.9007134011544977E-3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5D-48A2-AB1A-98892C40C136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'Sr-89'!$E$39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69400699912511E-2"/>
                  <c:y val="-0.43522081478945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'Sr-89'!$A$45:$A$51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'Sr-89'!$E$45:$E$51</c:f>
              <c:numCache>
                <c:formatCode>0.000%</c:formatCode>
                <c:ptCount val="7"/>
                <c:pt idx="0">
                  <c:v>2.2685587248155699E-3</c:v>
                </c:pt>
                <c:pt idx="1">
                  <c:v>1.9807643881555601E-3</c:v>
                </c:pt>
                <c:pt idx="2">
                  <c:v>1.6549606390527901E-3</c:v>
                </c:pt>
                <c:pt idx="3">
                  <c:v>8.6553760692667601E-4</c:v>
                </c:pt>
                <c:pt idx="4">
                  <c:v>6.6134781300446102E-4</c:v>
                </c:pt>
                <c:pt idx="5">
                  <c:v>4.9401980242849903E-4</c:v>
                </c:pt>
                <c:pt idx="6">
                  <c:v>2.8940160557082401E-4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6-4017-B2D6-12ABF7FD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'H-3'!$I$39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'H-3'!$A$40:$A$54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'H-3'!$I$40:$I$54</c:f>
              <c:numCache>
                <c:formatCode>0.00%</c:formatCode>
                <c:ptCount val="15"/>
                <c:pt idx="0">
                  <c:v>0.20592083070997358</c:v>
                </c:pt>
                <c:pt idx="1">
                  <c:v>0.14729659358791602</c:v>
                </c:pt>
                <c:pt idx="2">
                  <c:v>-1.265703539158658E-2</c:v>
                </c:pt>
                <c:pt idx="3">
                  <c:v>-7.6683517648963861E-2</c:v>
                </c:pt>
                <c:pt idx="4">
                  <c:v>-4.7601927224108831E-2</c:v>
                </c:pt>
                <c:pt idx="5">
                  <c:v>3.0655267387073915E-2</c:v>
                </c:pt>
                <c:pt idx="6">
                  <c:v>-1.2228232539490014E-2</c:v>
                </c:pt>
                <c:pt idx="7">
                  <c:v>-2.6173207796968967E-3</c:v>
                </c:pt>
                <c:pt idx="8">
                  <c:v>-8.3638279047404396E-4</c:v>
                </c:pt>
                <c:pt idx="9">
                  <c:v>-5.6175983027554333E-3</c:v>
                </c:pt>
                <c:pt idx="10">
                  <c:v>-3.4368194452604195E-3</c:v>
                </c:pt>
                <c:pt idx="11">
                  <c:v>1.9882981624541607E-3</c:v>
                </c:pt>
                <c:pt idx="12">
                  <c:v>-4.1407992007691519E-5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C-4A2D-A455-B7753F36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0.65610584333627997</c:v>
                      </c:pt>
                      <c:pt idx="1">
                        <c:v>0.64693469255915903</c:v>
                      </c:pt>
                      <c:pt idx="2">
                        <c:v>0.55983914095167497</c:v>
                      </c:pt>
                      <c:pt idx="3">
                        <c:v>0.540963650922064</c:v>
                      </c:pt>
                      <c:pt idx="4">
                        <c:v>0.55249244896146699</c:v>
                      </c:pt>
                      <c:pt idx="5">
                        <c:v>0.59137810659816703</c:v>
                      </c:pt>
                      <c:pt idx="6">
                        <c:v>0.570594544290979</c:v>
                      </c:pt>
                      <c:pt idx="7">
                        <c:v>0.57508817914514598</c:v>
                      </c:pt>
                      <c:pt idx="8">
                        <c:v>0.576651815969351</c:v>
                      </c:pt>
                      <c:pt idx="9">
                        <c:v>0.57366540626782903</c:v>
                      </c:pt>
                      <c:pt idx="10">
                        <c:v>0.574618591155998</c:v>
                      </c:pt>
                      <c:pt idx="11">
                        <c:v>0.57739297623535901</c:v>
                      </c:pt>
                      <c:pt idx="12">
                        <c:v>0.57605674113687999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4C-4A2D-A455-B7753F3676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7.9470048847023397E-2</c:v>
                      </c:pt>
                      <c:pt idx="1">
                        <c:v>5.1761451419199002E-2</c:v>
                      </c:pt>
                      <c:pt idx="2">
                        <c:v>3.9613580555992699E-2</c:v>
                      </c:pt>
                      <c:pt idx="3">
                        <c:v>2.8363905467590801E-2</c:v>
                      </c:pt>
                      <c:pt idx="4">
                        <c:v>2.1208101703676301E-2</c:v>
                      </c:pt>
                      <c:pt idx="5">
                        <c:v>1.2978531130794601E-2</c:v>
                      </c:pt>
                      <c:pt idx="6">
                        <c:v>9.0873007099102794E-3</c:v>
                      </c:pt>
                      <c:pt idx="7">
                        <c:v>6.41345909305472E-3</c:v>
                      </c:pt>
                      <c:pt idx="8">
                        <c:v>4.0508273237274501E-3</c:v>
                      </c:pt>
                      <c:pt idx="9">
                        <c:v>2.8875081984947701E-3</c:v>
                      </c:pt>
                      <c:pt idx="10">
                        <c:v>2.0495082773096798E-3</c:v>
                      </c:pt>
                      <c:pt idx="11">
                        <c:v>1.2918886161562601E-3</c:v>
                      </c:pt>
                      <c:pt idx="12">
                        <c:v>9.1417582971216695E-4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4C-4A2D-A455-B7753F3676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0.71674627651659395</c:v>
                      </c:pt>
                      <c:pt idx="1">
                        <c:v>0.68190260966814698</c:v>
                      </c:pt>
                      <c:pt idx="2">
                        <c:v>0.58683321119123499</c:v>
                      </c:pt>
                      <c:pt idx="3">
                        <c:v>0.54877868755437798</c:v>
                      </c:pt>
                      <c:pt idx="4">
                        <c:v>0.56606350519860404</c:v>
                      </c:pt>
                      <c:pt idx="5">
                        <c:v>0.61257613805127398</c:v>
                      </c:pt>
                      <c:pt idx="6">
                        <c:v>0.58708807273750996</c:v>
                      </c:pt>
                      <c:pt idx="7">
                        <c:v>0.59280037576962996</c:v>
                      </c:pt>
                      <c:pt idx="8">
                        <c:v>0.59385888694215105</c:v>
                      </c:pt>
                      <c:pt idx="9">
                        <c:v>0.59101714283393003</c:v>
                      </c:pt>
                      <c:pt idx="10">
                        <c:v>0.59231330182398201</c:v>
                      </c:pt>
                      <c:pt idx="11">
                        <c:v>0.59553775300350498</c:v>
                      </c:pt>
                      <c:pt idx="12">
                        <c:v>0.59433138498034299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4C-4A2D-A455-B7753F3676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9.3765907334830201E-2</c:v>
                      </c:pt>
                      <c:pt idx="1">
                        <c:v>6.3555986116614005E-2</c:v>
                      </c:pt>
                      <c:pt idx="2">
                        <c:v>4.8664627817552597E-2</c:v>
                      </c:pt>
                      <c:pt idx="3">
                        <c:v>3.4543198424891598E-2</c:v>
                      </c:pt>
                      <c:pt idx="4">
                        <c:v>2.5225133386429299E-2</c:v>
                      </c:pt>
                      <c:pt idx="5">
                        <c:v>1.5603121423672E-2</c:v>
                      </c:pt>
                      <c:pt idx="6">
                        <c:v>1.09513207824876E-2</c:v>
                      </c:pt>
                      <c:pt idx="7">
                        <c:v>7.7609314458930304E-3</c:v>
                      </c:pt>
                      <c:pt idx="8">
                        <c:v>4.8923067983822396E-3</c:v>
                      </c:pt>
                      <c:pt idx="9">
                        <c:v>3.4870391032726998E-3</c:v>
                      </c:pt>
                      <c:pt idx="10">
                        <c:v>2.4714642844053799E-3</c:v>
                      </c:pt>
                      <c:pt idx="11">
                        <c:v>1.5565483488560799E-3</c:v>
                      </c:pt>
                      <c:pt idx="12">
                        <c:v>1.1009629699357999E-3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4C-4A2D-A455-B7753F3676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0.382071508187945</c:v>
                      </c:pt>
                      <c:pt idx="1">
                        <c:v>0.36721287541150999</c:v>
                      </c:pt>
                      <c:pt idx="2">
                        <c:v>0.29440587235160598</c:v>
                      </c:pt>
                      <c:pt idx="3">
                        <c:v>0.285249833657368</c:v>
                      </c:pt>
                      <c:pt idx="4">
                        <c:v>0.30977518000190102</c:v>
                      </c:pt>
                      <c:pt idx="5">
                        <c:v>0.34463573115456803</c:v>
                      </c:pt>
                      <c:pt idx="6">
                        <c:v>0.31869171588169298</c:v>
                      </c:pt>
                      <c:pt idx="7">
                        <c:v>0.323086805418763</c:v>
                      </c:pt>
                      <c:pt idx="8">
                        <c:v>0.32493054686997702</c:v>
                      </c:pt>
                      <c:pt idx="9">
                        <c:v>0.32319498005130398</c:v>
                      </c:pt>
                      <c:pt idx="10">
                        <c:v>0.325137662403992</c:v>
                      </c:pt>
                      <c:pt idx="11">
                        <c:v>0.32747831174869602</c:v>
                      </c:pt>
                      <c:pt idx="12">
                        <c:v>0.325953978168181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4C-4A2D-A455-B7753F3676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6.8745984705896407E-2</c:v>
                      </c:pt>
                      <c:pt idx="1">
                        <c:v>6.1758227447615499E-2</c:v>
                      </c:pt>
                      <c:pt idx="2">
                        <c:v>3.5116021184175103E-2</c:v>
                      </c:pt>
                      <c:pt idx="3">
                        <c:v>2.9008062600514299E-2</c:v>
                      </c:pt>
                      <c:pt idx="4">
                        <c:v>2.1475292694910102E-2</c:v>
                      </c:pt>
                      <c:pt idx="5">
                        <c:v>1.35518476239641E-2</c:v>
                      </c:pt>
                      <c:pt idx="6">
                        <c:v>9.41743729440217E-3</c:v>
                      </c:pt>
                      <c:pt idx="7">
                        <c:v>6.6277703448255204E-3</c:v>
                      </c:pt>
                      <c:pt idx="8">
                        <c:v>4.2314028388278097E-3</c:v>
                      </c:pt>
                      <c:pt idx="9">
                        <c:v>2.9774904749540498E-3</c:v>
                      </c:pt>
                      <c:pt idx="10">
                        <c:v>2.1124030037584498E-3</c:v>
                      </c:pt>
                      <c:pt idx="11">
                        <c:v>1.3390530098402399E-3</c:v>
                      </c:pt>
                      <c:pt idx="12">
                        <c:v>9.4350819452358205E-4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4C-4A2D-A455-B7753F3676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0.13891191611971188</c:v>
                      </c:pt>
                      <c:pt idx="1">
                        <c:v>0.12299202604301263</c:v>
                      </c:pt>
                      <c:pt idx="2">
                        <c:v>-2.8194192726787359E-2</c:v>
                      </c:pt>
                      <c:pt idx="3">
                        <c:v>-6.0959516699530036E-2</c:v>
                      </c:pt>
                      <c:pt idx="4">
                        <c:v>-4.0947066575863222E-2</c:v>
                      </c:pt>
                      <c:pt idx="5">
                        <c:v>2.6553229753444318E-2</c:v>
                      </c:pt>
                      <c:pt idx="6">
                        <c:v>-9.5242522740107693E-3</c:v>
                      </c:pt>
                      <c:pt idx="7">
                        <c:v>-1.7239036959864062E-3</c:v>
                      </c:pt>
                      <c:pt idx="8">
                        <c:v>9.9036051863343744E-4</c:v>
                      </c:pt>
                      <c:pt idx="9">
                        <c:v>-4.1936469551966393E-3</c:v>
                      </c:pt>
                      <c:pt idx="10">
                        <c:v>-2.539045584965427E-3</c:v>
                      </c:pt>
                      <c:pt idx="11">
                        <c:v>2.2769155269211083E-3</c:v>
                      </c:pt>
                      <c:pt idx="12">
                        <c:v>-4.2609732382570265E-5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4C-4A2D-A455-B7753F3676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0.17226823577308203</c:v>
                      </c:pt>
                      <c:pt idx="1">
                        <c:v>0.12667911735532433</c:v>
                      </c:pt>
                      <c:pt idx="2">
                        <c:v>-9.6706649968039793E-2</c:v>
                      </c:pt>
                      <c:pt idx="3">
                        <c:v>-0.12479912244176472</c:v>
                      </c:pt>
                      <c:pt idx="4">
                        <c:v>-4.9550683668133533E-2</c:v>
                      </c:pt>
                      <c:pt idx="5">
                        <c:v>5.7408134045413117E-2</c:v>
                      </c:pt>
                      <c:pt idx="6">
                        <c:v>-2.219305149455264E-2</c:v>
                      </c:pt>
                      <c:pt idx="7">
                        <c:v>-8.7080787937058313E-3</c:v>
                      </c:pt>
                      <c:pt idx="8">
                        <c:v>-3.0511284796479465E-3</c:v>
                      </c:pt>
                      <c:pt idx="9">
                        <c:v>-8.37617839567395E-3</c:v>
                      </c:pt>
                      <c:pt idx="10">
                        <c:v>-2.4156585310708412E-3</c:v>
                      </c:pt>
                      <c:pt idx="11">
                        <c:v>4.7658999444433192E-3</c:v>
                      </c:pt>
                      <c:pt idx="12">
                        <c:v>8.8953878417896703E-5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4C-4A2D-A455-B7753F36764F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'H-3'!$E$39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'H-3'!$A$40:$A$51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'H-3'!$E$40:$E$51</c:f>
              <c:numCache>
                <c:formatCode>0.000%</c:formatCode>
                <c:ptCount val="12"/>
                <c:pt idx="0">
                  <c:v>9.3765907334830201E-2</c:v>
                </c:pt>
                <c:pt idx="1">
                  <c:v>6.3555986116614005E-2</c:v>
                </c:pt>
                <c:pt idx="2">
                  <c:v>4.8664627817552597E-2</c:v>
                </c:pt>
                <c:pt idx="3">
                  <c:v>3.4543198424891598E-2</c:v>
                </c:pt>
                <c:pt idx="4">
                  <c:v>2.5225133386429299E-2</c:v>
                </c:pt>
                <c:pt idx="5">
                  <c:v>1.5603121423672E-2</c:v>
                </c:pt>
                <c:pt idx="6">
                  <c:v>1.09513207824876E-2</c:v>
                </c:pt>
                <c:pt idx="7">
                  <c:v>7.7609314458930304E-3</c:v>
                </c:pt>
                <c:pt idx="8">
                  <c:v>4.8923067983822396E-3</c:v>
                </c:pt>
                <c:pt idx="9">
                  <c:v>3.4870391032726998E-3</c:v>
                </c:pt>
                <c:pt idx="10">
                  <c:v>2.4714642844053799E-3</c:v>
                </c:pt>
                <c:pt idx="11">
                  <c:v>1.5565483488560799E-3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3-461D-9EFB-6C79965B6FF6}"/>
            </c:ext>
          </c:extLst>
        </c:ser>
        <c:ser>
          <c:idx val="1"/>
          <c:order val="1"/>
          <c:tx>
            <c:strRef>
              <c:f>'H-3'!$I$39</c:f>
              <c:strCache>
                <c:ptCount val="1"/>
                <c:pt idx="0">
                  <c:v>dev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'H-3'!$A$40:$A$52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'H-3'!$I$40:$I$52</c:f>
              <c:numCache>
                <c:formatCode>0.00%</c:formatCode>
                <c:ptCount val="13"/>
                <c:pt idx="0">
                  <c:v>0.20592083070997358</c:v>
                </c:pt>
                <c:pt idx="1">
                  <c:v>0.14729659358791602</c:v>
                </c:pt>
                <c:pt idx="2">
                  <c:v>-1.265703539158658E-2</c:v>
                </c:pt>
                <c:pt idx="3">
                  <c:v>-7.6683517648963861E-2</c:v>
                </c:pt>
                <c:pt idx="4">
                  <c:v>-4.7601927224108831E-2</c:v>
                </c:pt>
                <c:pt idx="5">
                  <c:v>3.0655267387073915E-2</c:v>
                </c:pt>
                <c:pt idx="6">
                  <c:v>-1.2228232539490014E-2</c:v>
                </c:pt>
                <c:pt idx="7">
                  <c:v>-2.6173207796968967E-3</c:v>
                </c:pt>
                <c:pt idx="8">
                  <c:v>-8.3638279047404396E-4</c:v>
                </c:pt>
                <c:pt idx="9">
                  <c:v>-5.6175983027554333E-3</c:v>
                </c:pt>
                <c:pt idx="10">
                  <c:v>-3.4368194452604195E-3</c:v>
                </c:pt>
                <c:pt idx="11">
                  <c:v>1.9882981624541607E-3</c:v>
                </c:pt>
                <c:pt idx="12">
                  <c:v>-4.1407992007691519E-5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5-4F3B-AC69-F2D9701E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'Pu-241'!$C$9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'Pu-241'!$A$10:$A$29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'Pu-241'!$C$10:$C$29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7.843723553722981E-3</c:v>
                </c:pt>
                <c:pt idx="10">
                  <c:v>3.9018437677160733E-3</c:v>
                </c:pt>
                <c:pt idx="11">
                  <c:v>1.5388463381014184E-3</c:v>
                </c:pt>
                <c:pt idx="12">
                  <c:v>7.5852109808915991E-4</c:v>
                </c:pt>
                <c:pt idx="13">
                  <c:v>3.6988851445673987E-4</c:v>
                </c:pt>
                <c:pt idx="14">
                  <c:v>1.3923927863324081E-4</c:v>
                </c:pt>
                <c:pt idx="15">
                  <c:v>9.397117963794166E-5</c:v>
                </c:pt>
                <c:pt idx="16">
                  <c:v>6.2110182647012735E-5</c:v>
                </c:pt>
                <c:pt idx="17">
                  <c:v>2.3120580510349598E-5</c:v>
                </c:pt>
                <c:pt idx="18">
                  <c:v>0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6-4B5B-A42B-D7A8C601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9">
                        <c:v>0.53042692856565699</c:v>
                      </c:pt>
                      <c:pt idx="10">
                        <c:v>0.52835232201823101</c:v>
                      </c:pt>
                      <c:pt idx="11">
                        <c:v>0.52710867933880901</c:v>
                      </c:pt>
                      <c:pt idx="12">
                        <c:v>0.52669799511200999</c:v>
                      </c:pt>
                      <c:pt idx="13">
                        <c:v>0.52649345825489702</c:v>
                      </c:pt>
                      <c:pt idx="14">
                        <c:v>0.52637206784200397</c:v>
                      </c:pt>
                      <c:pt idx="15">
                        <c:v>0.52634824329644103</c:v>
                      </c:pt>
                      <c:pt idx="16">
                        <c:v>0.52633147489239196</c:v>
                      </c:pt>
                      <c:pt idx="17">
                        <c:v>0.52631095471210598</c:v>
                      </c:pt>
                      <c:pt idx="18">
                        <c:v>0.52629878637864302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E6-4B5B-A42B-D7A8C601F1E0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'Pu-241'!$I$39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'Pu-241'!$A$40:$A$54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'Pu-241'!$I$40:$I$54</c:f>
              <c:numCache>
                <c:formatCode>0.00%</c:formatCode>
                <c:ptCount val="15"/>
                <c:pt idx="0">
                  <c:v>-0.10454642659108515</c:v>
                </c:pt>
                <c:pt idx="1">
                  <c:v>0.29056902498214932</c:v>
                </c:pt>
                <c:pt idx="2">
                  <c:v>4.9396434722024596E-2</c:v>
                </c:pt>
                <c:pt idx="3">
                  <c:v>2.7737247309495672E-2</c:v>
                </c:pt>
                <c:pt idx="4">
                  <c:v>-6.0571950332432345E-2</c:v>
                </c:pt>
                <c:pt idx="5">
                  <c:v>3.8214246748639269E-2</c:v>
                </c:pt>
                <c:pt idx="6">
                  <c:v>5.6348453722616654E-3</c:v>
                </c:pt>
                <c:pt idx="7">
                  <c:v>1.5831050497276955E-3</c:v>
                </c:pt>
                <c:pt idx="8">
                  <c:v>-2.9023713952069929E-4</c:v>
                </c:pt>
                <c:pt idx="9">
                  <c:v>2.0629990351510585E-3</c:v>
                </c:pt>
                <c:pt idx="10">
                  <c:v>-9.3220106980932416E-3</c:v>
                </c:pt>
                <c:pt idx="11">
                  <c:v>-3.038589226049826E-4</c:v>
                </c:pt>
                <c:pt idx="12">
                  <c:v>1.0061700734027568E-3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1-4C09-8DCE-09312DF0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0.47416252740806702</c:v>
                      </c:pt>
                      <c:pt idx="1">
                        <c:v>0.64041620319516601</c:v>
                      </c:pt>
                      <c:pt idx="2">
                        <c:v>0.54304652861735703</c:v>
                      </c:pt>
                      <c:pt idx="3">
                        <c:v>0.53238836912738496</c:v>
                      </c:pt>
                      <c:pt idx="4">
                        <c:v>0.49363013349721102</c:v>
                      </c:pt>
                      <c:pt idx="5">
                        <c:v>0.53681449258594405</c:v>
                      </c:pt>
                      <c:pt idx="6">
                        <c:v>0.52207054389754104</c:v>
                      </c:pt>
                      <c:pt idx="7">
                        <c:v>0.520041742591422</c:v>
                      </c:pt>
                      <c:pt idx="8">
                        <c:v>0.51902611844337998</c:v>
                      </c:pt>
                      <c:pt idx="9">
                        <c:v>0.51945479403330197</c:v>
                      </c:pt>
                      <c:pt idx="10">
                        <c:v>0.51482163006336601</c:v>
                      </c:pt>
                      <c:pt idx="11">
                        <c:v>0.51910406383301699</c:v>
                      </c:pt>
                      <c:pt idx="12">
                        <c:v>0.51962955346385598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01-4C09-8DCE-09312DF0BF3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8.8637658877051995E-2</c:v>
                      </c:pt>
                      <c:pt idx="1">
                        <c:v>4.7812540374752702E-2</c:v>
                      </c:pt>
                      <c:pt idx="2">
                        <c:v>3.8496709968436703E-2</c:v>
                      </c:pt>
                      <c:pt idx="3">
                        <c:v>2.91861600836653E-2</c:v>
                      </c:pt>
                      <c:pt idx="4">
                        <c:v>2.1802390642126499E-2</c:v>
                      </c:pt>
                      <c:pt idx="5">
                        <c:v>1.394454466539E-2</c:v>
                      </c:pt>
                      <c:pt idx="6">
                        <c:v>9.8047575449849902E-3</c:v>
                      </c:pt>
                      <c:pt idx="7">
                        <c:v>6.9988364675425598E-3</c:v>
                      </c:pt>
                      <c:pt idx="8">
                        <c:v>4.4321383516950199E-3</c:v>
                      </c:pt>
                      <c:pt idx="9">
                        <c:v>3.1242577666272101E-3</c:v>
                      </c:pt>
                      <c:pt idx="10">
                        <c:v>2.21039147227033E-3</c:v>
                      </c:pt>
                      <c:pt idx="11">
                        <c:v>1.3970855400038101E-3</c:v>
                      </c:pt>
                      <c:pt idx="12">
                        <c:v>9.8617753718076707E-4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1-4C09-8DCE-09312DF0BF3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0.47132041531730301</c:v>
                      </c:pt>
                      <c:pt idx="1">
                        <c:v>0.67928873915215504</c:v>
                      </c:pt>
                      <c:pt idx="2">
                        <c:v>0.55234796993748603</c:v>
                      </c:pt>
                      <c:pt idx="3">
                        <c:v>0.54094769469167303</c:v>
                      </c:pt>
                      <c:pt idx="4">
                        <c:v>0.49446630364592598</c:v>
                      </c:pt>
                      <c:pt idx="5">
                        <c:v>0.54646224494148399</c:v>
                      </c:pt>
                      <c:pt idx="6">
                        <c:v>0.52931413425937801</c:v>
                      </c:pt>
                      <c:pt idx="7">
                        <c:v>0.52718150785831897</c:v>
                      </c:pt>
                      <c:pt idx="8">
                        <c:v>0.52619547748791495</c:v>
                      </c:pt>
                      <c:pt idx="9">
                        <c:v>0.52743409921451501</c:v>
                      </c:pt>
                      <c:pt idx="10">
                        <c:v>0.52144161934150901</c:v>
                      </c:pt>
                      <c:pt idx="11">
                        <c:v>0.52618830768631797</c:v>
                      </c:pt>
                      <c:pt idx="12">
                        <c:v>0.52687783914703401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1-4C09-8DCE-09312DF0BF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0.111406952337552</c:v>
                      </c:pt>
                      <c:pt idx="1">
                        <c:v>5.9517772737548998E-2</c:v>
                      </c:pt>
                      <c:pt idx="2">
                        <c:v>4.7286065233805602E-2</c:v>
                      </c:pt>
                      <c:pt idx="3">
                        <c:v>3.4956129029456003E-2</c:v>
                      </c:pt>
                      <c:pt idx="4">
                        <c:v>2.61588039822944E-2</c:v>
                      </c:pt>
                      <c:pt idx="5">
                        <c:v>1.6518798587533301E-2</c:v>
                      </c:pt>
                      <c:pt idx="6">
                        <c:v>1.1590737014150899E-2</c:v>
                      </c:pt>
                      <c:pt idx="7">
                        <c:v>8.3076183420654499E-3</c:v>
                      </c:pt>
                      <c:pt idx="8">
                        <c:v>5.2483959088789897E-3</c:v>
                      </c:pt>
                      <c:pt idx="9">
                        <c:v>3.7025124716189199E-3</c:v>
                      </c:pt>
                      <c:pt idx="10">
                        <c:v>2.6187990437078201E-3</c:v>
                      </c:pt>
                      <c:pt idx="11">
                        <c:v>1.65589582506855E-3</c:v>
                      </c:pt>
                      <c:pt idx="12">
                        <c:v>1.1685979689990301E-3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1-4C09-8DCE-09312DF0BF3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0.21943446450642801</c:v>
                      </c:pt>
                      <c:pt idx="1">
                        <c:v>0.34413617090891102</c:v>
                      </c:pt>
                      <c:pt idx="2">
                        <c:v>0.27732506427584502</c:v>
                      </c:pt>
                      <c:pt idx="3">
                        <c:v>0.28245700709173999</c:v>
                      </c:pt>
                      <c:pt idx="4">
                        <c:v>0.26087618253531503</c:v>
                      </c:pt>
                      <c:pt idx="5">
                        <c:v>0.304861321148509</c:v>
                      </c:pt>
                      <c:pt idx="6">
                        <c:v>0.28837931785243298</c:v>
                      </c:pt>
                      <c:pt idx="7">
                        <c:v>0.28902550282533601</c:v>
                      </c:pt>
                      <c:pt idx="8">
                        <c:v>0.28831330645988901</c:v>
                      </c:pt>
                      <c:pt idx="9">
                        <c:v>0.28744767384397002</c:v>
                      </c:pt>
                      <c:pt idx="10">
                        <c:v>0.28341607032146099</c:v>
                      </c:pt>
                      <c:pt idx="11">
                        <c:v>0.287497990245351</c:v>
                      </c:pt>
                      <c:pt idx="12">
                        <c:v>0.287465309902042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01-4C09-8DCE-09312DF0BF3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7.68171694551395E-2</c:v>
                      </c:pt>
                      <c:pt idx="1">
                        <c:v>5.6802561433209102E-2</c:v>
                      </c:pt>
                      <c:pt idx="2">
                        <c:v>3.9346265630549701E-2</c:v>
                      </c:pt>
                      <c:pt idx="3">
                        <c:v>2.9271187044742599E-2</c:v>
                      </c:pt>
                      <c:pt idx="4">
                        <c:v>2.07461421459177E-2</c:v>
                      </c:pt>
                      <c:pt idx="5">
                        <c:v>1.39250264868045E-2</c:v>
                      </c:pt>
                      <c:pt idx="6">
                        <c:v>9.6773175490314795E-3</c:v>
                      </c:pt>
                      <c:pt idx="7">
                        <c:v>6.8244059909498E-3</c:v>
                      </c:pt>
                      <c:pt idx="8">
                        <c:v>4.3279011978043201E-3</c:v>
                      </c:pt>
                      <c:pt idx="9">
                        <c:v>3.03416002009295E-3</c:v>
                      </c:pt>
                      <c:pt idx="10">
                        <c:v>2.1460397584585102E-3</c:v>
                      </c:pt>
                      <c:pt idx="11">
                        <c:v>1.3644413209576199E-3</c:v>
                      </c:pt>
                      <c:pt idx="12">
                        <c:v>9.6387482712915096E-4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01-4C09-8DCE-09312DF0BF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-8.6692195501080982E-2</c:v>
                      </c:pt>
                      <c:pt idx="1">
                        <c:v>0.23353720021477953</c:v>
                      </c:pt>
                      <c:pt idx="2">
                        <c:v>4.5988672920675988E-2</c:v>
                      </c:pt>
                      <c:pt idx="3">
                        <c:v>2.5459466833902322E-2</c:v>
                      </c:pt>
                      <c:pt idx="4">
                        <c:v>-4.919468030662455E-2</c:v>
                      </c:pt>
                      <c:pt idx="5">
                        <c:v>3.3984841288258627E-2</c:v>
                      </c:pt>
                      <c:pt idx="6">
                        <c:v>5.5857953327327348E-3</c:v>
                      </c:pt>
                      <c:pt idx="7">
                        <c:v>1.6780211845206505E-3</c:v>
                      </c:pt>
                      <c:pt idx="8">
                        <c:v>-2.7822252354881005E-4</c:v>
                      </c:pt>
                      <c:pt idx="9">
                        <c:v>5.4747064966353953E-4</c:v>
                      </c:pt>
                      <c:pt idx="10">
                        <c:v>-8.376694733874035E-3</c:v>
                      </c:pt>
                      <c:pt idx="11">
                        <c:v>-1.2808806845110432E-4</c:v>
                      </c:pt>
                      <c:pt idx="12">
                        <c:v>8.8408339868695229E-4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01-4C09-8DCE-09312DF0BF3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-0.23538122132151895</c:v>
                      </c:pt>
                      <c:pt idx="1">
                        <c:v>0.19914152633827698</c:v>
                      </c:pt>
                      <c:pt idx="2">
                        <c:v>-3.3661588117046892E-2</c:v>
                      </c:pt>
                      <c:pt idx="3">
                        <c:v>-1.5779347708897773E-2</c:v>
                      </c:pt>
                      <c:pt idx="4">
                        <c:v>-9.0977670599169502E-2</c:v>
                      </c:pt>
                      <c:pt idx="5">
                        <c:v>6.2288422045265079E-2</c:v>
                      </c:pt>
                      <c:pt idx="6">
                        <c:v>4.8569275953529445E-3</c:v>
                      </c:pt>
                      <c:pt idx="7">
                        <c:v>7.1085573285987191E-3</c:v>
                      </c:pt>
                      <c:pt idx="8">
                        <c:v>4.6269110824075366E-3</c:v>
                      </c:pt>
                      <c:pt idx="9">
                        <c:v>1.6106166500038377E-3</c:v>
                      </c:pt>
                      <c:pt idx="10">
                        <c:v>-1.2437494563658502E-2</c:v>
                      </c:pt>
                      <c:pt idx="11">
                        <c:v>1.7859440100789215E-3</c:v>
                      </c:pt>
                      <c:pt idx="12">
                        <c:v>1.672069445096902E-3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01-4C09-8DCE-09312DF0BF3B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'Pu-241'!$E$39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'Pu-241'!$A$42:$A$51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xVal>
          <c:yVal>
            <c:numRef>
              <c:f>'Pu-241'!$E$42:$E$51</c:f>
              <c:numCache>
                <c:formatCode>0.000%</c:formatCode>
                <c:ptCount val="10"/>
                <c:pt idx="0">
                  <c:v>4.7286065233805602E-2</c:v>
                </c:pt>
                <c:pt idx="1">
                  <c:v>3.4956129029456003E-2</c:v>
                </c:pt>
                <c:pt idx="2">
                  <c:v>2.61588039822944E-2</c:v>
                </c:pt>
                <c:pt idx="3">
                  <c:v>1.6518798587533301E-2</c:v>
                </c:pt>
                <c:pt idx="4">
                  <c:v>1.1590737014150899E-2</c:v>
                </c:pt>
                <c:pt idx="5">
                  <c:v>8.3076183420654499E-3</c:v>
                </c:pt>
                <c:pt idx="6">
                  <c:v>5.2483959088789897E-3</c:v>
                </c:pt>
                <c:pt idx="7">
                  <c:v>3.7025124716189199E-3</c:v>
                </c:pt>
                <c:pt idx="8">
                  <c:v>2.6187990437078201E-3</c:v>
                </c:pt>
                <c:pt idx="9">
                  <c:v>1.65589582506855E-3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A-4F53-9E6D-5AC4B54A08BD}"/>
            </c:ext>
          </c:extLst>
        </c:ser>
        <c:ser>
          <c:idx val="1"/>
          <c:order val="1"/>
          <c:tx>
            <c:strRef>
              <c:f>'Pu-241'!$I$39</c:f>
              <c:strCache>
                <c:ptCount val="1"/>
                <c:pt idx="0">
                  <c:v>dev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'Pu-241'!$A$42:$A$52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'Pu-241'!$I$42:$I$52</c:f>
              <c:numCache>
                <c:formatCode>0.00%</c:formatCode>
                <c:ptCount val="11"/>
                <c:pt idx="0">
                  <c:v>4.9396434722024596E-2</c:v>
                </c:pt>
                <c:pt idx="1">
                  <c:v>2.7737247309495672E-2</c:v>
                </c:pt>
                <c:pt idx="2">
                  <c:v>-6.0571950332432345E-2</c:v>
                </c:pt>
                <c:pt idx="3">
                  <c:v>3.8214246748639269E-2</c:v>
                </c:pt>
                <c:pt idx="4">
                  <c:v>5.6348453722616654E-3</c:v>
                </c:pt>
                <c:pt idx="5">
                  <c:v>1.5831050497276955E-3</c:v>
                </c:pt>
                <c:pt idx="6">
                  <c:v>-2.9023713952069929E-4</c:v>
                </c:pt>
                <c:pt idx="7">
                  <c:v>2.0629990351510585E-3</c:v>
                </c:pt>
                <c:pt idx="8">
                  <c:v>-9.3220106980932416E-3</c:v>
                </c:pt>
                <c:pt idx="9">
                  <c:v>-3.038589226049826E-4</c:v>
                </c:pt>
                <c:pt idx="10">
                  <c:v>1.0061700734027568E-3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7-4A6E-A1D0-56680D51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'C-14'!$C$9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'C-14'!$A$10:$A$29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'C-14'!$C$10:$C$29</c:f>
              <c:numCache>
                <c:formatCode>0.0000%</c:formatCode>
                <c:ptCount val="20"/>
                <c:pt idx="0">
                  <c:v>2.1336547322151844E-2</c:v>
                </c:pt>
                <c:pt idx="1">
                  <c:v>1.6827066704409477E-2</c:v>
                </c:pt>
                <c:pt idx="2">
                  <c:v>1.3873594509190346E-2</c:v>
                </c:pt>
                <c:pt idx="3">
                  <c:v>1.1781040008619126E-2</c:v>
                </c:pt>
                <c:pt idx="4">
                  <c:v>1.0223159436759E-2</c:v>
                </c:pt>
                <c:pt idx="5">
                  <c:v>7.2658097721933768E-3</c:v>
                </c:pt>
                <c:pt idx="6">
                  <c:v>3.5597604610229094E-3</c:v>
                </c:pt>
                <c:pt idx="7">
                  <c:v>1.2652251639964085E-3</c:v>
                </c:pt>
                <c:pt idx="8">
                  <c:v>7.3751430730673029E-4</c:v>
                </c:pt>
                <c:pt idx="9">
                  <c:v>5.7557989146106436E-4</c:v>
                </c:pt>
                <c:pt idx="10">
                  <c:v>2.7989188887578287E-4</c:v>
                </c:pt>
                <c:pt idx="11">
                  <c:v>1.039479920179609E-4</c:v>
                </c:pt>
                <c:pt idx="12">
                  <c:v>4.7836170443460446E-5</c:v>
                </c:pt>
                <c:pt idx="13">
                  <c:v>2.0779679395177553E-5</c:v>
                </c:pt>
                <c:pt idx="14">
                  <c:v>5.1430601439861334E-6</c:v>
                </c:pt>
                <c:pt idx="15">
                  <c:v>2.3337579138082987E-6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493D-889F-63A2DE26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0.974404927903604</c:v>
                      </c:pt>
                      <c:pt idx="1">
                        <c:v>0.97010266324095695</c:v>
                      </c:pt>
                      <c:pt idx="2">
                        <c:v>0.96728490657789301</c:v>
                      </c:pt>
                      <c:pt idx="3">
                        <c:v>0.965288507425616</c:v>
                      </c:pt>
                      <c:pt idx="4">
                        <c:v>0.96380221330416704</c:v>
                      </c:pt>
                      <c:pt idx="5">
                        <c:v>0.96098075734604804</c:v>
                      </c:pt>
                      <c:pt idx="6">
                        <c:v>0.95744500537347199</c:v>
                      </c:pt>
                      <c:pt idx="7">
                        <c:v>0.95525590668065297</c:v>
                      </c:pt>
                      <c:pt idx="8">
                        <c:v>0.95475244476047105</c:v>
                      </c:pt>
                      <c:pt idx="9">
                        <c:v>0.95459795142209902</c:v>
                      </c:pt>
                      <c:pt idx="10">
                        <c:v>0.95431585063211299</c:v>
                      </c:pt>
                      <c:pt idx="11">
                        <c:v>0.95414799156491104</c:v>
                      </c:pt>
                      <c:pt idx="12">
                        <c:v>0.95409445814774396</c:v>
                      </c:pt>
                      <c:pt idx="13">
                        <c:v>0.95406864493438304</c:v>
                      </c:pt>
                      <c:pt idx="14">
                        <c:v>0.95405372683623602</c:v>
                      </c:pt>
                      <c:pt idx="15">
                        <c:v>0.95405104662475804</c:v>
                      </c:pt>
                      <c:pt idx="16">
                        <c:v>0.95404882010577396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4A5-493D-889F-63A2DE261B4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5</xdr:row>
      <xdr:rowOff>3810</xdr:rowOff>
    </xdr:from>
    <xdr:to>
      <xdr:col>13</xdr:col>
      <xdr:colOff>316230</xdr:colOff>
      <xdr:row>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96A48-0646-8F77-9F19-D7634BC6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20</xdr:row>
      <xdr:rowOff>19050</xdr:rowOff>
    </xdr:from>
    <xdr:to>
      <xdr:col>13</xdr:col>
      <xdr:colOff>312420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9775B-81B9-C4B2-6804-9C3A5270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D22FA-703E-47EE-8EE8-5A0B98AB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42</xdr:row>
      <xdr:rowOff>85725</xdr:rowOff>
    </xdr:from>
    <xdr:to>
      <xdr:col>19</xdr:col>
      <xdr:colOff>85725</xdr:colOff>
      <xdr:row>56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5F5A1-CE4C-4380-95E8-2BE57C85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3E23F-399D-4A73-8264-5350C339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FC1F-9132-491D-9F00-E7248139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421005</xdr:colOff>
      <xdr:row>42</xdr:row>
      <xdr:rowOff>78105</xdr:rowOff>
    </xdr:from>
    <xdr:to>
      <xdr:col>19</xdr:col>
      <xdr:colOff>116205</xdr:colOff>
      <xdr:row>56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00E89-65D2-4A46-88D8-D9FF87E16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9A39C-3102-472A-AAE0-B5B66E156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6396A-9DCC-BBEA-B368-9283980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253365</xdr:colOff>
      <xdr:row>43</xdr:row>
      <xdr:rowOff>47625</xdr:rowOff>
    </xdr:from>
    <xdr:to>
      <xdr:col>18</xdr:col>
      <xdr:colOff>558165</xdr:colOff>
      <xdr:row>57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1CE1F-BADE-0AC0-C1C8-8F31F34C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CAFF9-574C-5893-8BF6-6E986B509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D263D-AB7E-4D55-868F-C7019630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44</xdr:row>
      <xdr:rowOff>116205</xdr:rowOff>
    </xdr:from>
    <xdr:to>
      <xdr:col>18</xdr:col>
      <xdr:colOff>565785</xdr:colOff>
      <xdr:row>59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11722-8314-4705-A09C-989F72785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C4CC6-B18C-4947-867C-CC6A55FF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E4B63-0A8E-4595-AE40-AF080643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146685</xdr:rowOff>
    </xdr:from>
    <xdr:to>
      <xdr:col>18</xdr:col>
      <xdr:colOff>565785</xdr:colOff>
      <xdr:row>57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E94DB-92EF-4535-BFA5-15CE76A5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7B393-0054-434F-B964-48AA70B7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5D94F-CBA1-45BB-8B84-5E6360147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44</xdr:row>
      <xdr:rowOff>32385</xdr:rowOff>
    </xdr:from>
    <xdr:to>
      <xdr:col>19</xdr:col>
      <xdr:colOff>85725</xdr:colOff>
      <xdr:row>58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0C597-DB29-45F7-ADA9-50391B3E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577215</xdr:colOff>
      <xdr:row>58</xdr:row>
      <xdr:rowOff>140970</xdr:rowOff>
    </xdr:from>
    <xdr:to>
      <xdr:col>15</xdr:col>
      <xdr:colOff>272415</xdr:colOff>
      <xdr:row>73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B31F0-57A1-4357-95A5-4FE0BC94F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D2FD5-258F-402A-9414-653BC7B95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253365</xdr:colOff>
      <xdr:row>43</xdr:row>
      <xdr:rowOff>139065</xdr:rowOff>
    </xdr:from>
    <xdr:to>
      <xdr:col>18</xdr:col>
      <xdr:colOff>558165</xdr:colOff>
      <xdr:row>58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793A-9A70-40EC-BF39-CC47E578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47C17-88FC-4F81-843A-0A43F50A9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A445A-7826-4810-BBDE-DBD8FDF01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43</xdr:row>
      <xdr:rowOff>154305</xdr:rowOff>
    </xdr:from>
    <xdr:to>
      <xdr:col>18</xdr:col>
      <xdr:colOff>565785</xdr:colOff>
      <xdr:row>58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3E695-B5F5-48F4-AB2E-1892A57F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1EDFF-18A5-450D-ACF0-EFDFBF8A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3E58B-BB52-4086-9890-FC0248A1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43</xdr:row>
      <xdr:rowOff>161925</xdr:rowOff>
    </xdr:from>
    <xdr:to>
      <xdr:col>18</xdr:col>
      <xdr:colOff>565785</xdr:colOff>
      <xdr:row>58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A9765-BA5E-4608-9BFD-A98D9F96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74B2-D0A1-4013-AA5D-2B4DC0B6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38872-9848-443C-B75E-A72D050D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6762-3DC0-4D76-AECC-F4E9F604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BA5AF-1CFB-4F6D-BE4D-A7D13D5B0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FC4064-5D07-43E7-8DD0-87B0B80C3F39}" name="Table7" displayName="Table7" ref="A8:E19" totalsRowShown="0">
  <autoFilter ref="A8:E19" xr:uid="{ADFC4064-5D07-43E7-8DD0-87B0B80C3F39}"/>
  <sortState xmlns:xlrd2="http://schemas.microsoft.com/office/spreadsheetml/2017/richdata2" ref="A9:E19">
    <sortCondition ref="B8:B19"/>
  </sortState>
  <tableColumns count="5">
    <tableColumn id="1" xr3:uid="{576A4050-0440-4112-834B-899ECFBB7521}" name="Radionuclide"/>
    <tableColumn id="2" xr3:uid="{5A681DB3-04E2-48E3-B519-DE6458702404}" name="Ebeta max /keV"/>
    <tableColumn id="3" xr3:uid="{5D9BBB86-67C4-4C69-88BE-6A9E29839703}" name="nE"/>
    <tableColumn id="4" xr3:uid="{037B7EA4-21B1-46A5-A47E-7D6AC0B37CC1}" name="a"/>
    <tableColumn id="6" xr3:uid="{75DDBDA1-4ECA-4498-B803-E60F418F258D}" name="N" dataDxfId="153">
      <calculatedColumnFormula>C$28/(Table7[[#This Row],[Ebeta max /keV]]*D$6*D$6)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878017-A066-45A0-B283-ADB186531ECA}" name="Table210" displayName="Table210" ref="A39:J54" totalsRowShown="0">
  <autoFilter ref="A39:J54" xr:uid="{79374241-2754-472B-83B1-AA7C7BA7F07F}"/>
  <tableColumns count="10">
    <tableColumn id="1" xr3:uid="{51BF03BC-7102-4787-822D-624891E5B96C}" name="N"/>
    <tableColumn id="2" xr3:uid="{794663A0-0CF5-40F6-9BB9-1ADD9FBC1CC5}" name="eff_S" dataDxfId="128" dataCellStyle="Percent"/>
    <tableColumn id="3" xr3:uid="{7EAF2261-FBFC-4F3F-B144-CF596665F9DD}" name="u(eff_S)" dataDxfId="127" dataCellStyle="Percent"/>
    <tableColumn id="4" xr3:uid="{200C80E9-1C1E-4696-8E96-E226995B65B8}" name="eff_D" dataDxfId="126" dataCellStyle="Percent"/>
    <tableColumn id="5" xr3:uid="{E0A4E6D7-B3A3-4587-8607-3572E13134D5}" name="u(eff_D)" dataDxfId="125" dataCellStyle="Percent"/>
    <tableColumn id="6" xr3:uid="{DB239991-1E67-4665-A7D8-4B8436093149}" name="eff_T" dataDxfId="124" dataCellStyle="Percent"/>
    <tableColumn id="7" xr3:uid="{246BD0E8-BBF1-4BE7-995E-DEA98A039B68}" name="u(eff_T)" dataDxfId="123" dataCellStyle="Percent"/>
    <tableColumn id="8" xr3:uid="{C26F406B-A5F7-4CC3-9D9D-538711957605}" name="dev S" dataDxfId="122" dataCellStyle="Percent">
      <calculatedColumnFormula>Table210[[#This Row],[eff_S]]/O$39-1</calculatedColumnFormula>
    </tableColumn>
    <tableColumn id="9" xr3:uid="{46D1DA27-5FC2-4E35-B819-A4CB58B110DB}" name="dev D" dataDxfId="121" dataCellStyle="Percent">
      <calculatedColumnFormula>Table210[[#This Row],[eff_D]]/O$40-1</calculatedColumnFormula>
    </tableColumn>
    <tableColumn id="10" xr3:uid="{34A8DE5D-F74D-492A-A274-0B0C859471FB}" name="dev T" dataDxfId="120" dataCellStyle="Percent">
      <calculatedColumnFormula>Table210[[#This Row],[eff_T]]/O$41-1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DFC535-448A-49A6-B36F-FA39EF9D4B46}" name="Table24" displayName="Table24" ref="N38:Q42" totalsRowShown="0" headerRowDxfId="36" headerRowBorderDxfId="37" tableBorderDxfId="38">
  <autoFilter ref="N38:Q42" xr:uid="{00DFC535-448A-49A6-B36F-FA39EF9D4B46}"/>
  <tableColumns count="4">
    <tableColumn id="1" xr3:uid="{48691EE7-385D-41D9-A431-3224EDC22619}" name="eff"/>
    <tableColumn id="2" xr3:uid="{A485D795-B68F-48FB-87E6-90F260406E07}" name="TDCRPy"/>
    <tableColumn id="3" xr3:uid="{685A910D-3063-4AD2-AE30-AE1CE66B7D7E}" name="TDCR17 restults"/>
    <tableColumn id="4" xr3:uid="{03B750DA-8F04-4CAF-8945-A4CCC33307C5}" name="deviation" dataDxfId="9" dataCellStyle="Percent">
      <calculatedColumnFormula>O39/P39-1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08A51E-E2E4-450F-95D1-A89D89050834}" name="Table1911" displayName="Table1911" ref="A9:C29" totalsRowShown="0">
  <autoFilter ref="A9:C29" xr:uid="{51806141-2207-4491-9DDB-E62889288E1A}"/>
  <tableColumns count="3">
    <tableColumn id="1" xr3:uid="{563E9143-C40D-491C-8CDE-CDD733BA0224}" name="nE"/>
    <tableColumn id="2" xr3:uid="{D38D562E-4FD9-4C76-861F-73AAAD5BF9FB}" name="eff_D" dataDxfId="119" dataCellStyle="Percent"/>
    <tableColumn id="3" xr3:uid="{67A872D7-029C-4EF4-BA97-2F316E6BE26C}" name="Err" dataDxfId="118" dataCellStyle="Percent">
      <calculatedColumnFormula>Table1911[[#This Row],[eff_D]]/B$31-1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5779BD-DFBD-4796-9B07-0BC9384527A0}" name="Table21012" displayName="Table21012" ref="A39:J54" totalsRowShown="0">
  <autoFilter ref="A39:J54" xr:uid="{79374241-2754-472B-83B1-AA7C7BA7F07F}"/>
  <tableColumns count="10">
    <tableColumn id="1" xr3:uid="{A9014AD2-899B-4058-A4A3-29606A72E965}" name="N"/>
    <tableColumn id="2" xr3:uid="{14A8557E-096B-4047-8C5E-82CF741D7DA0}" name="eff_S" dataDxfId="117" dataCellStyle="Percent"/>
    <tableColumn id="3" xr3:uid="{E4F99B18-5058-4866-B452-11B5BA93448C}" name="u(eff_S)" dataDxfId="116" dataCellStyle="Percent"/>
    <tableColumn id="4" xr3:uid="{972C84D8-6145-45BB-9CB8-09DDDEF6F749}" name="eff_D" dataDxfId="115" dataCellStyle="Percent"/>
    <tableColumn id="5" xr3:uid="{74656AB6-739B-4B84-BBE1-28612DF52EB3}" name="u(eff_D)" dataDxfId="114" dataCellStyle="Percent"/>
    <tableColumn id="6" xr3:uid="{299AC151-A7A5-4A26-AF35-1E14B8D2C089}" name="eff_T" dataDxfId="113" dataCellStyle="Percent"/>
    <tableColumn id="7" xr3:uid="{A85EC1DF-19B6-4FD3-BCF8-3947658FC8C1}" name="u(eff_T)" dataDxfId="112" dataCellStyle="Percent"/>
    <tableColumn id="8" xr3:uid="{EE585CDD-9FD5-4F72-A395-021C91063976}" name="dev S" dataDxfId="111" dataCellStyle="Percent">
      <calculatedColumnFormula>Table21012[[#This Row],[eff_S]]/O$39-1</calculatedColumnFormula>
    </tableColumn>
    <tableColumn id="9" xr3:uid="{2AD29AB6-6602-40AA-8DBD-358273252597}" name="dev D" dataDxfId="110" dataCellStyle="Percent">
      <calculatedColumnFormula>Table21012[[#This Row],[eff_D]]/O$40-1</calculatedColumnFormula>
    </tableColumn>
    <tableColumn id="10" xr3:uid="{643C2947-320A-4EFB-9526-ED74A61FC3A6}" name="dev T" dataDxfId="109" dataCellStyle="Percent">
      <calculatedColumnFormula>Table21012[[#This Row],[eff_T]]/O$41-1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4B8DE9C-7929-47A0-9305-9713F0232905}" name="Table26" displayName="Table26" ref="N38:Q42" totalsRowShown="0" headerRowDxfId="33" headerRowBorderDxfId="34" tableBorderDxfId="35">
  <autoFilter ref="N38:Q42" xr:uid="{B4B8DE9C-7929-47A0-9305-9713F0232905}"/>
  <tableColumns count="4">
    <tableColumn id="1" xr3:uid="{B8FD4597-F95B-4C04-8473-71AB350A1702}" name="eff"/>
    <tableColumn id="2" xr3:uid="{D18F8D06-ECD7-4A68-AE5A-D12DC8DCCAE9}" name="TDCRPy"/>
    <tableColumn id="3" xr3:uid="{85C380F3-CDEF-4D29-A43A-6C93B832B92E}" name="TDCR17 restults"/>
    <tableColumn id="4" xr3:uid="{5E7F6760-8BDA-4D13-AD35-ECCDCEB3DD63}" name="deviation" dataDxfId="32" dataCellStyle="Percent">
      <calculatedColumnFormula>Table26[[#This Row],[TDCR17 restults]]/Table26[[#This Row],[TDCRPy]]-1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ECB449-2B36-4547-AB6F-3CED41CF11E2}" name="Table191119" displayName="Table191119" ref="A9:C29" totalsRowShown="0">
  <autoFilter ref="A9:C29" xr:uid="{51806141-2207-4491-9DDB-E62889288E1A}"/>
  <tableColumns count="3">
    <tableColumn id="1" xr3:uid="{B143C88F-A93D-4EB2-8D28-82F4FCF3E381}" name="nE"/>
    <tableColumn id="2" xr3:uid="{B8BE980F-F5C4-464D-985E-B505BDEB9BD6}" name="eff_D" dataDxfId="108" dataCellStyle="Percent"/>
    <tableColumn id="3" xr3:uid="{0F1E3A50-733C-46E2-AED5-F2645BC79937}" name="Err" dataDxfId="107" dataCellStyle="Percent">
      <calculatedColumnFormula>Table191119[[#This Row],[eff_D]]/B$31-1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51A3C3-2AF1-48CB-8674-DC81E73578E0}" name="Table2101220" displayName="Table2101220" ref="A39:J54" totalsRowShown="0">
  <autoFilter ref="A39:J54" xr:uid="{79374241-2754-472B-83B1-AA7C7BA7F07F}"/>
  <tableColumns count="10">
    <tableColumn id="1" xr3:uid="{DA121FD9-6089-478D-B5A4-CE6B019AE49D}" name="N"/>
    <tableColumn id="2" xr3:uid="{EAAF0919-D90A-4B82-98EB-13BF809A715D}" name="eff_S" dataDxfId="106" dataCellStyle="Percent"/>
    <tableColumn id="3" xr3:uid="{6B443066-C445-4FA8-A17C-C2649D54C420}" name="u(eff_S)" dataDxfId="105" dataCellStyle="Percent"/>
    <tableColumn id="4" xr3:uid="{B643CA3F-0C2B-4D5D-B312-7D228159BA2F}" name="eff_D" dataDxfId="104" dataCellStyle="Percent"/>
    <tableColumn id="5" xr3:uid="{6F4AE6F9-6D7C-46F0-ACFF-D79EEA8AE8C1}" name="u(eff_D)" dataDxfId="103" dataCellStyle="Percent"/>
    <tableColumn id="6" xr3:uid="{774CD7D3-1F50-48F0-8E86-1DB0E6387975}" name="eff_T" dataDxfId="102" dataCellStyle="Percent"/>
    <tableColumn id="7" xr3:uid="{D20565D3-95E5-463D-9EFE-BAB66A17D0E3}" name="u(eff_T)" dataDxfId="101" dataCellStyle="Percent"/>
    <tableColumn id="8" xr3:uid="{973EA219-1E2B-4A05-88A1-5EF9B79E18DD}" name="dev S" dataDxfId="100" dataCellStyle="Percent">
      <calculatedColumnFormula>Table2101220[[#This Row],[eff_S]]/O$39-1</calculatedColumnFormula>
    </tableColumn>
    <tableColumn id="9" xr3:uid="{2914B281-679C-4B8B-A0CE-E4AF4261BDD1}" name="dev D" dataDxfId="99" dataCellStyle="Percent">
      <calculatedColumnFormula>Table2101220[[#This Row],[eff_D]]/O$40-1</calculatedColumnFormula>
    </tableColumn>
    <tableColumn id="10" xr3:uid="{F262EDEA-07FA-4554-B2F0-BD82E6504571}" name="dev T" dataDxfId="98" dataCellStyle="Percent">
      <calculatedColumnFormula>Table2101220[[#This Row],[eff_T]]/O$41-1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DC4D008-C521-43A2-A86C-1F55A5ADFD53}" name="Table28" displayName="Table28" ref="N38:Q42" totalsRowShown="0" headerRowDxfId="29" headerRowBorderDxfId="30" tableBorderDxfId="31">
  <autoFilter ref="N38:Q42" xr:uid="{ADC4D008-C521-43A2-A86C-1F55A5ADFD53}"/>
  <tableColumns count="4">
    <tableColumn id="1" xr3:uid="{BD600A03-5A45-4B16-B6CB-77535FE228C8}" name="eff"/>
    <tableColumn id="2" xr3:uid="{AAD9108B-238C-4644-8885-D99E3F90FA3F}" name="TDCRPy"/>
    <tableColumn id="3" xr3:uid="{E16ADA3E-6A70-4B4B-9525-5EED454A822F}" name="TDCR17 restults"/>
    <tableColumn id="4" xr3:uid="{81B315CE-BD79-4634-9BC4-79EC0CEC81C4}" name="deviation" dataDxfId="8">
      <calculatedColumnFormula>O39/P39-1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CA5512-68E3-4583-9578-C12024AC86FE}" name="Table16" displayName="Table16" ref="A9:C29" totalsRowShown="0">
  <autoFilter ref="A9:C29" xr:uid="{51806141-2207-4491-9DDB-E62889288E1A}"/>
  <tableColumns count="3">
    <tableColumn id="1" xr3:uid="{640F30B3-C89F-45FD-8947-28DE002E04FA}" name="nE"/>
    <tableColumn id="2" xr3:uid="{3E199B85-D47E-4926-9B64-228ABE0A9696}" name="eff_D" dataDxfId="97" dataCellStyle="Percent"/>
    <tableColumn id="3" xr3:uid="{B96D3C0E-B75F-4BB0-B4FF-539313569DA5}" name="Err" dataDxfId="96" dataCellStyle="Percent">
      <calculatedColumnFormula>Table16[[#This Row],[eff_D]]/B$31-1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2274AF-A8A0-4677-8238-0B08519CB6B4}" name="Table27" displayName="Table27" ref="A39:J54" totalsRowShown="0">
  <autoFilter ref="A39:J54" xr:uid="{79374241-2754-472B-83B1-AA7C7BA7F07F}"/>
  <tableColumns count="10">
    <tableColumn id="1" xr3:uid="{923F9991-C22A-4E5A-835E-50A6D1DB66F4}" name="N"/>
    <tableColumn id="2" xr3:uid="{ECDFD2EA-5F64-4A45-B848-FA303535DF60}" name="eff_S" dataDxfId="95" dataCellStyle="Percent"/>
    <tableColumn id="3" xr3:uid="{7A58F1CC-4036-4C54-B0B4-6CFA2B4E713C}" name="u(eff_S)" dataDxfId="94" dataCellStyle="Percent"/>
    <tableColumn id="4" xr3:uid="{F9098845-64C7-4591-9890-5082AD84069B}" name="eff_D" dataDxfId="93" dataCellStyle="Percent"/>
    <tableColumn id="5" xr3:uid="{D0ED4C0E-D408-4D65-B213-738ED446C5E1}" name="u(eff_D)" dataDxfId="92" dataCellStyle="Percent"/>
    <tableColumn id="6" xr3:uid="{CB11F5EF-22C0-42E3-A140-4E7B886AF7D5}" name="eff_T" dataDxfId="91" dataCellStyle="Percent"/>
    <tableColumn id="7" xr3:uid="{1E3009BE-9C3D-41B6-B8C6-858F6EDB4B75}" name="u(eff_T)" dataDxfId="90" dataCellStyle="Percent"/>
    <tableColumn id="8" xr3:uid="{71DF4C73-3362-4A14-93AF-35153585A0A7}" name="dev S" dataDxfId="89" dataCellStyle="Percent">
      <calculatedColumnFormula>Table27[[#This Row],[eff_S]]/O$39-1</calculatedColumnFormula>
    </tableColumn>
    <tableColumn id="9" xr3:uid="{45AFD4CC-048D-462E-8DE3-EE23ECF3BA9D}" name="dev D" dataDxfId="88" dataCellStyle="Percent">
      <calculatedColumnFormula>Table27[[#This Row],[eff_D]]/O$40-1</calculatedColumnFormula>
    </tableColumn>
    <tableColumn id="10" xr3:uid="{56982AD0-DF4A-4D5E-A11C-3907AE30A875}" name="dev T" dataDxfId="87" dataCellStyle="Percent">
      <calculatedColumnFormula>Table27[[#This Row],[eff_T]]/O$41-1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0B77FD5-3202-4E5D-83C4-CB6BBCEAECC8}" name="Table34" displayName="Table34" ref="A45:E55" totalsRowShown="0" tableBorderDxfId="12">
  <autoFilter ref="A45:E55" xr:uid="{C0B77FD5-3202-4E5D-83C4-CB6BBCEAECC8}"/>
  <tableColumns count="5">
    <tableColumn id="1" xr3:uid="{312CAB8E-D047-4438-B55D-910ADAA5620A}" name="Radionuclide" dataDxfId="11"/>
    <tableColumn id="2" xr3:uid="{FEAEC597-C5D4-4919-B7D4-949CAC088118}" name="Ebeta max /keV" dataDxfId="3"/>
    <tableColumn id="3" xr3:uid="{7A5FA811-8C0A-4B29-8E2A-160E2AEA07EA}" name="eff_D" dataDxfId="2" dataCellStyle="Percent">
      <calculatedColumnFormula>'Pu-241'!Q39</calculatedColumnFormula>
    </tableColumn>
    <tableColumn id="4" xr3:uid="{72D7ED92-977A-4A0F-8549-9D47373DA8FD}" name="eff_T" dataDxfId="1" dataCellStyle="Percent"/>
    <tableColumn id="5" xr3:uid="{5462D5CE-AB81-476E-A334-639062005AA6}" name="eff_T/eff_D" dataDxfId="0" dataCellStyle="Perc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B4DF0C-AE48-4F68-AFC5-5E996C1B7615}" name="Table29" displayName="Table29" ref="N38:Q42" totalsRowShown="0" headerRowDxfId="26" headerRowBorderDxfId="27" tableBorderDxfId="28">
  <autoFilter ref="N38:Q42" xr:uid="{F8B4DF0C-AE48-4F68-AFC5-5E996C1B7615}"/>
  <tableColumns count="4">
    <tableColumn id="1" xr3:uid="{4B9F0086-02F4-43FA-AF8C-6F09768D6EB9}" name="eff"/>
    <tableColumn id="2" xr3:uid="{B3C42272-4B84-4E8D-97D9-13BEB431DDB3}" name="TDCRPy"/>
    <tableColumn id="3" xr3:uid="{8DA2005E-E604-49EB-A631-653BE35B88AD}" name="TDCR17 restults"/>
    <tableColumn id="4" xr3:uid="{15FF0FAB-0611-4451-9130-53407974AAF2}" name="deviation" dataDxfId="7">
      <calculatedColumnFormula>O39/P39-1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FECB0F-1ECA-4C23-A303-4D374237F15B}" name="Table1613" displayName="Table1613" ref="A9:C29" totalsRowShown="0">
  <autoFilter ref="A9:C29" xr:uid="{51806141-2207-4491-9DDB-E62889288E1A}"/>
  <tableColumns count="3">
    <tableColumn id="1" xr3:uid="{93754908-AA3F-43B7-9C98-DCC1004308FC}" name="nE"/>
    <tableColumn id="2" xr3:uid="{2B2BEC11-52C0-4FF9-A254-E502AB61C524}" name="eff_D" dataDxfId="86" dataCellStyle="Percent"/>
    <tableColumn id="3" xr3:uid="{F52CC5E8-BC97-41B8-BCF4-C85166C2B207}" name="Err" dataDxfId="85" dataCellStyle="Percent">
      <calculatedColumnFormula>Table1613[[#This Row],[eff_D]]/B$31-1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BA2E47-BC18-4732-AC90-210A177FDA90}" name="Table2714" displayName="Table2714" ref="A39:J54" totalsRowShown="0">
  <autoFilter ref="A39:J54" xr:uid="{79374241-2754-472B-83B1-AA7C7BA7F07F}"/>
  <tableColumns count="10">
    <tableColumn id="1" xr3:uid="{65C6E0C9-CB11-4607-911B-4EF613CE5D03}" name="N"/>
    <tableColumn id="2" xr3:uid="{9E9A0C63-A8FE-423E-BC53-AEE3B65B06C1}" name="eff_S" dataDxfId="84" dataCellStyle="Percent"/>
    <tableColumn id="3" xr3:uid="{C593E7CC-C6BC-4240-9C7C-FDA3B2199D64}" name="u(eff_S)" dataDxfId="83" dataCellStyle="Percent"/>
    <tableColumn id="4" xr3:uid="{213E72E4-4E8C-4AB1-9564-22B00DDCFF71}" name="eff_D" dataDxfId="82" dataCellStyle="Percent"/>
    <tableColumn id="5" xr3:uid="{9A8EF978-C0F4-42C9-B8F2-66CC2154A9E0}" name="u(eff_D)" dataDxfId="81" dataCellStyle="Percent"/>
    <tableColumn id="6" xr3:uid="{E1957223-DF5C-414A-95A8-8E0DF6D709E8}" name="eff_T" dataDxfId="80" dataCellStyle="Percent"/>
    <tableColumn id="7" xr3:uid="{D4DDD34C-591F-49BC-A9C6-4AC3EE4CEA8B}" name="u(eff_T)" dataDxfId="79" dataCellStyle="Percent"/>
    <tableColumn id="8" xr3:uid="{6C2DB00A-193B-4E88-A6AE-03B15EC750B4}" name="dev S" dataDxfId="78" dataCellStyle="Percent">
      <calculatedColumnFormula>Table2714[[#This Row],[eff_S]]/O$39-1</calculatedColumnFormula>
    </tableColumn>
    <tableColumn id="9" xr3:uid="{0BDB36EB-455D-4396-9CF1-0CE8F531FE33}" name="dev D" dataDxfId="77" dataCellStyle="Percent">
      <calculatedColumnFormula>Table2714[[#This Row],[eff_D]]/O$40-1</calculatedColumnFormula>
    </tableColumn>
    <tableColumn id="10" xr3:uid="{2CBEE8E3-AF0E-4148-897E-54EAD6AD2DC5}" name="dev T" dataDxfId="76" dataCellStyle="Percent">
      <calculatedColumnFormula>Table2714[[#This Row],[eff_T]]/O$41-1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8D97E1-D96A-430A-B8DD-0598B528C3A3}" name="Table30" displayName="Table30" ref="N38:Q42" totalsRowShown="0" headerRowDxfId="23" headerRowBorderDxfId="24" tableBorderDxfId="25">
  <autoFilter ref="N38:Q42" xr:uid="{E88D97E1-D96A-430A-B8DD-0598B528C3A3}"/>
  <tableColumns count="4">
    <tableColumn id="1" xr3:uid="{9D55DF6D-0557-4481-9AC8-CCBDA6887019}" name="eff"/>
    <tableColumn id="2" xr3:uid="{52F9D9CA-6B98-4130-93BE-61E2E3570A71}" name="TDCRPy"/>
    <tableColumn id="3" xr3:uid="{7BF1FFB4-2A99-4F02-9E35-35B22EF3D96C}" name="TDCR17 restults"/>
    <tableColumn id="4" xr3:uid="{1EA67CDC-B094-4255-9A54-B193A5428087}" name="deviation" dataDxfId="22" dataCellStyle="Percent">
      <calculatedColumnFormula>Table30[[#This Row],[TDCR17 restults]]/Table30[[#This Row],[TDCRPy]]-1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E40404-E437-4A0C-9977-DF75E3DC297C}" name="Table161317" displayName="Table161317" ref="A9:C29" totalsRowShown="0">
  <autoFilter ref="A9:C29" xr:uid="{51806141-2207-4491-9DDB-E62889288E1A}"/>
  <tableColumns count="3">
    <tableColumn id="1" xr3:uid="{65E3D7F6-1459-4E4C-9125-0938071A7234}" name="nE"/>
    <tableColumn id="2" xr3:uid="{BC5EB6B8-734B-48B5-89D7-F3BEB7A0E262}" name="eff_D" dataDxfId="75" dataCellStyle="Percent"/>
    <tableColumn id="3" xr3:uid="{9D7326F5-EB11-45FD-992D-8E7A7A7844A8}" name="Err" dataDxfId="74" dataCellStyle="Percent">
      <calculatedColumnFormula>Table161317[[#This Row],[eff_D]]/B$31-1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DA4B9B-B51D-4FA5-BB4C-4DE2A263E807}" name="Table271418" displayName="Table271418" ref="A39:J54" totalsRowShown="0">
  <autoFilter ref="A39:J54" xr:uid="{79374241-2754-472B-83B1-AA7C7BA7F07F}"/>
  <tableColumns count="10">
    <tableColumn id="1" xr3:uid="{08702903-5C2C-41F9-939A-4898CA2A6406}" name="N"/>
    <tableColumn id="2" xr3:uid="{A54E11BA-516F-43EA-A95B-BA8CBA8AF592}" name="eff_S" dataDxfId="73" dataCellStyle="Percent"/>
    <tableColumn id="3" xr3:uid="{4C33399C-B17F-4011-ACD0-354A35B276EF}" name="u(eff_S)" dataDxfId="72" dataCellStyle="Percent"/>
    <tableColumn id="4" xr3:uid="{497DD481-06F1-4308-9EF2-315339FEF30E}" name="eff_D" dataDxfId="71" dataCellStyle="Percent"/>
    <tableColumn id="5" xr3:uid="{E2F594EB-E158-4DB9-BF61-424C70FB66B3}" name="u(eff_D)" dataDxfId="70" dataCellStyle="Percent"/>
    <tableColumn id="6" xr3:uid="{12D0DE45-FD83-4650-9712-517D72F18AFC}" name="eff_T" dataDxfId="69" dataCellStyle="Percent"/>
    <tableColumn id="7" xr3:uid="{65DAB206-3193-4AAE-8F49-C88E484193D9}" name="u(eff_T)" dataDxfId="68" dataCellStyle="Percent"/>
    <tableColumn id="8" xr3:uid="{413A0BA3-B598-472C-906A-94AC3CC50F95}" name="dev S" dataDxfId="67" dataCellStyle="Percent">
      <calculatedColumnFormula>Table271418[[#This Row],[eff_S]]/O$39-1</calculatedColumnFormula>
    </tableColumn>
    <tableColumn id="9" xr3:uid="{7AE92807-9AB1-43D3-96BB-C45786544FAD}" name="dev D" dataDxfId="66" dataCellStyle="Percent">
      <calculatedColumnFormula>Table271418[[#This Row],[eff_D]]/O$40-1</calculatedColumnFormula>
    </tableColumn>
    <tableColumn id="10" xr3:uid="{0CB8F788-1506-47A7-A0D5-0F286873D009}" name="dev T" dataDxfId="65" dataCellStyle="Percent">
      <calculatedColumnFormula>Table271418[[#This Row],[eff_T]]/O$41-1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08CC8CB-B154-4F2C-9E8E-338F54340690}" name="Table31" displayName="Table31" ref="N38:Q42" totalsRowShown="0" headerRowDxfId="19" headerRowBorderDxfId="20" tableBorderDxfId="21">
  <autoFilter ref="N38:Q42" xr:uid="{408CC8CB-B154-4F2C-9E8E-338F54340690}"/>
  <tableColumns count="4">
    <tableColumn id="1" xr3:uid="{34C07CB4-E097-4B9F-AC81-23B4B23871CD}" name="eff"/>
    <tableColumn id="2" xr3:uid="{59F10E5B-399B-4743-B962-12E91E6C5904}" name="TDCRPy"/>
    <tableColumn id="3" xr3:uid="{5C524BB4-E73D-464A-B338-C2C8A24E945D}" name="TDCR17 restults"/>
    <tableColumn id="4" xr3:uid="{63B1DD31-804F-440D-A464-5899EA6CAA45}" name="deviation" dataDxfId="6">
      <calculatedColumnFormula>O39/P39-1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E24EC-8B40-4DE0-87D3-4B5B9E9D5C54}" name="Table14" displayName="Table14" ref="A9:C29" totalsRowShown="0">
  <autoFilter ref="A9:C29" xr:uid="{51806141-2207-4491-9DDB-E62889288E1A}"/>
  <tableColumns count="3">
    <tableColumn id="1" xr3:uid="{2C61CE2C-CC86-440E-99B7-95775458C89A}" name="nE"/>
    <tableColumn id="2" xr3:uid="{7BE0ED99-EE50-402D-8CB6-3A9DE5B5BC35}" name="eff_D" dataDxfId="64" dataCellStyle="Percent"/>
    <tableColumn id="3" xr3:uid="{9E21D37A-34BA-4145-9E35-5348CF0C4423}" name="Err" dataDxfId="63" dataCellStyle="Percent">
      <calculatedColumnFormula>Table14[[#This Row],[eff_D]]/B$31-1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7CBED4-D20B-4357-B0F3-01353C8D4A99}" name="Table25" displayName="Table25" ref="A39:J54" totalsRowShown="0">
  <autoFilter ref="A39:J54" xr:uid="{79374241-2754-472B-83B1-AA7C7BA7F07F}"/>
  <tableColumns count="10">
    <tableColumn id="1" xr3:uid="{0B8B7787-2C90-4E8D-9EDA-79C544739217}" name="N"/>
    <tableColumn id="2" xr3:uid="{9049DE05-8AA7-43B8-B4D5-5D15FBD1E12B}" name="eff_S" dataDxfId="62" dataCellStyle="Percent"/>
    <tableColumn id="3" xr3:uid="{8F8F5D93-E9BD-4F75-8026-71D7CBCAC3ED}" name="u(eff_S)" dataDxfId="61" dataCellStyle="Percent"/>
    <tableColumn id="4" xr3:uid="{D725644B-54B0-496B-AF48-F2E0610A9014}" name="eff_D" dataDxfId="60" dataCellStyle="Percent"/>
    <tableColumn id="5" xr3:uid="{DFA7B8CD-8D6C-48F5-8718-BD20CDFC8B6D}" name="u(eff_D)" dataDxfId="59" dataCellStyle="Percent"/>
    <tableColumn id="6" xr3:uid="{76553A55-E668-4843-B86C-321E5B79770F}" name="eff_T" dataDxfId="58" dataCellStyle="Percent"/>
    <tableColumn id="7" xr3:uid="{DAAF60AC-36CF-450F-B144-34D1BCE8DE85}" name="u(eff_T)" dataDxfId="57" dataCellStyle="Percent"/>
    <tableColumn id="8" xr3:uid="{5E3D5F01-DF7D-4B85-8E66-94FDD3C450DC}" name="dev S" dataDxfId="56" dataCellStyle="Percent">
      <calculatedColumnFormula>Table25[[#This Row],[eff_S]]/O$39-1</calculatedColumnFormula>
    </tableColumn>
    <tableColumn id="9" xr3:uid="{E4851D60-2011-4C92-BBA1-51225C2EDB9E}" name="dev D" dataDxfId="55" dataCellStyle="Percent">
      <calculatedColumnFormula>Table25[[#This Row],[eff_D]]/O$40-1</calculatedColumnFormula>
    </tableColumn>
    <tableColumn id="10" xr3:uid="{708AF7BA-B84C-4B4C-BD9B-3375044BD72F}" name="dev T" dataDxfId="54" dataCellStyle="Percent">
      <calculatedColumnFormula>Table25[[#This Row],[eff_T]]/O$41-1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794CE9C-13A6-4193-B8CD-CDF36E714CCA}" name="Table32" displayName="Table32" ref="N38:Q42" totalsRowShown="0" headerRowDxfId="16" headerRowBorderDxfId="17" tableBorderDxfId="18">
  <autoFilter ref="N38:Q42" xr:uid="{0794CE9C-13A6-4193-B8CD-CDF36E714CCA}"/>
  <tableColumns count="4">
    <tableColumn id="1" xr3:uid="{B1749A83-7A79-4A82-B2B5-490F0B30A6C9}" name="eff"/>
    <tableColumn id="2" xr3:uid="{7239BF34-EC2B-4DAE-A966-B8A55AF25EF6}" name="TDCRPy"/>
    <tableColumn id="3" xr3:uid="{B1F94FEA-3A68-42C5-8C03-ABBB75F94C73}" name="TDCR17 restults"/>
    <tableColumn id="4" xr3:uid="{FB7CF972-5B63-4DD9-98C7-01FA7ECA856D}" name="deviation" dataDxfId="5">
      <calculatedColumnFormula>O39/P39-1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06141-2207-4491-9DDB-E62889288E1A}" name="Table1" displayName="Table1" ref="A9:C29" totalsRowShown="0">
  <autoFilter ref="A9:C29" xr:uid="{51806141-2207-4491-9DDB-E62889288E1A}"/>
  <tableColumns count="3">
    <tableColumn id="1" xr3:uid="{117FD82F-F3B4-4F2F-95D7-04708AC55781}" name="nE"/>
    <tableColumn id="2" xr3:uid="{A1FB8066-C9F8-4F72-A52D-EDEAF77E5865}" name="eff_D" dataDxfId="152" dataCellStyle="Percent"/>
    <tableColumn id="3" xr3:uid="{D676226C-2B9D-463A-9153-E6F7FEE7693E}" name="Err" dataDxfId="151" dataCellStyle="Percent">
      <calculatedColumnFormula>Table1[[#This Row],[eff_D]]/B$31-1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00D524-543B-4037-A6CE-BBF9C9FCA517}" name="Table161315" displayName="Table161315" ref="A9:C29" totalsRowShown="0">
  <autoFilter ref="A9:C29" xr:uid="{51806141-2207-4491-9DDB-E62889288E1A}"/>
  <tableColumns count="3">
    <tableColumn id="1" xr3:uid="{AD413286-7341-43EC-9E6E-E63312A60F86}" name="nE"/>
    <tableColumn id="2" xr3:uid="{EED7158E-0FA5-44C3-AC55-39BF5C88CACA}" name="eff_D" dataDxfId="53" dataCellStyle="Percent"/>
    <tableColumn id="3" xr3:uid="{F7884069-B78C-4955-87ED-36656EC67AA4}" name="Err" dataDxfId="52" dataCellStyle="Percent">
      <calculatedColumnFormula>Table161315[[#This Row],[eff_D]]/B$31-1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FDD37B-6E99-4963-BC9D-B7A29AB8250C}" name="Table271416" displayName="Table271416" ref="A39:J54" totalsRowShown="0">
  <autoFilter ref="A39:J54" xr:uid="{79374241-2754-472B-83B1-AA7C7BA7F07F}"/>
  <tableColumns count="10">
    <tableColumn id="1" xr3:uid="{C0A91274-BB44-4513-B150-896B01B1E40F}" name="N"/>
    <tableColumn id="2" xr3:uid="{B2B9D408-8FDB-4287-94EA-A3D72589A64B}" name="eff_S" dataDxfId="51" dataCellStyle="Percent"/>
    <tableColumn id="3" xr3:uid="{AAB46C82-9DDF-4032-A109-F81EABB71FD1}" name="u(eff_S)" dataDxfId="50" dataCellStyle="Percent"/>
    <tableColumn id="4" xr3:uid="{A2CF73D3-676B-42C8-8659-6C46DF5664B6}" name="eff_D" dataDxfId="49" dataCellStyle="Percent"/>
    <tableColumn id="5" xr3:uid="{413975AC-5E4E-4F57-9F2C-E5509694B62B}" name="u(eff_D)" dataDxfId="48" dataCellStyle="Percent"/>
    <tableColumn id="6" xr3:uid="{9A8116EC-92BB-4099-ABAA-84274E9D931E}" name="eff_T" dataDxfId="47" dataCellStyle="Percent"/>
    <tableColumn id="7" xr3:uid="{44E2FCEF-2E0A-40CE-942B-B03F5185C090}" name="u(eff_T)" dataDxfId="46" dataCellStyle="Percent"/>
    <tableColumn id="8" xr3:uid="{163A6FA3-683B-4FE8-BA4D-8968D35C3E01}" name="dev S" dataDxfId="45" dataCellStyle="Percent">
      <calculatedColumnFormula>Table271416[[#This Row],[eff_S]]/O$39-1</calculatedColumnFormula>
    </tableColumn>
    <tableColumn id="9" xr3:uid="{EF8B03B2-6611-4C0C-8F34-642F07897E9F}" name="dev D" dataDxfId="44" dataCellStyle="Percent">
      <calculatedColumnFormula>Table271416[[#This Row],[eff_D]]/O$40-1</calculatedColumnFormula>
    </tableColumn>
    <tableColumn id="10" xr3:uid="{1782229D-37C3-4248-B6C3-3E98963C5BCC}" name="dev T" dataDxfId="43" dataCellStyle="Percent">
      <calculatedColumnFormula>Table271416[[#This Row],[eff_T]]/O$41-1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61D939A-B9A9-4964-814E-C81E015DB8DA}" name="Table33" displayName="Table33" ref="N38:Q42" totalsRowShown="0" headerRowDxfId="13" headerRowBorderDxfId="14" tableBorderDxfId="15">
  <autoFilter ref="N38:Q42" xr:uid="{061D939A-B9A9-4964-814E-C81E015DB8DA}"/>
  <tableColumns count="4">
    <tableColumn id="1" xr3:uid="{C833AFD6-E50B-4648-AB4A-0F3F6292768A}" name="eff"/>
    <tableColumn id="2" xr3:uid="{D60DD809-CC0C-4400-B1B2-BF016E87D4D5}" name="TDCRPy"/>
    <tableColumn id="3" xr3:uid="{E4A13DD1-F647-49AA-9960-03C8A0B276C2}" name="TDCR17 restults"/>
    <tableColumn id="4" xr3:uid="{2A9B0527-3952-40BA-B4CC-D082969190CC}" name="deviation" dataDxfId="4">
      <calculatedColumnFormula>O39/P39-1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74241-2754-472B-83B1-AA7C7BA7F07F}" name="Table2" displayName="Table2" ref="A39:J54" totalsRowShown="0">
  <autoFilter ref="A39:J54" xr:uid="{79374241-2754-472B-83B1-AA7C7BA7F07F}"/>
  <tableColumns count="10">
    <tableColumn id="1" xr3:uid="{759A2DB1-E19A-470F-8CF8-523E63F6489E}" name="N"/>
    <tableColumn id="2" xr3:uid="{0917AB3B-FDF7-40D3-8A34-8D3BFEEB6236}" name="eff_S" dataDxfId="150" dataCellStyle="Percent"/>
    <tableColumn id="3" xr3:uid="{B4258BAD-7525-40C1-B705-4539D800037C}" name="u(eff_S)" dataDxfId="149" dataCellStyle="Percent"/>
    <tableColumn id="4" xr3:uid="{B42621D3-329C-4EBC-B58F-592F8F47128A}" name="eff_D" dataDxfId="148" dataCellStyle="Percent"/>
    <tableColumn id="5" xr3:uid="{B475A649-0E1C-4F85-9344-4A726DE2581C}" name="u(eff_D)" dataDxfId="147" dataCellStyle="Percent"/>
    <tableColumn id="6" xr3:uid="{C3197FF5-09F9-4AF3-90A6-EA8772066853}" name="eff_T" dataDxfId="146" dataCellStyle="Percent"/>
    <tableColumn id="7" xr3:uid="{A88072F2-375E-4CB0-803F-5C105665F6FC}" name="u(eff_T)" dataDxfId="145" dataCellStyle="Percent"/>
    <tableColumn id="8" xr3:uid="{78D8E14E-B63D-4174-914A-BC9B8727F0B4}" name="dev S" dataDxfId="144" dataCellStyle="Percent">
      <calculatedColumnFormula>Table2[[#This Row],[eff_S]]/O$39-1</calculatedColumnFormula>
    </tableColumn>
    <tableColumn id="9" xr3:uid="{42069BB6-F993-4F7C-A05B-C3B50F591A24}" name="dev D" dataDxfId="143" dataCellStyle="Percent">
      <calculatedColumnFormula>Table2[[#This Row],[eff_D]]/O$40-1</calculatedColumnFormula>
    </tableColumn>
    <tableColumn id="10" xr3:uid="{4AED0225-16F2-4D48-AF21-803328847EF4}" name="dev T" dataDxfId="142" dataCellStyle="Percent">
      <calculatedColumnFormula>Table2[[#This Row],[eff_T]]/O$41-1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A4109B1-ADDF-43A4-85C6-0330CCD53E8F}" name="Table22" displayName="Table22" ref="N38:Q42" totalsRowShown="0">
  <autoFilter ref="N38:Q42" xr:uid="{4A4109B1-ADDF-43A4-85C6-0330CCD53E8F}"/>
  <tableColumns count="4">
    <tableColumn id="1" xr3:uid="{1484344D-B8F3-49BA-A2D1-0E86E7450B2F}" name="eff"/>
    <tableColumn id="2" xr3:uid="{C853A823-DEC2-47CC-AF8B-F15C5E1A5A9E}" name="TDCRPy"/>
    <tableColumn id="3" xr3:uid="{F4DB0F43-35F3-42E3-B529-4429E5D0E032}" name="TDCR17 restults"/>
    <tableColumn id="4" xr3:uid="{0CC4F4DC-B6A1-43F5-B780-34BD984F26B8}" name="deviation" dataDxfId="42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AF94674-C94D-4604-B6C1-50412263EF1F}" name="Table1921" displayName="Table1921" ref="A9:C29" totalsRowShown="0">
  <autoFilter ref="A9:C29" xr:uid="{51806141-2207-4491-9DDB-E62889288E1A}"/>
  <tableColumns count="3">
    <tableColumn id="1" xr3:uid="{06F78662-CA2A-432D-B3C1-2F3FFED57E1A}" name="nE"/>
    <tableColumn id="2" xr3:uid="{DCA739C6-0359-4F81-9E4E-E9CCB6A38B4E}" name="eff_D" dataDxfId="141" dataCellStyle="Percent"/>
    <tableColumn id="3" xr3:uid="{32982A30-1D65-49A3-9DE5-4B99AE05F2F6}" name="Err" dataDxfId="140" dataCellStyle="Percent">
      <calculatedColumnFormula>Table1921[[#This Row],[eff_D]]/B$31-1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1CD0589-DABA-48FA-9084-BB14CD8D2288}" name="Table21022" displayName="Table21022" ref="A39:J54" totalsRowShown="0">
  <autoFilter ref="A39:J54" xr:uid="{79374241-2754-472B-83B1-AA7C7BA7F07F}"/>
  <tableColumns count="10">
    <tableColumn id="1" xr3:uid="{FA1A8BD1-9CB2-4E12-B4D9-2F162B7F1387}" name="N"/>
    <tableColumn id="2" xr3:uid="{3372F409-922E-405D-A4E6-71152319F8FB}" name="eff_S" dataDxfId="139" dataCellStyle="Percent"/>
    <tableColumn id="3" xr3:uid="{BF757C5C-99BD-41FB-94DE-7065E828D98C}" name="u(eff_S)" dataDxfId="138" dataCellStyle="Percent"/>
    <tableColumn id="4" xr3:uid="{9D1C4C34-A38C-4A36-A9F4-C4CD14AA0185}" name="eff_D" dataDxfId="137" dataCellStyle="Percent"/>
    <tableColumn id="5" xr3:uid="{30ED3A6D-DBF1-4096-9F9C-D9AFB857697F}" name="u(eff_D)" dataDxfId="136" dataCellStyle="Percent"/>
    <tableColumn id="6" xr3:uid="{D123B4E6-22DD-4DCD-BEBE-E86948DAF352}" name="eff_T" dataDxfId="135" dataCellStyle="Percent"/>
    <tableColumn id="7" xr3:uid="{13ECB8E2-9D91-4C4F-9510-98D276B89670}" name="u(eff_T)" dataDxfId="134" dataCellStyle="Percent"/>
    <tableColumn id="8" xr3:uid="{5D78A236-AA8D-4104-9060-B2DBC7682B4F}" name="dev S" dataDxfId="133" dataCellStyle="Percent">
      <calculatedColumnFormula>Table21022[[#This Row],[eff_S]]/O$39-1</calculatedColumnFormula>
    </tableColumn>
    <tableColumn id="9" xr3:uid="{2230743F-76E5-473E-A513-CBF07138BA4C}" name="dev D" dataDxfId="132" dataCellStyle="Percent">
      <calculatedColumnFormula>Table21022[[#This Row],[eff_D]]/O$40-1</calculatedColumnFormula>
    </tableColumn>
    <tableColumn id="10" xr3:uid="{5B61D63E-06B4-4B85-A566-AEB52FBD6DA3}" name="dev T" dataDxfId="131" dataCellStyle="Percent">
      <calculatedColumnFormula>Table21022[[#This Row],[eff_T]]/O$41-1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CC260C-E469-41B9-A4CC-CB4DC8BF2F27}" name="Table23" displayName="Table23" ref="N38:Q42" totalsRowShown="0" headerRowDxfId="39" headerRowBorderDxfId="40" tableBorderDxfId="41">
  <autoFilter ref="N38:Q42" xr:uid="{D4CC260C-E469-41B9-A4CC-CB4DC8BF2F27}"/>
  <tableColumns count="4">
    <tableColumn id="1" xr3:uid="{E8163F1C-13C5-400D-AE77-717644D0D74F}" name="eff"/>
    <tableColumn id="2" xr3:uid="{B7B856B0-2894-44E5-B491-7D51D35C4BF5}" name="TDCRPy"/>
    <tableColumn id="3" xr3:uid="{E234671D-B257-4A73-BB03-4E18C8FA024E}" name="TDCR17 restults"/>
    <tableColumn id="4" xr3:uid="{D1E64DF4-F78F-4D88-A048-3FCA5526533C}" name="deviation" dataDxfId="10" dataCellStyle="Percent">
      <calculatedColumnFormula>O39/P39-1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03001-C5B0-4C12-AB51-2ECE4C6C6CF0}" name="Table19" displayName="Table19" ref="A9:C29" totalsRowShown="0">
  <autoFilter ref="A9:C29" xr:uid="{51806141-2207-4491-9DDB-E62889288E1A}"/>
  <tableColumns count="3">
    <tableColumn id="1" xr3:uid="{C70D18D3-AAF7-45EF-B524-6FA736D304F4}" name="nE"/>
    <tableColumn id="2" xr3:uid="{B1D98615-2139-4F09-B526-F555CB77D899}" name="eff_D" dataDxfId="130" dataCellStyle="Percent"/>
    <tableColumn id="3" xr3:uid="{90114868-F18E-4499-BB24-98B0E5684C49}" name="Err" dataDxfId="129" dataCellStyle="Percent">
      <calculatedColumnFormula>Table19[[#This Row],[eff_D]]/B$31-1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CE37-D3FF-4959-B6DE-2C7F2C1CEF5B}">
  <dimension ref="A4:E55"/>
  <sheetViews>
    <sheetView tabSelected="1" topLeftCell="A33" workbookViewId="0">
      <selection activeCell="E41" sqref="E41"/>
    </sheetView>
  </sheetViews>
  <sheetFormatPr defaultRowHeight="14.4" x14ac:dyDescent="0.3"/>
  <cols>
    <col min="1" max="1" width="16.109375" customWidth="1"/>
    <col min="2" max="2" width="16.88671875" customWidth="1"/>
    <col min="5" max="5" width="12.6640625" customWidth="1"/>
  </cols>
  <sheetData>
    <row r="4" spans="1:5" ht="18" x14ac:dyDescent="0.35">
      <c r="A4" s="11" t="s">
        <v>26</v>
      </c>
    </row>
    <row r="6" spans="1:5" ht="15.6" x14ac:dyDescent="0.3">
      <c r="A6" s="10" t="s">
        <v>43</v>
      </c>
      <c r="B6" s="10"/>
      <c r="C6" s="10"/>
      <c r="D6" s="25">
        <v>5.0000000000000001E-4</v>
      </c>
    </row>
    <row r="8" spans="1:5" x14ac:dyDescent="0.3">
      <c r="A8" t="s">
        <v>28</v>
      </c>
      <c r="B8" t="s">
        <v>27</v>
      </c>
      <c r="C8" t="s">
        <v>2</v>
      </c>
      <c r="D8" t="s">
        <v>37</v>
      </c>
      <c r="E8" t="s">
        <v>9</v>
      </c>
    </row>
    <row r="9" spans="1:5" x14ac:dyDescent="0.3">
      <c r="A9" t="s">
        <v>21</v>
      </c>
      <c r="B9">
        <v>18.591000000000001</v>
      </c>
      <c r="C9">
        <v>7000</v>
      </c>
      <c r="D9">
        <v>0.30299999999999999</v>
      </c>
      <c r="E9" s="26">
        <f>C$28/(Table7[[#This Row],[Ebeta max /keV]]*D$6*D$6)</f>
        <v>380592.75993760425</v>
      </c>
    </row>
    <row r="10" spans="1:5" x14ac:dyDescent="0.3">
      <c r="A10" t="s">
        <v>35</v>
      </c>
      <c r="B10">
        <v>20.8</v>
      </c>
      <c r="C10">
        <v>7000</v>
      </c>
      <c r="D10">
        <v>0.33700000000000002</v>
      </c>
      <c r="E10" s="26">
        <f>C$28/(Table7[[#This Row],[Ebeta max /keV]]*D$6*D$6)</f>
        <v>340173.07692307688</v>
      </c>
    </row>
    <row r="11" spans="1:5" x14ac:dyDescent="0.3">
      <c r="A11" t="s">
        <v>25</v>
      </c>
      <c r="B11">
        <v>66.98</v>
      </c>
      <c r="C11">
        <v>2000</v>
      </c>
      <c r="D11">
        <v>0.315</v>
      </c>
      <c r="E11" s="26">
        <f>C$28/(Table7[[#This Row],[Ebeta max /keV]]*D$6*D$6)</f>
        <v>105637.50373245744</v>
      </c>
    </row>
    <row r="12" spans="1:5" x14ac:dyDescent="0.3">
      <c r="A12" t="s">
        <v>29</v>
      </c>
      <c r="B12">
        <v>156.476</v>
      </c>
      <c r="C12">
        <v>1000</v>
      </c>
      <c r="D12">
        <v>0.186</v>
      </c>
      <c r="E12" s="26">
        <f>C$28/(Table7[[#This Row],[Ebeta max /keV]]*D$6*D$6)</f>
        <v>45218.436054091362</v>
      </c>
    </row>
    <row r="13" spans="1:5" x14ac:dyDescent="0.3">
      <c r="A13" t="s">
        <v>30</v>
      </c>
      <c r="B13">
        <v>167.33</v>
      </c>
      <c r="C13">
        <v>1000</v>
      </c>
      <c r="D13">
        <v>0.20799999999999999</v>
      </c>
      <c r="E13" s="26">
        <f>C$28/(Table7[[#This Row],[Ebeta max /keV]]*D$6*D$6)</f>
        <v>42285.304488137212</v>
      </c>
    </row>
    <row r="14" spans="1:5" x14ac:dyDescent="0.3">
      <c r="A14" t="s">
        <v>34</v>
      </c>
      <c r="B14">
        <v>224.1</v>
      </c>
      <c r="C14">
        <v>1000</v>
      </c>
      <c r="D14">
        <v>0.16300000000000001</v>
      </c>
      <c r="E14" s="26">
        <f>C$28/(Table7[[#This Row],[Ebeta max /keV]]*D$6*D$6)</f>
        <v>31573.404730031238</v>
      </c>
    </row>
    <row r="15" spans="1:5" x14ac:dyDescent="0.3">
      <c r="A15" t="s">
        <v>31</v>
      </c>
      <c r="B15">
        <v>258</v>
      </c>
      <c r="C15">
        <v>500</v>
      </c>
      <c r="D15">
        <v>0.182</v>
      </c>
      <c r="E15" s="26">
        <f>C$28/(Table7[[#This Row],[Ebeta max /keV]]*D$6*D$6)</f>
        <v>27424.806201550386</v>
      </c>
    </row>
    <row r="16" spans="1:5" x14ac:dyDescent="0.3">
      <c r="A16" t="s">
        <v>33</v>
      </c>
      <c r="B16">
        <v>293.8</v>
      </c>
      <c r="C16">
        <v>500</v>
      </c>
      <c r="D16">
        <v>0.13600000000000001</v>
      </c>
      <c r="E16" s="26">
        <f>C$28/(Table7[[#This Row],[Ebeta max /keV]]*D$6*D$6)</f>
        <v>24083.049693669167</v>
      </c>
    </row>
    <row r="17" spans="1:5" x14ac:dyDescent="0.3">
      <c r="A17" t="s">
        <v>24</v>
      </c>
      <c r="B17">
        <v>545.9</v>
      </c>
      <c r="C17">
        <v>200</v>
      </c>
      <c r="D17">
        <v>0.106</v>
      </c>
      <c r="E17" s="26">
        <f>C$28/(Table7[[#This Row],[Ebeta max /keV]]*D$6*D$6)</f>
        <v>12961.348232276976</v>
      </c>
    </row>
    <row r="18" spans="1:5" x14ac:dyDescent="0.3">
      <c r="A18" t="s">
        <v>32</v>
      </c>
      <c r="B18">
        <v>1495.1</v>
      </c>
      <c r="C18">
        <v>50</v>
      </c>
      <c r="D18">
        <v>4.6699999999999998E-2</v>
      </c>
      <c r="E18" s="26">
        <f>C$28/(Table7[[#This Row],[Ebeta max /keV]]*D$6*D$6)</f>
        <v>4732.5262524245882</v>
      </c>
    </row>
    <row r="19" spans="1:5" x14ac:dyDescent="0.3">
      <c r="E19" s="24" t="e">
        <f>C$28/(Table7[[#This Row],[Ebeta max /keV]]*D$6*D$6)</f>
        <v>#DIV/0!</v>
      </c>
    </row>
    <row r="22" spans="1:5" x14ac:dyDescent="0.3">
      <c r="A22" t="s">
        <v>36</v>
      </c>
      <c r="C22" t="s">
        <v>41</v>
      </c>
    </row>
    <row r="24" spans="1:5" x14ac:dyDescent="0.3">
      <c r="A24" t="s">
        <v>38</v>
      </c>
    </row>
    <row r="25" spans="1:5" x14ac:dyDescent="0.3">
      <c r="A25" t="s">
        <v>39</v>
      </c>
    </row>
    <row r="26" spans="1:5" x14ac:dyDescent="0.3">
      <c r="A26" t="s">
        <v>40</v>
      </c>
    </row>
    <row r="28" spans="1:5" x14ac:dyDescent="0.3">
      <c r="A28" t="s">
        <v>42</v>
      </c>
      <c r="B28">
        <v>1.33</v>
      </c>
      <c r="C28">
        <f>B28*B28</f>
        <v>1.7689000000000001</v>
      </c>
    </row>
    <row r="39" spans="1:5" ht="18" x14ac:dyDescent="0.35">
      <c r="A39" s="11" t="s">
        <v>55</v>
      </c>
    </row>
    <row r="40" spans="1:5" x14ac:dyDescent="0.3">
      <c r="A40" t="s">
        <v>4</v>
      </c>
    </row>
    <row r="41" spans="1:5" x14ac:dyDescent="0.3">
      <c r="A41" t="s">
        <v>49</v>
      </c>
      <c r="B41" t="s">
        <v>50</v>
      </c>
    </row>
    <row r="42" spans="1:5" x14ac:dyDescent="0.3">
      <c r="A42" t="s">
        <v>51</v>
      </c>
      <c r="B42" t="s">
        <v>52</v>
      </c>
    </row>
    <row r="44" spans="1:5" x14ac:dyDescent="0.3">
      <c r="A44" t="s">
        <v>53</v>
      </c>
    </row>
    <row r="45" spans="1:5" x14ac:dyDescent="0.3">
      <c r="A45" s="27" t="s">
        <v>28</v>
      </c>
      <c r="B45" s="27" t="s">
        <v>27</v>
      </c>
      <c r="C45" t="s">
        <v>3</v>
      </c>
      <c r="D45" t="s">
        <v>13</v>
      </c>
      <c r="E45" t="s">
        <v>54</v>
      </c>
    </row>
    <row r="46" spans="1:5" x14ac:dyDescent="0.3">
      <c r="A46" s="28" t="s">
        <v>21</v>
      </c>
      <c r="B46" s="28">
        <v>18.591000000000001</v>
      </c>
      <c r="C46" s="1">
        <v>-3.3999999999999998E-3</v>
      </c>
      <c r="D46" s="1">
        <v>-2.3999999999999998E-3</v>
      </c>
      <c r="E46" s="1">
        <v>1.1000000000000001E-3</v>
      </c>
    </row>
    <row r="47" spans="1:5" x14ac:dyDescent="0.3">
      <c r="A47" s="29" t="s">
        <v>35</v>
      </c>
      <c r="B47" s="29">
        <v>20.8</v>
      </c>
      <c r="C47" s="1">
        <v>1.4E-3</v>
      </c>
      <c r="D47" s="1">
        <v>8.0000000000000002E-3</v>
      </c>
      <c r="E47" s="1">
        <v>6.6E-3</v>
      </c>
    </row>
    <row r="48" spans="1:5" x14ac:dyDescent="0.3">
      <c r="A48" s="28" t="s">
        <v>25</v>
      </c>
      <c r="B48" s="28">
        <v>66.98</v>
      </c>
      <c r="C48" s="1">
        <v>8.0000000000000004E-4</v>
      </c>
      <c r="D48" s="1">
        <v>8.0000000000000004E-4</v>
      </c>
      <c r="E48" s="1">
        <v>0</v>
      </c>
    </row>
    <row r="49" spans="1:5" x14ac:dyDescent="0.3">
      <c r="A49" s="29" t="s">
        <v>29</v>
      </c>
      <c r="B49" s="29">
        <v>156.476</v>
      </c>
      <c r="C49" s="1">
        <v>-3.3E-3</v>
      </c>
      <c r="D49" s="1">
        <v>-3.3E-3</v>
      </c>
      <c r="E49" s="1">
        <v>1E-4</v>
      </c>
    </row>
    <row r="50" spans="1:5" x14ac:dyDescent="0.3">
      <c r="A50" s="28" t="s">
        <v>30</v>
      </c>
      <c r="B50" s="28">
        <v>167.33</v>
      </c>
      <c r="C50" s="1">
        <v>3.0999999999999999E-3</v>
      </c>
      <c r="D50" s="1">
        <v>5.0000000000000001E-3</v>
      </c>
      <c r="E50" s="1">
        <v>-1.9E-3</v>
      </c>
    </row>
    <row r="51" spans="1:5" x14ac:dyDescent="0.3">
      <c r="A51" s="29" t="s">
        <v>34</v>
      </c>
      <c r="B51" s="29">
        <v>224.1</v>
      </c>
      <c r="C51" s="1">
        <v>-6.0000000000000001E-3</v>
      </c>
      <c r="D51" s="1">
        <v>-8.6999999999999994E-3</v>
      </c>
      <c r="E51" s="1">
        <v>2.7000000000000001E-3</v>
      </c>
    </row>
    <row r="52" spans="1:5" x14ac:dyDescent="0.3">
      <c r="A52" s="28" t="s">
        <v>31</v>
      </c>
      <c r="B52" s="28">
        <v>258</v>
      </c>
      <c r="C52" s="1">
        <v>4.7999999999999996E-3</v>
      </c>
      <c r="D52" s="1">
        <v>4.7999999999999996E-3</v>
      </c>
      <c r="E52" s="1">
        <v>0</v>
      </c>
    </row>
    <row r="53" spans="1:5" x14ac:dyDescent="0.3">
      <c r="A53" s="29" t="s">
        <v>33</v>
      </c>
      <c r="B53" s="29">
        <v>293.8</v>
      </c>
      <c r="C53" s="1">
        <v>2.0999999999999999E-3</v>
      </c>
      <c r="D53" s="1">
        <v>6.7999999999999996E-3</v>
      </c>
      <c r="E53" s="1">
        <v>4.7000000000000002E-3</v>
      </c>
    </row>
    <row r="54" spans="1:5" x14ac:dyDescent="0.3">
      <c r="A54" s="28" t="s">
        <v>24</v>
      </c>
      <c r="B54" s="28">
        <v>545.9</v>
      </c>
      <c r="C54" s="1">
        <v>-5.9999999999999995E-4</v>
      </c>
      <c r="D54" s="1">
        <v>1.6000000000000001E-3</v>
      </c>
      <c r="E54" s="1">
        <v>2.0999999999999999E-3</v>
      </c>
    </row>
    <row r="55" spans="1:5" x14ac:dyDescent="0.3">
      <c r="A55" s="29" t="s">
        <v>32</v>
      </c>
      <c r="B55" s="29">
        <v>1495.1</v>
      </c>
      <c r="C55" s="1">
        <v>-2.5999999999999999E-3</v>
      </c>
      <c r="D55" s="1">
        <v>-3.0000000000000001E-3</v>
      </c>
      <c r="E55" s="1">
        <v>-4.0000000000000002E-4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7ADA-DF11-4F30-81C4-082B1BC10C52}">
  <dimension ref="A3:Z63"/>
  <sheetViews>
    <sheetView topLeftCell="E36" workbookViewId="0">
      <selection activeCell="Q40" sqref="Q40: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24</v>
      </c>
      <c r="H8" s="9" t="s">
        <v>22</v>
      </c>
      <c r="I8" s="9">
        <v>545.9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0.992067809389786</v>
      </c>
      <c r="C10" s="3">
        <f>Table14[[#This Row],[eff_D]]/B$31-1</f>
        <v>5.7794351848552417E-3</v>
      </c>
      <c r="D10" s="6"/>
    </row>
    <row r="11" spans="1:10" x14ac:dyDescent="0.3">
      <c r="A11">
        <v>4</v>
      </c>
      <c r="B11" s="1">
        <v>0.99084510740500598</v>
      </c>
      <c r="C11" s="3">
        <f>Table14[[#This Row],[eff_D]]/B$31-1</f>
        <v>4.539833919687819E-3</v>
      </c>
      <c r="D11" s="6"/>
    </row>
    <row r="12" spans="1:10" x14ac:dyDescent="0.3">
      <c r="A12">
        <v>5</v>
      </c>
      <c r="B12" s="1">
        <v>0.99005434718251795</v>
      </c>
      <c r="C12" s="3">
        <f>Table14[[#This Row],[eff_D]]/B$31-1</f>
        <v>3.738144395632137E-3</v>
      </c>
      <c r="D12" s="6"/>
    </row>
    <row r="13" spans="1:10" x14ac:dyDescent="0.3">
      <c r="A13">
        <v>6</v>
      </c>
      <c r="B13" s="1">
        <v>0.98948856940792695</v>
      </c>
      <c r="C13" s="3">
        <f>Table14[[#This Row],[eff_D]]/B$31-1</f>
        <v>3.1645468600782767E-3</v>
      </c>
      <c r="D13" s="6"/>
    </row>
    <row r="14" spans="1:10" x14ac:dyDescent="0.3">
      <c r="A14">
        <v>7</v>
      </c>
      <c r="B14" s="1">
        <v>0.98907510033277801</v>
      </c>
      <c r="C14" s="3">
        <f>Table14[[#This Row],[eff_D]]/B$31-1</f>
        <v>2.7453631218965491E-3</v>
      </c>
      <c r="D14" s="6"/>
    </row>
    <row r="15" spans="1:10" x14ac:dyDescent="0.3">
      <c r="A15">
        <v>10</v>
      </c>
      <c r="B15" s="1">
        <v>0.98828365971203003</v>
      </c>
      <c r="C15" s="3">
        <f>Table14[[#This Row],[eff_D]]/B$31-1</f>
        <v>1.9429837956206342E-3</v>
      </c>
      <c r="D15" s="6"/>
    </row>
    <row r="16" spans="1:10" x14ac:dyDescent="0.3">
      <c r="A16">
        <v>20</v>
      </c>
      <c r="B16" s="1">
        <v>0.98730202804689005</v>
      </c>
      <c r="C16" s="3">
        <f>Table14[[#This Row],[eff_D]]/B$31-1</f>
        <v>9.4778474533452339E-4</v>
      </c>
      <c r="D16" s="6"/>
    </row>
    <row r="17" spans="1:4" x14ac:dyDescent="0.3">
      <c r="A17">
        <v>50</v>
      </c>
      <c r="B17" s="1">
        <v>0.98669836519595999</v>
      </c>
      <c r="C17" s="3">
        <f>Table14[[#This Row],[eff_D]]/B$31-1</f>
        <v>3.3577851400257153E-4</v>
      </c>
      <c r="D17" s="5"/>
    </row>
    <row r="18" spans="1:4" x14ac:dyDescent="0.3">
      <c r="A18">
        <v>80</v>
      </c>
      <c r="B18" s="1">
        <v>0.98655996835826998</v>
      </c>
      <c r="C18" s="3">
        <f>Table14[[#This Row],[eff_D]]/B$31-1</f>
        <v>1.9546885782206758E-4</v>
      </c>
      <c r="D18" s="5"/>
    </row>
    <row r="19" spans="1:4" x14ac:dyDescent="0.3">
      <c r="A19">
        <v>100</v>
      </c>
      <c r="B19" s="1">
        <v>0.98651771537643695</v>
      </c>
      <c r="C19" s="3">
        <f>Table14[[#This Row],[eff_D]]/B$31-1</f>
        <v>1.5263188659830895E-4</v>
      </c>
      <c r="D19" s="5"/>
    </row>
    <row r="20" spans="1:4" x14ac:dyDescent="0.3">
      <c r="A20">
        <v>200</v>
      </c>
      <c r="B20" s="1">
        <v>0.98643979758555</v>
      </c>
      <c r="C20" s="3">
        <f>Table14[[#This Row],[eff_D]]/B$31-1</f>
        <v>7.3637173769736108E-5</v>
      </c>
      <c r="D20" s="4"/>
    </row>
    <row r="21" spans="1:4" x14ac:dyDescent="0.3">
      <c r="A21">
        <v>500</v>
      </c>
      <c r="B21" s="1">
        <v>0.98639386157277897</v>
      </c>
      <c r="C21" s="3">
        <f>Table14[[#This Row],[eff_D]]/B$31-1</f>
        <v>2.7066267484610051E-5</v>
      </c>
      <c r="D21" s="4"/>
    </row>
    <row r="22" spans="1:4" x14ac:dyDescent="0.3">
      <c r="A22">
        <v>1000</v>
      </c>
      <c r="B22" s="1">
        <v>0.98637875103428996</v>
      </c>
      <c r="C22" s="3">
        <f>Table14[[#This Row],[eff_D]]/B$31-1</f>
        <v>1.1746882334850994E-5</v>
      </c>
      <c r="D22" s="4"/>
    </row>
    <row r="23" spans="1:4" x14ac:dyDescent="0.3">
      <c r="A23">
        <v>2000</v>
      </c>
      <c r="B23" s="1">
        <v>0.98637166627669004</v>
      </c>
      <c r="C23" s="3">
        <f>Table14[[#This Row],[eff_D]]/B$31-1</f>
        <v>4.564204467705224E-6</v>
      </c>
      <c r="D23" s="4"/>
    </row>
    <row r="24" spans="1:4" x14ac:dyDescent="0.3">
      <c r="A24">
        <v>5000</v>
      </c>
      <c r="B24" s="1">
        <v>0.98636785476137101</v>
      </c>
      <c r="C24" s="3">
        <f>Table14[[#This Row],[eff_D]]/B$31-1</f>
        <v>7.0000920948665168E-7</v>
      </c>
      <c r="D24" s="4"/>
    </row>
    <row r="25" spans="1:4" x14ac:dyDescent="0.3">
      <c r="A25">
        <v>7000</v>
      </c>
      <c r="B25" s="1">
        <v>0.98636716429527205</v>
      </c>
      <c r="C25" s="3">
        <f>Table14[[#This Row],[eff_D]]/B$31-1</f>
        <v>0</v>
      </c>
      <c r="D25" s="4"/>
    </row>
    <row r="26" spans="1:4" x14ac:dyDescent="0.3">
      <c r="A26">
        <v>10000</v>
      </c>
      <c r="B26" s="1"/>
      <c r="C26" s="3">
        <f>Table14[[#This Row],[eff_D]]/B$31-1</f>
        <v>-1</v>
      </c>
      <c r="D26" s="4"/>
    </row>
    <row r="27" spans="1:4" x14ac:dyDescent="0.3">
      <c r="A27">
        <v>20000</v>
      </c>
      <c r="B27" s="1"/>
      <c r="C27" s="3">
        <f>Table14[[#This Row],[eff_D]]/B$31-1</f>
        <v>-1</v>
      </c>
      <c r="D27" s="4"/>
    </row>
    <row r="28" spans="1:4" x14ac:dyDescent="0.3">
      <c r="A28">
        <v>50000</v>
      </c>
      <c r="B28" s="1"/>
      <c r="C28" s="3">
        <f>Table14[[#This Row],[eff_D]]/B$31-1</f>
        <v>-1</v>
      </c>
      <c r="D28" s="4"/>
    </row>
    <row r="29" spans="1:4" x14ac:dyDescent="0.3">
      <c r="A29">
        <v>70000</v>
      </c>
      <c r="B29" s="1"/>
      <c r="C29" s="3">
        <f>Table14[[#This Row],[eff_D]]/B$31-1</f>
        <v>-1</v>
      </c>
      <c r="D29" s="4"/>
    </row>
    <row r="31" spans="1:4" x14ac:dyDescent="0.3">
      <c r="A31" t="s">
        <v>6</v>
      </c>
      <c r="B31" s="2">
        <v>0.98636716429527205</v>
      </c>
    </row>
    <row r="33" spans="1:26" x14ac:dyDescent="0.3">
      <c r="A33" t="s">
        <v>7</v>
      </c>
      <c r="C33">
        <v>200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0.98486712004140697</v>
      </c>
      <c r="Q39" t="e">
        <f t="shared" ref="Q39:Q42" si="0">O39/P39-1</f>
        <v>#DIV/0!</v>
      </c>
    </row>
    <row r="40" spans="1:26" x14ac:dyDescent="0.3">
      <c r="A40">
        <v>10</v>
      </c>
      <c r="B40">
        <v>0.99999963955336302</v>
      </c>
      <c r="C40" s="24">
        <v>3.4190873202320503E-7</v>
      </c>
      <c r="D40">
        <v>0.99999999999610301</v>
      </c>
      <c r="E40" s="24">
        <v>3.69684678803042E-12</v>
      </c>
      <c r="F40">
        <v>0.99999891866398805</v>
      </c>
      <c r="G40" s="24">
        <v>1.0257224992357199E-6</v>
      </c>
      <c r="H40" s="1">
        <f>Table25[[#This Row],[eff_S]]/O$39-1</f>
        <v>1.5365036768939744E-2</v>
      </c>
      <c r="I40" s="1">
        <f>Table25[[#This Row],[eff_D]]/O$40-1</f>
        <v>1.3746609214007277E-2</v>
      </c>
      <c r="J40" s="1">
        <f>Table25[[#This Row],[eff_T]]/O$41-1</f>
        <v>2.5388115528287125E-2</v>
      </c>
      <c r="K40" s="8"/>
      <c r="N40" t="s">
        <v>3</v>
      </c>
      <c r="O40">
        <v>0.98643979758555</v>
      </c>
      <c r="P40">
        <v>0.98699999999999999</v>
      </c>
      <c r="Q40" s="1">
        <f t="shared" si="0"/>
        <v>-5.6758096702125282E-4</v>
      </c>
    </row>
    <row r="41" spans="1:26" x14ac:dyDescent="0.3">
      <c r="A41">
        <v>20</v>
      </c>
      <c r="B41">
        <v>0.99999697958623301</v>
      </c>
      <c r="C41" s="24">
        <v>2.9331542099950201E-6</v>
      </c>
      <c r="D41">
        <v>0.99999999945644902</v>
      </c>
      <c r="E41" s="24">
        <v>5.2978067662144297E-10</v>
      </c>
      <c r="F41">
        <v>0.99999093930226102</v>
      </c>
      <c r="G41" s="24">
        <v>8.7989328418867094E-6</v>
      </c>
      <c r="H41" s="1">
        <f>Table25[[#This Row],[eff_S]]/O$39-1</f>
        <v>1.5362335930343418E-2</v>
      </c>
      <c r="I41" s="1">
        <f>Table25[[#This Row],[eff_D]]/O$40-1</f>
        <v>1.374660866693489E-2</v>
      </c>
      <c r="J41" s="1">
        <f>Table25[[#This Row],[eff_T]]/O$41-1</f>
        <v>2.5379933576755276E-2</v>
      </c>
      <c r="K41" s="8"/>
      <c r="N41" t="s">
        <v>13</v>
      </c>
      <c r="O41">
        <v>0.975239427413084</v>
      </c>
      <c r="P41">
        <v>0.97370000000000001</v>
      </c>
      <c r="Q41" s="1">
        <f t="shared" si="0"/>
        <v>1.5810079214173545E-3</v>
      </c>
      <c r="U41">
        <v>0.99999963955336302</v>
      </c>
      <c r="V41" s="24">
        <v>3.4190873202320503E-7</v>
      </c>
      <c r="W41">
        <v>0.99999999999610301</v>
      </c>
      <c r="X41" s="24">
        <v>3.69684678803042E-12</v>
      </c>
      <c r="Y41">
        <v>0.99999891866398805</v>
      </c>
      <c r="Z41" s="24">
        <v>1.0257224992357199E-6</v>
      </c>
    </row>
    <row r="42" spans="1:26" x14ac:dyDescent="0.3">
      <c r="A42">
        <v>50</v>
      </c>
      <c r="B42">
        <v>0.99290300551591304</v>
      </c>
      <c r="C42">
        <v>4.2034392513131801E-3</v>
      </c>
      <c r="D42">
        <v>0.99748259631004199</v>
      </c>
      <c r="E42">
        <v>1.7773828400849E-3</v>
      </c>
      <c r="F42">
        <v>0.98136843700424203</v>
      </c>
      <c r="G42">
        <v>1.0794515870854299E-2</v>
      </c>
      <c r="H42" s="1">
        <f>Table25[[#This Row],[eff_S]]/O$39-1</f>
        <v>8.1593600913067998E-3</v>
      </c>
      <c r="I42" s="1">
        <f>Table25[[#This Row],[eff_D]]/O$40-1</f>
        <v>1.1194599763230118E-2</v>
      </c>
      <c r="J42" s="1">
        <f>Table25[[#This Row],[eff_T]]/O$41-1</f>
        <v>6.2846203905186915E-3</v>
      </c>
      <c r="K42" s="8"/>
      <c r="N42" t="s">
        <v>56</v>
      </c>
      <c r="O42">
        <f>O41/O40</f>
        <v>0.98864566271567667</v>
      </c>
      <c r="P42">
        <f>P41/P40</f>
        <v>0.9865248226950355</v>
      </c>
      <c r="Q42" s="1">
        <f t="shared" si="0"/>
        <v>2.1498090791545188E-3</v>
      </c>
      <c r="U42">
        <v>0.99999697958623301</v>
      </c>
      <c r="V42" s="24">
        <v>2.9331542099950201E-6</v>
      </c>
      <c r="W42">
        <v>0.99999999945644902</v>
      </c>
      <c r="X42" s="24">
        <v>5.2978067662144297E-10</v>
      </c>
      <c r="Y42">
        <v>0.99999093930226102</v>
      </c>
      <c r="Z42" s="24">
        <v>8.7989328418867094E-6</v>
      </c>
    </row>
    <row r="43" spans="1:26" x14ac:dyDescent="0.3">
      <c r="A43">
        <v>100</v>
      </c>
      <c r="B43">
        <v>0.98456473832439495</v>
      </c>
      <c r="C43">
        <v>1.0054546258506099E-2</v>
      </c>
      <c r="D43">
        <v>0.98506699712427703</v>
      </c>
      <c r="E43">
        <v>1.06530351560527E-2</v>
      </c>
      <c r="F43">
        <v>0.97668217243520405</v>
      </c>
      <c r="G43">
        <v>1.34945111445351E-2</v>
      </c>
      <c r="H43" s="1">
        <f>Table25[[#This Row],[eff_S]]/O$39-1</f>
        <v>-3.0702793387937799E-4</v>
      </c>
      <c r="I43" s="1">
        <f>Table25[[#This Row],[eff_D]]/O$40-1</f>
        <v>-1.3916718127483518E-3</v>
      </c>
      <c r="J43" s="1">
        <f>Table25[[#This Row],[eff_T]]/O$41-1</f>
        <v>1.4793751991211135E-3</v>
      </c>
      <c r="K43" s="7"/>
      <c r="U43">
        <v>0.99290300551591304</v>
      </c>
      <c r="V43">
        <v>4.2034392513131801E-3</v>
      </c>
      <c r="W43">
        <v>0.99748259631004199</v>
      </c>
      <c r="X43">
        <v>1.7773828400849E-3</v>
      </c>
      <c r="Y43">
        <v>0.98136843700424203</v>
      </c>
      <c r="Z43">
        <v>1.0794515870854299E-2</v>
      </c>
    </row>
    <row r="44" spans="1:26" x14ac:dyDescent="0.3">
      <c r="A44">
        <v>200</v>
      </c>
      <c r="B44">
        <v>0.98598139447607802</v>
      </c>
      <c r="C44">
        <v>7.2245901699370301E-3</v>
      </c>
      <c r="D44">
        <v>0.98839760620314199</v>
      </c>
      <c r="E44">
        <v>7.1103870198594302E-3</v>
      </c>
      <c r="F44">
        <v>0.97969857321498099</v>
      </c>
      <c r="G44">
        <v>8.1032847481732097E-3</v>
      </c>
      <c r="H44" s="1">
        <f>Table25[[#This Row],[eff_S]]/O$39-1</f>
        <v>1.1313957101382055E-3</v>
      </c>
      <c r="I44" s="1">
        <f>Table25[[#This Row],[eff_D]]/O$40-1</f>
        <v>1.9847218475814721E-3</v>
      </c>
      <c r="J44" s="1">
        <f>Table25[[#This Row],[eff_T]]/O$41-1</f>
        <v>4.5723600549305576E-3</v>
      </c>
      <c r="K44" s="6"/>
      <c r="U44">
        <v>0.98456473832439495</v>
      </c>
      <c r="V44">
        <v>1.0054546258506099E-2</v>
      </c>
      <c r="W44">
        <v>0.98506699712427703</v>
      </c>
      <c r="X44">
        <v>1.06530351560527E-2</v>
      </c>
      <c r="Y44">
        <v>0.97668217243520405</v>
      </c>
      <c r="Z44">
        <v>1.34945111445351E-2</v>
      </c>
    </row>
    <row r="45" spans="1:26" x14ac:dyDescent="0.3">
      <c r="A45">
        <v>500</v>
      </c>
      <c r="B45">
        <v>0.979525122513901</v>
      </c>
      <c r="C45">
        <v>5.3245769435702603E-3</v>
      </c>
      <c r="D45">
        <v>0.98132287735910695</v>
      </c>
      <c r="E45">
        <v>5.48089967423956E-3</v>
      </c>
      <c r="F45">
        <v>0.96980609949525598</v>
      </c>
      <c r="G45">
        <v>6.5990572075470197E-3</v>
      </c>
      <c r="H45" s="1">
        <f>Table25[[#This Row],[eff_S]]/O$39-1</f>
        <v>-5.4240794710268547E-3</v>
      </c>
      <c r="I45" s="1">
        <f>Table25[[#This Row],[eff_D]]/O$40-1</f>
        <v>-5.1872605291953811E-3</v>
      </c>
      <c r="J45" s="1">
        <f>Table25[[#This Row],[eff_T]]/O$41-1</f>
        <v>-5.5712758991302014E-3</v>
      </c>
      <c r="K45" s="6"/>
      <c r="U45">
        <v>0.98598139447607802</v>
      </c>
      <c r="V45">
        <v>7.2245901699370301E-3</v>
      </c>
      <c r="W45">
        <v>0.98839760620314199</v>
      </c>
      <c r="X45">
        <v>7.1103870198594302E-3</v>
      </c>
      <c r="Y45">
        <v>0.97969857321498099</v>
      </c>
      <c r="Z45">
        <v>8.1032847481732097E-3</v>
      </c>
    </row>
    <row r="46" spans="1:26" x14ac:dyDescent="0.3">
      <c r="A46">
        <v>1000</v>
      </c>
      <c r="B46">
        <v>0.98474102382963702</v>
      </c>
      <c r="C46">
        <v>2.9256833557122501E-3</v>
      </c>
      <c r="D46">
        <v>0.98679595314961299</v>
      </c>
      <c r="E46">
        <v>2.9166588705717999E-3</v>
      </c>
      <c r="F46">
        <v>0.974013784091593</v>
      </c>
      <c r="G46">
        <v>4.2346845600233496E-3</v>
      </c>
      <c r="H46" s="1">
        <f>Table25[[#This Row],[eff_S]]/O$39-1</f>
        <v>-1.2803373084957492E-4</v>
      </c>
      <c r="I46" s="1">
        <f>Table25[[#This Row],[eff_D]]/O$40-1</f>
        <v>3.6105149542287052E-4</v>
      </c>
      <c r="J46" s="1">
        <f>Table25[[#This Row],[eff_T]]/O$41-1</f>
        <v>-1.256761454714872E-3</v>
      </c>
      <c r="K46" s="6"/>
      <c r="U46">
        <v>0.979525122513901</v>
      </c>
      <c r="V46">
        <v>5.3245769435702603E-3</v>
      </c>
      <c r="W46">
        <v>0.98132287735910695</v>
      </c>
      <c r="X46">
        <v>5.48089967423956E-3</v>
      </c>
      <c r="Y46">
        <v>0.96980609949525598</v>
      </c>
      <c r="Z46">
        <v>6.5990572075470197E-3</v>
      </c>
    </row>
    <row r="47" spans="1:26" x14ac:dyDescent="0.3">
      <c r="A47">
        <v>2000</v>
      </c>
      <c r="B47">
        <v>0.98714504046967499</v>
      </c>
      <c r="C47">
        <v>1.9928185167878698E-3</v>
      </c>
      <c r="D47">
        <v>0.98902317027286002</v>
      </c>
      <c r="E47">
        <v>1.97780901778318E-3</v>
      </c>
      <c r="F47">
        <v>0.97908538817194402</v>
      </c>
      <c r="G47">
        <v>2.6766795347760901E-3</v>
      </c>
      <c r="H47" s="1">
        <f>Table25[[#This Row],[eff_S]]/O$39-1</f>
        <v>2.3129215930899338E-3</v>
      </c>
      <c r="I47" s="1">
        <f>Table25[[#This Row],[eff_D]]/O$40-1</f>
        <v>2.6188853021067438E-3</v>
      </c>
      <c r="J47" s="1">
        <f>Table25[[#This Row],[eff_T]]/O$41-1</f>
        <v>3.9436067192870627E-3</v>
      </c>
      <c r="K47" s="5"/>
      <c r="U47">
        <v>0.98474102382963702</v>
      </c>
      <c r="V47">
        <v>2.9256833557122501E-3</v>
      </c>
      <c r="W47">
        <v>0.98679595314961299</v>
      </c>
      <c r="X47">
        <v>2.9166588705717999E-3</v>
      </c>
      <c r="Y47">
        <v>0.974013784091593</v>
      </c>
      <c r="Z47">
        <v>4.2346845600233496E-3</v>
      </c>
    </row>
    <row r="48" spans="1:26" x14ac:dyDescent="0.3">
      <c r="A48">
        <v>5000</v>
      </c>
      <c r="B48">
        <v>0.98239043682791904</v>
      </c>
      <c r="C48">
        <v>1.4530326366836801E-3</v>
      </c>
      <c r="D48">
        <v>0.984117291675491</v>
      </c>
      <c r="E48">
        <v>1.4968264740995399E-3</v>
      </c>
      <c r="F48">
        <v>0.97141258854318802</v>
      </c>
      <c r="G48">
        <v>2.01750911763247E-3</v>
      </c>
      <c r="H48" s="1">
        <f>Table25[[#This Row],[eff_S]]/O$39-1</f>
        <v>-2.5147384485572077E-3</v>
      </c>
      <c r="I48" s="1">
        <f>Table25[[#This Row],[eff_D]]/O$40-1</f>
        <v>-2.3544324912110337E-3</v>
      </c>
      <c r="J48" s="1">
        <f>Table25[[#This Row],[eff_T]]/O$41-1</f>
        <v>-3.9239993403948903E-3</v>
      </c>
      <c r="K48" s="5"/>
      <c r="U48">
        <v>0.98714504046967499</v>
      </c>
      <c r="V48">
        <v>1.9928185167878698E-3</v>
      </c>
      <c r="W48">
        <v>0.98902317027286002</v>
      </c>
      <c r="X48">
        <v>1.97780901778318E-3</v>
      </c>
      <c r="Y48">
        <v>0.97908538817194402</v>
      </c>
      <c r="Z48">
        <v>2.6766795347760901E-3</v>
      </c>
    </row>
    <row r="49" spans="1:26" x14ac:dyDescent="0.3">
      <c r="A49">
        <v>10000</v>
      </c>
      <c r="B49">
        <v>0.98245484223848301</v>
      </c>
      <c r="C49">
        <v>1.04243510976491E-3</v>
      </c>
      <c r="D49">
        <v>0.98412211240621805</v>
      </c>
      <c r="E49">
        <v>1.0764908953973199E-3</v>
      </c>
      <c r="F49">
        <v>0.97206528372471501</v>
      </c>
      <c r="G49">
        <v>1.41119817055974E-3</v>
      </c>
      <c r="H49" s="1">
        <f>Table25[[#This Row],[eff_S]]/O$39-1</f>
        <v>-2.4493434229203581E-3</v>
      </c>
      <c r="I49" s="1">
        <f>Table25[[#This Row],[eff_D]]/O$40-1</f>
        <v>-2.3495454917824565E-3</v>
      </c>
      <c r="J49" s="1">
        <f>Table25[[#This Row],[eff_T]]/O$41-1</f>
        <v>-3.2547327344923938E-3</v>
      </c>
      <c r="K49" s="4"/>
      <c r="U49">
        <v>0.98239043682791904</v>
      </c>
      <c r="V49">
        <v>1.4530326366836801E-3</v>
      </c>
      <c r="W49">
        <v>0.984117291675491</v>
      </c>
      <c r="X49">
        <v>1.4968264740995399E-3</v>
      </c>
      <c r="Y49">
        <v>0.97141258854318802</v>
      </c>
      <c r="Z49">
        <v>2.01750911763247E-3</v>
      </c>
    </row>
    <row r="50" spans="1:26" x14ac:dyDescent="0.3">
      <c r="A50">
        <v>20000</v>
      </c>
      <c r="B50">
        <v>0.98302092978236799</v>
      </c>
      <c r="C50">
        <v>7.20442087544264E-4</v>
      </c>
      <c r="D50">
        <v>0.98458605157259405</v>
      </c>
      <c r="E50">
        <v>7.4089560162783901E-4</v>
      </c>
      <c r="F50">
        <v>0.97277330084414604</v>
      </c>
      <c r="G50">
        <v>9.9029567282665092E-4</v>
      </c>
      <c r="H50" s="1">
        <f>Table25[[#This Row],[eff_S]]/O$39-1</f>
        <v>-1.8745577159295923E-3</v>
      </c>
      <c r="I50" s="1">
        <f>Table25[[#This Row],[eff_D]]/O$40-1</f>
        <v>-1.8792287349853609E-3</v>
      </c>
      <c r="J50" s="1">
        <f>Table25[[#This Row],[eff_T]]/O$41-1</f>
        <v>-2.5287396095947656E-3</v>
      </c>
      <c r="K50" s="4"/>
      <c r="U50">
        <v>0.98245484223848301</v>
      </c>
      <c r="V50">
        <v>1.04243510976491E-3</v>
      </c>
      <c r="W50">
        <v>0.98412211240621805</v>
      </c>
      <c r="X50">
        <v>1.0764908953973199E-3</v>
      </c>
      <c r="Y50">
        <v>0.97206528372471501</v>
      </c>
      <c r="Z50">
        <v>1.41119817055974E-3</v>
      </c>
    </row>
    <row r="51" spans="1:26" x14ac:dyDescent="0.3">
      <c r="A51">
        <v>50000</v>
      </c>
      <c r="B51">
        <v>0.98380818511221102</v>
      </c>
      <c r="C51">
        <v>4.4164074574145999E-4</v>
      </c>
      <c r="D51">
        <v>0.98544111445299798</v>
      </c>
      <c r="E51">
        <v>4.5283331234080598E-4</v>
      </c>
      <c r="F51">
        <v>0.97372575153660501</v>
      </c>
      <c r="G51">
        <v>6.1186513557147295E-4</v>
      </c>
      <c r="H51" s="1">
        <f>Table25[[#This Row],[eff_S]]/O$39-1</f>
        <v>-1.0752058908732876E-3</v>
      </c>
      <c r="I51" s="1">
        <f>Table25[[#This Row],[eff_D]]/O$40-1</f>
        <v>-1.0124116393077642E-3</v>
      </c>
      <c r="J51" s="1">
        <f>Table25[[#This Row],[eff_T]]/O$41-1</f>
        <v>-1.5521069328525705E-3</v>
      </c>
      <c r="K51" s="4"/>
      <c r="U51">
        <v>0.98302092978236799</v>
      </c>
      <c r="V51">
        <v>7.20442087544264E-4</v>
      </c>
      <c r="W51">
        <v>0.98458605157259405</v>
      </c>
      <c r="X51">
        <v>7.4089560162783901E-4</v>
      </c>
      <c r="Y51">
        <v>0.97277330084414604</v>
      </c>
      <c r="Z51">
        <v>9.9029567282665092E-4</v>
      </c>
    </row>
    <row r="52" spans="1:26" x14ac:dyDescent="0.3">
      <c r="A52">
        <v>100000</v>
      </c>
      <c r="B52">
        <v>0.98436253664413598</v>
      </c>
      <c r="C52">
        <v>3.0504496385145099E-4</v>
      </c>
      <c r="D52">
        <v>0.98601784607074305</v>
      </c>
      <c r="E52">
        <v>3.1323473248800402E-4</v>
      </c>
      <c r="F52">
        <v>0.97440334678301499</v>
      </c>
      <c r="G52">
        <v>4.2493771418777301E-4</v>
      </c>
      <c r="H52" s="1">
        <f>Table25[[#This Row],[eff_S]]/O$39-1</f>
        <v>-5.1233652439308663E-4</v>
      </c>
      <c r="I52" s="1">
        <f>Table25[[#This Row],[eff_D]]/O$40-1</f>
        <v>-4.2775191738997353E-4</v>
      </c>
      <c r="J52" s="1">
        <f>Table25[[#This Row],[eff_T]]/O$41-1</f>
        <v>-8.573080687342971E-4</v>
      </c>
      <c r="U52">
        <v>0.98380818511221102</v>
      </c>
      <c r="V52">
        <v>4.4164074574145999E-4</v>
      </c>
      <c r="W52">
        <v>0.98544111445299798</v>
      </c>
      <c r="X52">
        <v>4.5283331234080598E-4</v>
      </c>
      <c r="Y52">
        <v>0.97372575153660501</v>
      </c>
      <c r="Z52">
        <v>6.1186513557147295E-4</v>
      </c>
    </row>
    <row r="53" spans="1:26" x14ac:dyDescent="0.3">
      <c r="B53" s="1"/>
      <c r="C53" s="1"/>
      <c r="D53" s="1"/>
      <c r="E53" s="1"/>
      <c r="F53" s="1"/>
      <c r="G53" s="1"/>
      <c r="H53" s="1">
        <f>Table25[[#This Row],[eff_S]]/O$39-1</f>
        <v>-1</v>
      </c>
      <c r="I53" s="1">
        <f>Table25[[#This Row],[eff_D]]/O$40-1</f>
        <v>-1</v>
      </c>
      <c r="J53" s="1">
        <f>Table25[[#This Row],[eff_T]]/O$41-1</f>
        <v>-1</v>
      </c>
      <c r="U53">
        <v>0.98436253664413598</v>
      </c>
      <c r="V53">
        <v>3.0504496385145099E-4</v>
      </c>
      <c r="W53">
        <v>0.98601784607074305</v>
      </c>
      <c r="X53">
        <v>3.1323473248800402E-4</v>
      </c>
      <c r="Y53">
        <v>0.97440334678301499</v>
      </c>
      <c r="Z53">
        <v>4.2493771418777301E-4</v>
      </c>
    </row>
    <row r="54" spans="1:26" x14ac:dyDescent="0.3">
      <c r="B54" s="1"/>
      <c r="C54" s="1"/>
      <c r="D54" s="1"/>
      <c r="E54" s="1"/>
      <c r="F54" s="1"/>
      <c r="G54" s="1"/>
      <c r="H54" s="1">
        <f>Table25[[#This Row],[eff_S]]/O$39-1</f>
        <v>-1</v>
      </c>
      <c r="I54" s="1">
        <f>Table25[[#This Row],[eff_D]]/O$40-1</f>
        <v>-1</v>
      </c>
      <c r="J54" s="1">
        <f>Table25[[#This Row],[eff_T]]/O$41-1</f>
        <v>-1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0.3302/SQRT(B57)</f>
        <v>1.0441840833875988E-3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BD0-EE6C-43ED-9DAD-C344E58F3F8A}">
  <dimension ref="A3:Z63"/>
  <sheetViews>
    <sheetView topLeftCell="A30" workbookViewId="0">
      <selection activeCell="Q40" sqref="Q40: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32</v>
      </c>
      <c r="H8" s="9" t="s">
        <v>22</v>
      </c>
      <c r="I8" s="9">
        <v>1495.1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Table161315[[#This Row],[eff_D]]/B$31-1</f>
        <v>-1</v>
      </c>
      <c r="D10" s="7"/>
    </row>
    <row r="11" spans="1:10" x14ac:dyDescent="0.3">
      <c r="A11">
        <v>4</v>
      </c>
      <c r="B11" s="1"/>
      <c r="C11" s="3">
        <f>Table161315[[#This Row],[eff_D]]/B$31-1</f>
        <v>-1</v>
      </c>
      <c r="D11" s="7"/>
    </row>
    <row r="12" spans="1:10" x14ac:dyDescent="0.3">
      <c r="A12">
        <v>5</v>
      </c>
      <c r="B12" s="1"/>
      <c r="C12" s="3">
        <f>Table161315[[#This Row],[eff_D]]/B$31-1</f>
        <v>-1</v>
      </c>
      <c r="D12" s="7"/>
    </row>
    <row r="13" spans="1:10" x14ac:dyDescent="0.3">
      <c r="A13">
        <v>6</v>
      </c>
      <c r="B13" s="1"/>
      <c r="C13" s="3">
        <f>Table161315[[#This Row],[eff_D]]/B$31-1</f>
        <v>-1</v>
      </c>
      <c r="D13" s="7"/>
    </row>
    <row r="14" spans="1:10" x14ac:dyDescent="0.3">
      <c r="A14">
        <v>7</v>
      </c>
      <c r="B14" s="1"/>
      <c r="C14" s="3">
        <f>Table161315[[#This Row],[eff_D]]/B$31-1</f>
        <v>-1</v>
      </c>
      <c r="D14" s="6"/>
    </row>
    <row r="15" spans="1:10" x14ac:dyDescent="0.3">
      <c r="A15">
        <v>10</v>
      </c>
      <c r="B15" s="1"/>
      <c r="C15" s="3">
        <f>Table161315[[#This Row],[eff_D]]/B$31-1</f>
        <v>-1</v>
      </c>
      <c r="D15" s="6"/>
    </row>
    <row r="16" spans="1:10" x14ac:dyDescent="0.3">
      <c r="A16">
        <v>20</v>
      </c>
      <c r="B16" s="1">
        <v>0.995752154602498</v>
      </c>
      <c r="C16" s="3">
        <f>Table161315[[#This Row],[eff_D]]/B$31-1</f>
        <v>2.3194486048772056E-4</v>
      </c>
      <c r="D16" s="6"/>
    </row>
    <row r="17" spans="1:4" x14ac:dyDescent="0.3">
      <c r="A17">
        <v>50</v>
      </c>
      <c r="B17" s="1">
        <v>0.99560005065828605</v>
      </c>
      <c r="C17" s="3">
        <f>Table161315[[#This Row],[eff_D]]/B$31-1</f>
        <v>7.9156615705233691E-5</v>
      </c>
      <c r="D17" s="5"/>
    </row>
    <row r="18" spans="1:4" x14ac:dyDescent="0.3">
      <c r="A18">
        <v>80</v>
      </c>
      <c r="B18" s="1">
        <v>0.995565214414875</v>
      </c>
      <c r="C18" s="3">
        <f>Table161315[[#This Row],[eff_D]]/B$31-1</f>
        <v>4.4163647487494018E-5</v>
      </c>
      <c r="D18" s="5"/>
    </row>
    <row r="19" spans="1:4" x14ac:dyDescent="0.3">
      <c r="A19">
        <v>100</v>
      </c>
      <c r="B19" s="1">
        <v>0.99555562228607797</v>
      </c>
      <c r="C19" s="3">
        <f>Table161315[[#This Row],[eff_D]]/B$31-1</f>
        <v>3.4528364653674259E-5</v>
      </c>
      <c r="D19" s="5"/>
    </row>
    <row r="20" spans="1:4" x14ac:dyDescent="0.3">
      <c r="A20">
        <v>200</v>
      </c>
      <c r="B20" s="1">
        <v>0.99553637978098997</v>
      </c>
      <c r="C20" s="3">
        <f>Table161315[[#This Row],[eff_D]]/B$31-1</f>
        <v>1.5199289442380248E-5</v>
      </c>
      <c r="D20" s="5"/>
    </row>
    <row r="21" spans="1:4" x14ac:dyDescent="0.3">
      <c r="A21">
        <v>500</v>
      </c>
      <c r="B21" s="1">
        <v>0.99552496104759003</v>
      </c>
      <c r="C21" s="3">
        <f>Table161315[[#This Row],[eff_D]]/B$31-1</f>
        <v>3.7291842924780383E-6</v>
      </c>
      <c r="D21" s="4"/>
    </row>
    <row r="22" spans="1:4" x14ac:dyDescent="0.3">
      <c r="A22">
        <v>1000</v>
      </c>
      <c r="B22" s="1">
        <v>0.99552124856538704</v>
      </c>
      <c r="C22" s="3">
        <f>Table161315[[#This Row],[eff_D]]/B$31-1</f>
        <v>0</v>
      </c>
      <c r="D22" s="4"/>
    </row>
    <row r="23" spans="1:4" x14ac:dyDescent="0.3">
      <c r="A23">
        <v>2000</v>
      </c>
      <c r="B23" s="1"/>
      <c r="C23" s="3">
        <f>Table161315[[#This Row],[eff_D]]/B$31-1</f>
        <v>-1</v>
      </c>
      <c r="D23" s="4"/>
    </row>
    <row r="24" spans="1:4" x14ac:dyDescent="0.3">
      <c r="A24">
        <v>5000</v>
      </c>
      <c r="B24" s="1"/>
      <c r="C24" s="3">
        <f>Table161315[[#This Row],[eff_D]]/B$31-1</f>
        <v>-1</v>
      </c>
      <c r="D24" s="4"/>
    </row>
    <row r="25" spans="1:4" x14ac:dyDescent="0.3">
      <c r="A25">
        <v>7000</v>
      </c>
      <c r="B25" s="1"/>
      <c r="C25" s="3">
        <f>Table161315[[#This Row],[eff_D]]/B$31-1</f>
        <v>-1</v>
      </c>
      <c r="D25" s="4"/>
    </row>
    <row r="26" spans="1:4" x14ac:dyDescent="0.3">
      <c r="A26">
        <v>10000</v>
      </c>
      <c r="B26" s="1"/>
      <c r="C26" s="3">
        <f>Table161315[[#This Row],[eff_D]]/B$31-1</f>
        <v>-1</v>
      </c>
      <c r="D26" s="4"/>
    </row>
    <row r="27" spans="1:4" x14ac:dyDescent="0.3">
      <c r="A27">
        <v>20000</v>
      </c>
      <c r="B27" s="1"/>
      <c r="C27" s="3">
        <f>Table161315[[#This Row],[eff_D]]/B$31-1</f>
        <v>-1</v>
      </c>
      <c r="D27" s="4"/>
    </row>
    <row r="28" spans="1:4" x14ac:dyDescent="0.3">
      <c r="A28">
        <v>50000</v>
      </c>
      <c r="B28" s="1"/>
      <c r="C28" s="3">
        <f>Table161315[[#This Row],[eff_D]]/B$31-1</f>
        <v>-1</v>
      </c>
      <c r="D28" s="4"/>
    </row>
    <row r="29" spans="1:4" x14ac:dyDescent="0.3">
      <c r="A29">
        <v>70000</v>
      </c>
      <c r="B29" s="1"/>
      <c r="C29" s="3">
        <f>Table161315[[#This Row],[eff_D]]/B$31-1</f>
        <v>-1</v>
      </c>
      <c r="D29" s="4"/>
    </row>
    <row r="31" spans="1:4" x14ac:dyDescent="0.3">
      <c r="A31" t="s">
        <v>6</v>
      </c>
      <c r="B31" s="2">
        <v>0.99552124856538704</v>
      </c>
    </row>
    <row r="33" spans="1:26" x14ac:dyDescent="0.3">
      <c r="A33" t="s">
        <v>7</v>
      </c>
      <c r="C33">
        <v>50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0.99509644576412903</v>
      </c>
      <c r="Q39" t="e">
        <f t="shared" ref="Q39:Q42" si="0">O39/P39-1</f>
        <v>#DIV/0!</v>
      </c>
    </row>
    <row r="40" spans="1:26" x14ac:dyDescent="0.3">
      <c r="A40">
        <v>10</v>
      </c>
      <c r="B40" s="23">
        <v>0.99999999981968501</v>
      </c>
      <c r="C40" s="23">
        <v>1.71061414579583E-10</v>
      </c>
      <c r="D40" s="23">
        <v>1</v>
      </c>
      <c r="E40" s="23">
        <v>0</v>
      </c>
      <c r="F40" s="23">
        <v>0.99999999945905604</v>
      </c>
      <c r="G40" s="23">
        <v>5.1318424373874299E-10</v>
      </c>
      <c r="H40" s="1">
        <f>Table271416[[#This Row],[eff_S]]/O$39-1</f>
        <v>4.927717385012409E-3</v>
      </c>
      <c r="I40" s="1">
        <f>Table271416[[#This Row],[eff_D]]/O$40-1</f>
        <v>4.4193944534300922E-3</v>
      </c>
      <c r="J40" s="1">
        <f>Table271416[[#This Row],[eff_T]]/O$41-1</f>
        <v>7.2054697681147584E-3</v>
      </c>
      <c r="K40" s="8"/>
      <c r="N40" t="s">
        <v>3</v>
      </c>
      <c r="O40">
        <v>0.99560005065828605</v>
      </c>
      <c r="P40">
        <v>0.99819999999999998</v>
      </c>
      <c r="Q40" s="1">
        <f t="shared" si="0"/>
        <v>-2.6046376895551004E-3</v>
      </c>
    </row>
    <row r="41" spans="1:26" x14ac:dyDescent="0.3">
      <c r="A41">
        <v>20</v>
      </c>
      <c r="B41" s="23">
        <v>0.999999999999996</v>
      </c>
      <c r="C41" s="23">
        <v>3.0084176095910199E-15</v>
      </c>
      <c r="D41" s="23">
        <v>1</v>
      </c>
      <c r="E41" s="23">
        <v>0</v>
      </c>
      <c r="F41" s="23">
        <v>0.99999999999999001</v>
      </c>
      <c r="G41" s="23">
        <v>9.0248157883817305E-15</v>
      </c>
      <c r="H41" s="1">
        <f>Table271416[[#This Row],[eff_S]]/O$39-1</f>
        <v>4.9277175662119088E-3</v>
      </c>
      <c r="I41" s="1">
        <f>Table271416[[#This Row],[eff_D]]/O$40-1</f>
        <v>4.4193944534300922E-3</v>
      </c>
      <c r="J41" s="1">
        <f>Table271416[[#This Row],[eff_T]]/O$41-1</f>
        <v>7.2054703129464936E-3</v>
      </c>
      <c r="K41" s="8"/>
      <c r="N41" t="s">
        <v>13</v>
      </c>
      <c r="O41">
        <v>0.99284607706636296</v>
      </c>
      <c r="P41">
        <v>0.99580000000000002</v>
      </c>
      <c r="Q41" s="1">
        <f t="shared" si="0"/>
        <v>-2.9663817369321999E-3</v>
      </c>
    </row>
    <row r="42" spans="1:26" x14ac:dyDescent="0.3">
      <c r="A42">
        <v>50</v>
      </c>
      <c r="B42" s="23">
        <v>0.970064908695914</v>
      </c>
      <c r="C42" s="23">
        <v>2.1829442775133101E-2</v>
      </c>
      <c r="D42" s="23">
        <v>0.97041897686692602</v>
      </c>
      <c r="E42" s="23">
        <v>2.1775263850868799E-2</v>
      </c>
      <c r="F42" s="23">
        <v>0.96206874508181695</v>
      </c>
      <c r="G42" s="23">
        <v>2.58894593312173E-2</v>
      </c>
      <c r="H42" s="1">
        <f>Table271416[[#This Row],[eff_S]]/O$39-1</f>
        <v>-2.5154885413135486E-2</v>
      </c>
      <c r="I42" s="1">
        <f>Table271416[[#This Row],[eff_D]]/O$40-1</f>
        <v>-2.5292358889205002E-2</v>
      </c>
      <c r="J42" s="1">
        <f>Table271416[[#This Row],[eff_T]]/O$41-1</f>
        <v>-3.0999097136472642E-2</v>
      </c>
      <c r="K42" s="8"/>
      <c r="N42" t="s">
        <v>56</v>
      </c>
      <c r="O42">
        <f>O41/O40</f>
        <v>0.99723385551245991</v>
      </c>
      <c r="P42">
        <f>P41/P40</f>
        <v>0.99759567220997802</v>
      </c>
      <c r="Q42" s="1">
        <f t="shared" si="0"/>
        <v>-3.6268872008693442E-4</v>
      </c>
      <c r="U42">
        <v>0.99999999981968501</v>
      </c>
      <c r="V42" s="24">
        <v>1.71061414579583E-10</v>
      </c>
      <c r="W42">
        <v>1</v>
      </c>
      <c r="X42">
        <v>0</v>
      </c>
      <c r="Y42">
        <v>0.99999999945905604</v>
      </c>
      <c r="Z42" s="24">
        <v>5.1318424373874299E-10</v>
      </c>
    </row>
    <row r="43" spans="1:26" x14ac:dyDescent="0.3">
      <c r="A43">
        <v>100</v>
      </c>
      <c r="B43" s="23">
        <v>0.97999165297600199</v>
      </c>
      <c r="C43" s="23">
        <v>1.3999882005215E-2</v>
      </c>
      <c r="D43" s="23">
        <v>0.97999998930346799</v>
      </c>
      <c r="E43" s="23">
        <v>1.3999999847195001E-2</v>
      </c>
      <c r="F43" s="23">
        <v>0.979974969626212</v>
      </c>
      <c r="G43" s="23">
        <v>1.39996536485849E-2</v>
      </c>
      <c r="H43" s="1">
        <f>Table271416[[#This Row],[eff_S]]/O$39-1</f>
        <v>-1.5179224940883196E-2</v>
      </c>
      <c r="I43" s="1">
        <f>Table271416[[#This Row],[eff_D]]/O$40-1</f>
        <v>-1.5669004179442725E-2</v>
      </c>
      <c r="J43" s="1">
        <f>Table271416[[#This Row],[eff_T]]/O$41-1</f>
        <v>-1.296384982270582E-2</v>
      </c>
      <c r="K43" s="7"/>
      <c r="U43">
        <v>0.999999999999996</v>
      </c>
      <c r="V43" s="24">
        <v>3.0084176095910199E-15</v>
      </c>
      <c r="W43">
        <v>1</v>
      </c>
      <c r="X43">
        <v>0</v>
      </c>
      <c r="Y43">
        <v>0.99999999999999001</v>
      </c>
      <c r="Z43" s="24">
        <v>9.0248157883817305E-15</v>
      </c>
    </row>
    <row r="44" spans="1:26" x14ac:dyDescent="0.3">
      <c r="A44">
        <v>200</v>
      </c>
      <c r="B44" s="23">
        <v>0.99956989619078995</v>
      </c>
      <c r="C44" s="23">
        <v>3.1614463050096798E-4</v>
      </c>
      <c r="D44" s="23">
        <v>0.99994173465155001</v>
      </c>
      <c r="E44" s="23">
        <v>5.2348529766710901E-5</v>
      </c>
      <c r="F44" s="23">
        <v>0.998769082958745</v>
      </c>
      <c r="G44" s="23">
        <v>8.9639788280665596E-4</v>
      </c>
      <c r="H44" s="1">
        <f>Table271416[[#This Row],[eff_S]]/O$39-1</f>
        <v>4.4954943269099878E-3</v>
      </c>
      <c r="I44" s="1">
        <f>Table271416[[#This Row],[eff_D]]/O$40-1</f>
        <v>4.3608716074223786E-3</v>
      </c>
      <c r="J44" s="1">
        <f>Table271416[[#This Row],[eff_T]]/O$41-1</f>
        <v>5.9656839355031188E-3</v>
      </c>
      <c r="K44" s="6"/>
      <c r="U44">
        <v>0.970064908695914</v>
      </c>
      <c r="V44">
        <v>2.1829442775133101E-2</v>
      </c>
      <c r="W44">
        <v>0.97041897686692602</v>
      </c>
      <c r="X44">
        <v>2.1775263850868799E-2</v>
      </c>
      <c r="Y44">
        <v>0.96206874508181695</v>
      </c>
      <c r="Z44">
        <v>2.58894593312173E-2</v>
      </c>
    </row>
    <row r="45" spans="1:26" x14ac:dyDescent="0.3">
      <c r="A45">
        <v>500</v>
      </c>
      <c r="B45" s="23">
        <v>0.99499795898797005</v>
      </c>
      <c r="C45" s="23">
        <v>2.3762164919281701E-3</v>
      </c>
      <c r="D45" s="23">
        <v>0.996084551598858</v>
      </c>
      <c r="E45" s="23">
        <v>2.2685587248155699E-3</v>
      </c>
      <c r="F45" s="23">
        <v>0.99122393539829401</v>
      </c>
      <c r="G45" s="23">
        <v>3.33310934633554E-3</v>
      </c>
      <c r="H45" s="1">
        <f>Table271416[[#This Row],[eff_S]]/O$39-1</f>
        <v>-9.8972091175930643E-5</v>
      </c>
      <c r="I45" s="1">
        <f>Table271416[[#This Row],[eff_D]]/O$40-1</f>
        <v>4.8664214134142014E-4</v>
      </c>
      <c r="J45" s="1">
        <f>Table271416[[#This Row],[eff_T]]/O$41-1</f>
        <v>-1.6338299617015828E-3</v>
      </c>
      <c r="K45" s="6"/>
      <c r="U45">
        <v>0.97999165297600199</v>
      </c>
      <c r="V45">
        <v>1.3999882005215E-2</v>
      </c>
      <c r="W45">
        <v>0.97999998930346799</v>
      </c>
      <c r="X45">
        <v>1.3999999847195001E-2</v>
      </c>
      <c r="Y45">
        <v>0.979974969626212</v>
      </c>
      <c r="Z45">
        <v>1.39996536485849E-2</v>
      </c>
    </row>
    <row r="46" spans="1:26" x14ac:dyDescent="0.3">
      <c r="A46">
        <v>1000</v>
      </c>
      <c r="B46" s="23">
        <v>0.99390900428458095</v>
      </c>
      <c r="C46" s="23">
        <v>2.0195745020872E-3</v>
      </c>
      <c r="D46" s="23">
        <v>0.99462806647793101</v>
      </c>
      <c r="E46" s="23">
        <v>1.9807643881555601E-3</v>
      </c>
      <c r="F46" s="23">
        <v>0.99058665171220694</v>
      </c>
      <c r="G46" s="23">
        <v>2.6438451896979801E-3</v>
      </c>
      <c r="H46" s="1">
        <f>Table271416[[#This Row],[eff_S]]/O$39-1</f>
        <v>-1.1932928557857325E-3</v>
      </c>
      <c r="I46" s="1">
        <f>Table271416[[#This Row],[eff_D]]/O$40-1</f>
        <v>-9.7627976185055143E-4</v>
      </c>
      <c r="J46" s="1">
        <f>Table271416[[#This Row],[eff_T]]/O$41-1</f>
        <v>-2.275705576469722E-3</v>
      </c>
      <c r="K46" s="6"/>
      <c r="U46">
        <v>0.99956989619078995</v>
      </c>
      <c r="V46">
        <v>3.1614463050096798E-4</v>
      </c>
      <c r="W46">
        <v>0.99994173465155001</v>
      </c>
      <c r="X46" s="24">
        <v>5.2348529766710901E-5</v>
      </c>
      <c r="Y46">
        <v>0.998769082958745</v>
      </c>
      <c r="Z46">
        <v>8.9639788280665596E-4</v>
      </c>
    </row>
    <row r="47" spans="1:26" x14ac:dyDescent="0.3">
      <c r="A47">
        <v>2000</v>
      </c>
      <c r="B47" s="23">
        <v>0.992605536796623</v>
      </c>
      <c r="C47" s="23">
        <v>1.68090683459786E-3</v>
      </c>
      <c r="D47" s="23">
        <v>0.99343289684023095</v>
      </c>
      <c r="E47" s="23">
        <v>1.6549606390527901E-3</v>
      </c>
      <c r="F47" s="23">
        <v>0.98965852245864605</v>
      </c>
      <c r="G47" s="23">
        <v>1.9748959202550401E-3</v>
      </c>
      <c r="H47" s="1">
        <f>Table271416[[#This Row],[eff_S]]/O$39-1</f>
        <v>-2.5031834633810757E-3</v>
      </c>
      <c r="I47" s="1">
        <f>Table271416[[#This Row],[eff_D]]/O$40-1</f>
        <v>-2.1767313256183529E-3</v>
      </c>
      <c r="J47" s="1">
        <f>Table271416[[#This Row],[eff_T]]/O$41-1</f>
        <v>-3.2105224378137232E-3</v>
      </c>
      <c r="K47" s="5"/>
      <c r="U47">
        <v>0.99499795898797005</v>
      </c>
      <c r="V47">
        <v>2.3762164919281701E-3</v>
      </c>
      <c r="W47">
        <v>0.996084551598858</v>
      </c>
      <c r="X47">
        <v>2.2685587248155699E-3</v>
      </c>
      <c r="Y47">
        <v>0.99122393539829401</v>
      </c>
      <c r="Z47">
        <v>3.33310934633554E-3</v>
      </c>
    </row>
    <row r="48" spans="1:26" x14ac:dyDescent="0.3">
      <c r="A48">
        <v>5000</v>
      </c>
      <c r="B48" s="23">
        <v>0.99410924519933097</v>
      </c>
      <c r="C48" s="23">
        <v>8.8359661977801597E-4</v>
      </c>
      <c r="D48" s="23">
        <v>0.994781155479603</v>
      </c>
      <c r="E48" s="23">
        <v>8.6553760692667601E-4</v>
      </c>
      <c r="F48" s="23">
        <v>0.99084478174499802</v>
      </c>
      <c r="G48" s="23">
        <v>1.17121802868312E-3</v>
      </c>
      <c r="H48" s="1">
        <f>Table271416[[#This Row],[eff_S]]/O$39-1</f>
        <v>-9.9206521036254713E-4</v>
      </c>
      <c r="I48" s="1">
        <f>Table271416[[#This Row],[eff_D]]/O$40-1</f>
        <v>-8.2251419949364024E-4</v>
      </c>
      <c r="J48" s="1">
        <f>Table271416[[#This Row],[eff_T]]/O$41-1</f>
        <v>-2.0157155953904882E-3</v>
      </c>
      <c r="K48" s="5"/>
      <c r="U48">
        <v>0.99390900428458095</v>
      </c>
      <c r="V48">
        <v>2.0195745020872E-3</v>
      </c>
      <c r="W48">
        <v>0.99462806647793101</v>
      </c>
      <c r="X48">
        <v>1.9807643881555601E-3</v>
      </c>
      <c r="Y48">
        <v>0.99058665171220694</v>
      </c>
      <c r="Z48">
        <v>2.6438451896979801E-3</v>
      </c>
    </row>
    <row r="49" spans="1:26" x14ac:dyDescent="0.3">
      <c r="A49">
        <v>10000</v>
      </c>
      <c r="B49" s="23">
        <v>0.99388883588608201</v>
      </c>
      <c r="C49" s="23">
        <v>6.6943789598781795E-4</v>
      </c>
      <c r="D49" s="23">
        <v>0.99446307643931098</v>
      </c>
      <c r="E49" s="23">
        <v>6.6134781300446102E-4</v>
      </c>
      <c r="F49" s="23">
        <v>0.9912131953776</v>
      </c>
      <c r="G49" s="23">
        <v>8.2464157183411097E-4</v>
      </c>
      <c r="H49" s="1">
        <f>Table271416[[#This Row],[eff_S]]/O$39-1</f>
        <v>-1.2135606384562347E-3</v>
      </c>
      <c r="I49" s="1">
        <f>Table271416[[#This Row],[eff_D]]/O$40-1</f>
        <v>-1.1419989565321087E-3</v>
      </c>
      <c r="J49" s="1">
        <f>Table271416[[#This Row],[eff_T]]/O$41-1</f>
        <v>-1.6446473692959263E-3</v>
      </c>
      <c r="K49" s="4"/>
      <c r="U49">
        <v>0.992605536796623</v>
      </c>
      <c r="V49">
        <v>1.68090683459786E-3</v>
      </c>
      <c r="W49">
        <v>0.99343289684023095</v>
      </c>
      <c r="X49">
        <v>1.6549606390527901E-3</v>
      </c>
      <c r="Y49">
        <v>0.98965852245864605</v>
      </c>
      <c r="Z49">
        <v>1.9748959202550401E-3</v>
      </c>
    </row>
    <row r="50" spans="1:26" x14ac:dyDescent="0.3">
      <c r="A50">
        <v>20000</v>
      </c>
      <c r="B50" s="23">
        <v>0.99319310377730197</v>
      </c>
      <c r="C50" s="23">
        <v>4.99428229501529E-4</v>
      </c>
      <c r="D50" s="23">
        <v>0.993861546500725</v>
      </c>
      <c r="E50" s="23">
        <v>4.9401980242849903E-4</v>
      </c>
      <c r="F50" s="23">
        <v>0.99020089552851598</v>
      </c>
      <c r="G50" s="23">
        <v>6.12389299849326E-4</v>
      </c>
      <c r="H50" s="1">
        <f>Table271416[[#This Row],[eff_S]]/O$39-1</f>
        <v>-1.9127211185701043E-3</v>
      </c>
      <c r="I50" s="1">
        <f>Table271416[[#This Row],[eff_D]]/O$40-1</f>
        <v>-1.7461872931922029E-3</v>
      </c>
      <c r="J50" s="1">
        <f>Table271416[[#This Row],[eff_T]]/O$41-1</f>
        <v>-2.6642413148902921E-3</v>
      </c>
      <c r="K50" s="4"/>
      <c r="U50">
        <v>0.99410924519933097</v>
      </c>
      <c r="V50">
        <v>8.8359661977801597E-4</v>
      </c>
      <c r="W50">
        <v>0.994781155479603</v>
      </c>
      <c r="X50">
        <v>8.6553760692667601E-4</v>
      </c>
      <c r="Y50">
        <v>0.99084478174499802</v>
      </c>
      <c r="Z50">
        <v>1.17121802868312E-3</v>
      </c>
    </row>
    <row r="51" spans="1:26" x14ac:dyDescent="0.3">
      <c r="A51">
        <v>50000</v>
      </c>
      <c r="B51" s="23">
        <v>0.99394377663695599</v>
      </c>
      <c r="C51" s="23">
        <v>2.9367185763361502E-4</v>
      </c>
      <c r="D51" s="23">
        <v>0.99461582407881199</v>
      </c>
      <c r="E51" s="23">
        <v>2.8940160557082401E-4</v>
      </c>
      <c r="F51" s="23">
        <v>0.99104667163104598</v>
      </c>
      <c r="G51" s="23">
        <v>3.66315659606289E-4</v>
      </c>
      <c r="H51" s="1">
        <f>Table271416[[#This Row],[eff_S]]/O$39-1</f>
        <v>-1.1583491550790637E-3</v>
      </c>
      <c r="I51" s="1">
        <f>Table271416[[#This Row],[eff_D]]/O$40-1</f>
        <v>-9.8857626496029471E-4</v>
      </c>
      <c r="J51" s="1">
        <f>Table271416[[#This Row],[eff_T]]/O$41-1</f>
        <v>-1.8123709977621028E-3</v>
      </c>
      <c r="K51" s="4"/>
      <c r="U51">
        <v>0.99388883588608201</v>
      </c>
      <c r="V51">
        <v>6.6943789598781795E-4</v>
      </c>
      <c r="W51">
        <v>0.99446307643931098</v>
      </c>
      <c r="X51">
        <v>6.6134781300446102E-4</v>
      </c>
      <c r="Y51">
        <v>0.9912131953776</v>
      </c>
      <c r="Z51">
        <v>8.2464157183411097E-4</v>
      </c>
    </row>
    <row r="52" spans="1:26" x14ac:dyDescent="0.3">
      <c r="A52">
        <v>100000</v>
      </c>
      <c r="B52" s="23">
        <v>0.99313535759462401</v>
      </c>
      <c r="C52" s="23">
        <v>2.2237412082196599E-4</v>
      </c>
      <c r="D52" s="23">
        <v>0.99385636010654499</v>
      </c>
      <c r="E52" s="23">
        <v>2.1943915132372599E-4</v>
      </c>
      <c r="F52" s="23">
        <v>0.98996611514533295</v>
      </c>
      <c r="G52" s="23">
        <v>2.7551399163161901E-4</v>
      </c>
      <c r="H52" s="1">
        <f>Table271416[[#This Row],[eff_S]]/O$39-1</f>
        <v>-1.9707518581267847E-3</v>
      </c>
      <c r="I52" s="1">
        <f>Table271416[[#This Row],[eff_D]]/O$40-1</f>
        <v>-1.7513966080938692E-3</v>
      </c>
      <c r="J52" s="1">
        <f>Table271416[[#This Row],[eff_T]]/O$41-1</f>
        <v>-2.9007134011544977E-3</v>
      </c>
      <c r="U52">
        <v>0.99319310377730197</v>
      </c>
      <c r="V52">
        <v>4.99428229501529E-4</v>
      </c>
      <c r="W52">
        <v>0.993861546500725</v>
      </c>
      <c r="X52">
        <v>4.9401980242849903E-4</v>
      </c>
      <c r="Y52">
        <v>0.99020089552851598</v>
      </c>
      <c r="Z52">
        <v>6.12389299849326E-4</v>
      </c>
    </row>
    <row r="53" spans="1:26" x14ac:dyDescent="0.3">
      <c r="B53" s="1"/>
      <c r="C53" s="1"/>
      <c r="D53" s="1"/>
      <c r="E53" s="1"/>
      <c r="F53" s="1"/>
      <c r="G53" s="1"/>
      <c r="H53" s="1">
        <f>Table271416[[#This Row],[eff_S]]/O$39-1</f>
        <v>-1</v>
      </c>
      <c r="I53" s="1">
        <f>Table271416[[#This Row],[eff_D]]/O$40-1</f>
        <v>-1</v>
      </c>
      <c r="J53" s="1">
        <f>Table271416[[#This Row],[eff_T]]/O$41-1</f>
        <v>-1</v>
      </c>
      <c r="U53">
        <v>0.99394377663695599</v>
      </c>
      <c r="V53">
        <v>2.9367185763361502E-4</v>
      </c>
      <c r="W53">
        <v>0.99461582407881199</v>
      </c>
      <c r="X53">
        <v>2.8940160557082401E-4</v>
      </c>
      <c r="Y53">
        <v>0.99104667163104598</v>
      </c>
      <c r="Z53">
        <v>3.66315659606289E-4</v>
      </c>
    </row>
    <row r="54" spans="1:26" x14ac:dyDescent="0.3">
      <c r="B54" s="1"/>
      <c r="C54" s="1"/>
      <c r="D54" s="1"/>
      <c r="E54" s="1"/>
      <c r="F54" s="1"/>
      <c r="G54" s="1"/>
      <c r="H54" s="1">
        <f>Table271416[[#This Row],[eff_S]]/O$39-1</f>
        <v>-1</v>
      </c>
      <c r="I54" s="1">
        <f>Table271416[[#This Row],[eff_D]]/O$40-1</f>
        <v>-1</v>
      </c>
      <c r="J54" s="1">
        <f>Table271416[[#This Row],[eff_T]]/O$41-1</f>
        <v>-1</v>
      </c>
      <c r="U54">
        <v>0.99313535759462401</v>
      </c>
      <c r="V54">
        <v>2.2237412082196599E-4</v>
      </c>
      <c r="W54">
        <v>0.99385636010654499</v>
      </c>
      <c r="X54">
        <v>2.1943915132372599E-4</v>
      </c>
      <c r="Y54">
        <v>0.98996611514533295</v>
      </c>
      <c r="Z54">
        <v>2.7551399163161901E-4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0.3302/SQRT(B57)</f>
        <v>1.0441840833875988E-3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63"/>
  <sheetViews>
    <sheetView topLeftCell="A27" workbookViewId="0">
      <selection activeCell="N42" sqref="N42:Q42"/>
    </sheetView>
  </sheetViews>
  <sheetFormatPr defaultRowHeight="14.4" x14ac:dyDescent="0.3"/>
  <cols>
    <col min="2" max="2" width="11" bestFit="1" customWidth="1"/>
    <col min="3" max="3" width="10.33203125" customWidth="1"/>
    <col min="5" max="5" width="10.5546875" customWidth="1"/>
    <col min="7" max="7" width="10.33203125" customWidth="1"/>
    <col min="14" max="14" width="10.441406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21</v>
      </c>
      <c r="H8" s="9" t="s">
        <v>22</v>
      </c>
      <c r="I8" s="9">
        <v>18.591000000000001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0.77669130719101798</v>
      </c>
      <c r="C10" s="3">
        <f>Table1[[#This Row],[eff_D]]/B$31-1</f>
        <v>0.3069008218623821</v>
      </c>
      <c r="D10" s="8"/>
    </row>
    <row r="11" spans="1:10" x14ac:dyDescent="0.3">
      <c r="A11">
        <v>4</v>
      </c>
      <c r="B11" s="1">
        <v>0.735594210869569</v>
      </c>
      <c r="C11" s="3">
        <f>Table1[[#This Row],[eff_D]]/B$31-1</f>
        <v>0.23774872956859028</v>
      </c>
      <c r="D11" s="8"/>
    </row>
    <row r="12" spans="1:10" x14ac:dyDescent="0.3">
      <c r="A12">
        <v>5</v>
      </c>
      <c r="B12" s="1">
        <v>0.70927194457259601</v>
      </c>
      <c r="C12" s="3">
        <f>Table1[[#This Row],[eff_D]]/B$31-1</f>
        <v>0.19345752772521219</v>
      </c>
      <c r="D12" s="8"/>
    </row>
    <row r="13" spans="1:10" x14ac:dyDescent="0.3">
      <c r="A13">
        <v>6</v>
      </c>
      <c r="B13" s="1">
        <v>0.69099069937771895</v>
      </c>
      <c r="C13" s="3">
        <f>Table1[[#This Row],[eff_D]]/B$31-1</f>
        <v>0.16269656239876928</v>
      </c>
      <c r="D13" s="8"/>
    </row>
    <row r="14" spans="1:10" x14ac:dyDescent="0.3">
      <c r="A14">
        <v>7</v>
      </c>
      <c r="B14" s="1">
        <v>0.67755909684523297</v>
      </c>
      <c r="C14" s="3">
        <f>Table1[[#This Row],[eff_D]]/B$31-1</f>
        <v>0.14009585575236705</v>
      </c>
      <c r="D14" s="8"/>
    </row>
    <row r="15" spans="1:10" x14ac:dyDescent="0.3">
      <c r="A15">
        <v>10</v>
      </c>
      <c r="B15" s="1">
        <v>0.65255096279128899</v>
      </c>
      <c r="C15" s="3">
        <f>Table1[[#This Row],[eff_D]]/B$31-1</f>
        <v>9.8015880547615675E-2</v>
      </c>
      <c r="D15" s="8"/>
    </row>
    <row r="16" spans="1:10" x14ac:dyDescent="0.3">
      <c r="A16">
        <v>20</v>
      </c>
      <c r="B16" s="1">
        <v>0.62213697803744095</v>
      </c>
      <c r="C16" s="3">
        <f>Table1[[#This Row],[eff_D]]/B$31-1</f>
        <v>4.6839742353579794E-2</v>
      </c>
      <c r="D16" s="7"/>
    </row>
    <row r="17" spans="1:4" x14ac:dyDescent="0.3">
      <c r="A17">
        <v>50</v>
      </c>
      <c r="B17" s="1">
        <v>0.60397522702067896</v>
      </c>
      <c r="C17" s="3">
        <f>Table1[[#This Row],[eff_D]]/B$31-1</f>
        <v>1.6279844089611251E-2</v>
      </c>
      <c r="D17" s="7"/>
    </row>
    <row r="18" spans="1:4" x14ac:dyDescent="0.3">
      <c r="A18">
        <v>80</v>
      </c>
      <c r="B18" s="1">
        <v>0.59995273938735905</v>
      </c>
      <c r="C18" s="3">
        <f>Table1[[#This Row],[eff_D]]/B$31-1</f>
        <v>9.5113990906199319E-3</v>
      </c>
      <c r="D18" s="7"/>
    </row>
    <row r="19" spans="1:4" x14ac:dyDescent="0.3">
      <c r="A19">
        <v>100</v>
      </c>
      <c r="B19" s="1">
        <v>0.59874851595299095</v>
      </c>
      <c r="C19" s="3">
        <f>Table1[[#This Row],[eff_D]]/B$31-1</f>
        <v>7.4851106778226484E-3</v>
      </c>
      <c r="D19" s="7"/>
    </row>
    <row r="20" spans="1:4" x14ac:dyDescent="0.3">
      <c r="A20">
        <v>200</v>
      </c>
      <c r="B20" s="1">
        <v>0.59651454108160695</v>
      </c>
      <c r="C20" s="3">
        <f>Table1[[#This Row],[eff_D]]/B$31-1</f>
        <v>3.7261094267455608E-3</v>
      </c>
      <c r="D20" s="6"/>
    </row>
    <row r="21" spans="1:4" x14ac:dyDescent="0.3">
      <c r="A21">
        <v>500</v>
      </c>
      <c r="B21" s="1">
        <v>0.59517542371114196</v>
      </c>
      <c r="C21" s="3">
        <f>Table1[[#This Row],[eff_D]]/B$31-1</f>
        <v>1.472841525035351E-3</v>
      </c>
      <c r="D21" s="6"/>
    </row>
    <row r="22" spans="1:4" x14ac:dyDescent="0.3">
      <c r="A22">
        <v>1000</v>
      </c>
      <c r="B22" s="1">
        <v>0.59473288407093094</v>
      </c>
      <c r="C22" s="3">
        <f>Table1[[#This Row],[eff_D]]/B$31-1</f>
        <v>7.2820151922647902E-4</v>
      </c>
      <c r="D22" s="5"/>
    </row>
    <row r="23" spans="1:4" x14ac:dyDescent="0.3">
      <c r="A23">
        <v>2000</v>
      </c>
      <c r="B23" s="1">
        <v>0.59451245628628702</v>
      </c>
      <c r="C23" s="3">
        <f>Table1[[#This Row],[eff_D]]/B$31-1</f>
        <v>3.5729836858555686E-4</v>
      </c>
      <c r="D23" s="5"/>
    </row>
    <row r="24" spans="1:4" x14ac:dyDescent="0.3">
      <c r="A24">
        <v>5000</v>
      </c>
      <c r="B24" s="1">
        <v>0.59438164204686295</v>
      </c>
      <c r="C24" s="3">
        <f>Table1[[#This Row],[eff_D]]/B$31-1</f>
        <v>1.3718358755010485E-4</v>
      </c>
      <c r="D24" s="5"/>
    </row>
    <row r="25" spans="1:4" x14ac:dyDescent="0.3">
      <c r="A25">
        <v>7000</v>
      </c>
      <c r="B25" s="1">
        <v>0.59435599606867795</v>
      </c>
      <c r="C25" s="3">
        <f>Table1[[#This Row],[eff_D]]/B$31-1</f>
        <v>9.4030342937756473E-5</v>
      </c>
      <c r="D25" s="4"/>
    </row>
    <row r="26" spans="1:4" x14ac:dyDescent="0.3">
      <c r="A26">
        <v>10000</v>
      </c>
      <c r="B26" s="1">
        <v>0.59433790261086905</v>
      </c>
      <c r="C26" s="3">
        <f>Table1[[#This Row],[eff_D]]/B$31-1</f>
        <v>6.3585358345052967E-5</v>
      </c>
      <c r="D26" s="4"/>
    </row>
    <row r="27" spans="1:4" x14ac:dyDescent="0.3">
      <c r="A27">
        <v>20000</v>
      </c>
      <c r="B27" s="1">
        <v>0.59431578709092303</v>
      </c>
      <c r="C27" s="3">
        <f>Table1[[#This Row],[eff_D]]/B$31-1</f>
        <v>2.6372644714944826E-5</v>
      </c>
      <c r="D27" s="4"/>
    </row>
    <row r="28" spans="1:4" x14ac:dyDescent="0.3">
      <c r="A28">
        <v>50000</v>
      </c>
      <c r="B28" s="1">
        <v>0.59430266878654503</v>
      </c>
      <c r="C28" s="3">
        <f>Table1[[#This Row],[eff_D]]/B$31-1</f>
        <v>4.2991096897981862E-6</v>
      </c>
      <c r="D28" s="4"/>
    </row>
    <row r="29" spans="1:4" x14ac:dyDescent="0.3">
      <c r="A29">
        <v>70000</v>
      </c>
      <c r="B29" s="1">
        <v>0.59430011382516701</v>
      </c>
      <c r="C29" s="3">
        <f>Table1[[#This Row],[eff_D]]/B$31-1</f>
        <v>0</v>
      </c>
      <c r="D29" s="4"/>
    </row>
    <row r="31" spans="1:4" x14ac:dyDescent="0.3">
      <c r="A31" t="s">
        <v>6</v>
      </c>
      <c r="B31" s="2">
        <v>0.59430011382516701</v>
      </c>
    </row>
    <row r="33" spans="1:26" x14ac:dyDescent="0.3">
      <c r="A33" t="s">
        <v>7</v>
      </c>
      <c r="C33">
        <v>7000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t="s">
        <v>48</v>
      </c>
      <c r="O38" t="s">
        <v>46</v>
      </c>
      <c r="P38" t="s">
        <v>44</v>
      </c>
      <c r="Q38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  <c r="Q39" s="23"/>
    </row>
    <row r="40" spans="1:26" x14ac:dyDescent="0.3">
      <c r="A40">
        <v>10</v>
      </c>
      <c r="B40" s="23">
        <v>0.65610584333627997</v>
      </c>
      <c r="C40" s="23">
        <v>7.9470048847023397E-2</v>
      </c>
      <c r="D40" s="23">
        <v>0.71674627651659395</v>
      </c>
      <c r="E40" s="23">
        <v>9.3765907334830201E-2</v>
      </c>
      <c r="F40" s="23">
        <v>0.382071508187945</v>
      </c>
      <c r="G40" s="23">
        <v>6.8745984705896407E-2</v>
      </c>
      <c r="H40" s="1">
        <f>Table2[[#This Row],[eff_S]]/O$39-1</f>
        <v>0.13891191611971188</v>
      </c>
      <c r="I40" s="1">
        <f>Table2[[#This Row],[eff_D]]/O$40-1</f>
        <v>0.20592083070997358</v>
      </c>
      <c r="J40" s="1">
        <f>Table2[[#This Row],[eff_T]]/O$41-1</f>
        <v>0.17226823577308203</v>
      </c>
      <c r="K40" s="8"/>
      <c r="N40" t="s">
        <v>3</v>
      </c>
      <c r="O40">
        <v>0.59435599606867795</v>
      </c>
      <c r="P40">
        <v>0.59640000000000004</v>
      </c>
      <c r="Q40" s="1">
        <f>O40/P40-1</f>
        <v>-3.4272366387023689E-3</v>
      </c>
    </row>
    <row r="41" spans="1:26" x14ac:dyDescent="0.3">
      <c r="A41">
        <v>20</v>
      </c>
      <c r="B41" s="23">
        <v>0.64693469255915903</v>
      </c>
      <c r="C41" s="23">
        <v>5.1761451419199002E-2</v>
      </c>
      <c r="D41" s="23">
        <v>0.68190260966814698</v>
      </c>
      <c r="E41" s="23">
        <v>6.3555986116614005E-2</v>
      </c>
      <c r="F41" s="23">
        <v>0.36721287541150999</v>
      </c>
      <c r="G41" s="23">
        <v>6.1758227447615499E-2</v>
      </c>
      <c r="H41" s="1">
        <f>Table2[[#This Row],[eff_S]]/O$39-1</f>
        <v>0.12299202604301263</v>
      </c>
      <c r="I41" s="1">
        <f>Table2[[#This Row],[eff_D]]/O$40-1</f>
        <v>0.14729659358791602</v>
      </c>
      <c r="J41" s="1">
        <f>Table2[[#This Row],[eff_T]]/O$41-1</f>
        <v>0.12667911735532433</v>
      </c>
      <c r="K41" s="8"/>
      <c r="N41" t="s">
        <v>13</v>
      </c>
      <c r="O41">
        <v>0.325924985876614</v>
      </c>
      <c r="P41">
        <v>0.32669999999999999</v>
      </c>
      <c r="Q41" s="1">
        <f>O41/P41-1</f>
        <v>-2.3722501481052705E-3</v>
      </c>
    </row>
    <row r="42" spans="1:26" x14ac:dyDescent="0.3">
      <c r="A42">
        <v>50</v>
      </c>
      <c r="B42" s="23">
        <v>0.55983914095167497</v>
      </c>
      <c r="C42" s="23">
        <v>3.9613580555992699E-2</v>
      </c>
      <c r="D42" s="23">
        <v>0.58683321119123499</v>
      </c>
      <c r="E42" s="23">
        <v>4.8664627817552597E-2</v>
      </c>
      <c r="F42" s="23">
        <v>0.29440587235160598</v>
      </c>
      <c r="G42" s="23">
        <v>3.5116021184175103E-2</v>
      </c>
      <c r="H42" s="1">
        <f>Table2[[#This Row],[eff_S]]/O$39-1</f>
        <v>-2.8194192726787359E-2</v>
      </c>
      <c r="I42" s="1">
        <f>Table2[[#This Row],[eff_D]]/O$40-1</f>
        <v>-1.265703539158658E-2</v>
      </c>
      <c r="J42" s="1">
        <f>Table2[[#This Row],[eff_T]]/O$41-1</f>
        <v>-9.6706649968039793E-2</v>
      </c>
      <c r="K42" s="8"/>
      <c r="N42" t="s">
        <v>56</v>
      </c>
      <c r="O42">
        <f>O41/O40</f>
        <v>0.54836661534908338</v>
      </c>
      <c r="P42">
        <f>P41/P40</f>
        <v>0.54778672032193154</v>
      </c>
      <c r="Q42" s="1">
        <f>O42/P42-1</f>
        <v>1.0586146133864105E-3</v>
      </c>
      <c r="U42">
        <v>0.65610584333627997</v>
      </c>
      <c r="V42">
        <v>7.9470048847023397E-2</v>
      </c>
      <c r="W42">
        <v>0.71674627651659395</v>
      </c>
      <c r="X42">
        <v>9.3765907334830201E-2</v>
      </c>
      <c r="Y42">
        <v>0.382071508187945</v>
      </c>
      <c r="Z42">
        <v>6.8745984705896407E-2</v>
      </c>
    </row>
    <row r="43" spans="1:26" x14ac:dyDescent="0.3">
      <c r="A43">
        <v>100</v>
      </c>
      <c r="B43" s="23">
        <v>0.540963650922064</v>
      </c>
      <c r="C43" s="23">
        <v>2.8363905467590801E-2</v>
      </c>
      <c r="D43" s="23">
        <v>0.54877868755437798</v>
      </c>
      <c r="E43" s="23">
        <v>3.4543198424891598E-2</v>
      </c>
      <c r="F43" s="23">
        <v>0.285249833657368</v>
      </c>
      <c r="G43" s="23">
        <v>2.9008062600514299E-2</v>
      </c>
      <c r="H43" s="1">
        <f>Table2[[#This Row],[eff_S]]/O$39-1</f>
        <v>-6.0959516699530036E-2</v>
      </c>
      <c r="I43" s="1">
        <f>Table2[[#This Row],[eff_D]]/O$40-1</f>
        <v>-7.6683517648963861E-2</v>
      </c>
      <c r="J43" s="1">
        <f>Table2[[#This Row],[eff_T]]/O$41-1</f>
        <v>-0.12479912244176472</v>
      </c>
      <c r="K43" s="7"/>
      <c r="U43">
        <v>0.64693469255915903</v>
      </c>
      <c r="V43">
        <v>5.1761451419199002E-2</v>
      </c>
      <c r="W43">
        <v>0.68190260966814698</v>
      </c>
      <c r="X43">
        <v>6.3555986116614005E-2</v>
      </c>
      <c r="Y43">
        <v>0.36721287541150999</v>
      </c>
      <c r="Z43">
        <v>6.1758227447615499E-2</v>
      </c>
    </row>
    <row r="44" spans="1:26" x14ac:dyDescent="0.3">
      <c r="A44">
        <v>200</v>
      </c>
      <c r="B44" s="23">
        <v>0.55249244896146699</v>
      </c>
      <c r="C44" s="23">
        <v>2.1208101703676301E-2</v>
      </c>
      <c r="D44" s="23">
        <v>0.56606350519860404</v>
      </c>
      <c r="E44" s="23">
        <v>2.5225133386429299E-2</v>
      </c>
      <c r="F44" s="23">
        <v>0.30977518000190102</v>
      </c>
      <c r="G44" s="23">
        <v>2.1475292694910102E-2</v>
      </c>
      <c r="H44" s="1">
        <f>Table2[[#This Row],[eff_S]]/O$39-1</f>
        <v>-4.0947066575863222E-2</v>
      </c>
      <c r="I44" s="1">
        <f>Table2[[#This Row],[eff_D]]/O$40-1</f>
        <v>-4.7601927224108831E-2</v>
      </c>
      <c r="J44" s="1">
        <f>Table2[[#This Row],[eff_T]]/O$41-1</f>
        <v>-4.9550683668133533E-2</v>
      </c>
      <c r="K44" s="6"/>
      <c r="U44">
        <v>0.55983914095167497</v>
      </c>
      <c r="V44">
        <v>3.9613580555992699E-2</v>
      </c>
      <c r="W44">
        <v>0.58683321119123499</v>
      </c>
      <c r="X44">
        <v>4.8664627817552597E-2</v>
      </c>
      <c r="Y44">
        <v>0.29440587235160598</v>
      </c>
      <c r="Z44">
        <v>3.5116021184175103E-2</v>
      </c>
    </row>
    <row r="45" spans="1:26" x14ac:dyDescent="0.3">
      <c r="A45">
        <v>500</v>
      </c>
      <c r="B45" s="23">
        <v>0.59137810659816703</v>
      </c>
      <c r="C45" s="23">
        <v>1.2978531130794601E-2</v>
      </c>
      <c r="D45" s="23">
        <v>0.61257613805127398</v>
      </c>
      <c r="E45" s="23">
        <v>1.5603121423672E-2</v>
      </c>
      <c r="F45" s="23">
        <v>0.34463573115456803</v>
      </c>
      <c r="G45" s="23">
        <v>1.35518476239641E-2</v>
      </c>
      <c r="H45" s="1">
        <f>Table2[[#This Row],[eff_S]]/O$39-1</f>
        <v>2.6553229753444318E-2</v>
      </c>
      <c r="I45" s="1">
        <f>Table2[[#This Row],[eff_D]]/O$40-1</f>
        <v>3.0655267387073915E-2</v>
      </c>
      <c r="J45" s="1">
        <f>Table2[[#This Row],[eff_T]]/O$41-1</f>
        <v>5.7408134045413117E-2</v>
      </c>
      <c r="K45" s="6"/>
      <c r="U45">
        <v>0.540963650922064</v>
      </c>
      <c r="V45">
        <v>2.8363905467590801E-2</v>
      </c>
      <c r="W45">
        <v>0.54877868755437798</v>
      </c>
      <c r="X45">
        <v>3.4543198424891598E-2</v>
      </c>
      <c r="Y45">
        <v>0.285249833657368</v>
      </c>
      <c r="Z45">
        <v>2.9008062600514299E-2</v>
      </c>
    </row>
    <row r="46" spans="1:26" x14ac:dyDescent="0.3">
      <c r="A46">
        <v>1000</v>
      </c>
      <c r="B46" s="23">
        <v>0.570594544290979</v>
      </c>
      <c r="C46" s="23">
        <v>9.0873007099102794E-3</v>
      </c>
      <c r="D46" s="23">
        <v>0.58708807273750996</v>
      </c>
      <c r="E46" s="23">
        <v>1.09513207824876E-2</v>
      </c>
      <c r="F46" s="23">
        <v>0.31869171588169298</v>
      </c>
      <c r="G46" s="23">
        <v>9.41743729440217E-3</v>
      </c>
      <c r="H46" s="1">
        <f>Table2[[#This Row],[eff_S]]/O$39-1</f>
        <v>-9.5242522740107693E-3</v>
      </c>
      <c r="I46" s="1">
        <f>Table2[[#This Row],[eff_D]]/O$40-1</f>
        <v>-1.2228232539490014E-2</v>
      </c>
      <c r="J46" s="1">
        <f>Table2[[#This Row],[eff_T]]/O$41-1</f>
        <v>-2.219305149455264E-2</v>
      </c>
      <c r="K46" s="6"/>
      <c r="U46">
        <v>0.55249244896146699</v>
      </c>
      <c r="V46">
        <v>2.1208101703676301E-2</v>
      </c>
      <c r="W46">
        <v>0.56606350519860404</v>
      </c>
      <c r="X46">
        <v>2.5225133386429299E-2</v>
      </c>
      <c r="Y46">
        <v>0.30977518000190102</v>
      </c>
      <c r="Z46">
        <v>2.1475292694910102E-2</v>
      </c>
    </row>
    <row r="47" spans="1:26" x14ac:dyDescent="0.3">
      <c r="A47">
        <v>2000</v>
      </c>
      <c r="B47" s="23">
        <v>0.57508817914514598</v>
      </c>
      <c r="C47" s="23">
        <v>6.41345909305472E-3</v>
      </c>
      <c r="D47" s="23">
        <v>0.59280037576962996</v>
      </c>
      <c r="E47" s="23">
        <v>7.7609314458930304E-3</v>
      </c>
      <c r="F47" s="23">
        <v>0.323086805418763</v>
      </c>
      <c r="G47" s="23">
        <v>6.6277703448255204E-3</v>
      </c>
      <c r="H47" s="1">
        <f>Table2[[#This Row],[eff_S]]/O$39-1</f>
        <v>-1.7239036959864062E-3</v>
      </c>
      <c r="I47" s="1">
        <f>Table2[[#This Row],[eff_D]]/O$40-1</f>
        <v>-2.6173207796968967E-3</v>
      </c>
      <c r="J47" s="1">
        <f>Table2[[#This Row],[eff_T]]/O$41-1</f>
        <v>-8.7080787937058313E-3</v>
      </c>
      <c r="K47" s="5"/>
      <c r="U47">
        <v>0.59137810659816703</v>
      </c>
      <c r="V47">
        <v>1.2978531130794601E-2</v>
      </c>
      <c r="W47">
        <v>0.61257613805127398</v>
      </c>
      <c r="X47">
        <v>1.5603121423672E-2</v>
      </c>
      <c r="Y47">
        <v>0.34463573115456803</v>
      </c>
      <c r="Z47">
        <v>1.35518476239641E-2</v>
      </c>
    </row>
    <row r="48" spans="1:26" x14ac:dyDescent="0.3">
      <c r="A48">
        <v>5000</v>
      </c>
      <c r="B48" s="23">
        <v>0.576651815969351</v>
      </c>
      <c r="C48" s="23">
        <v>4.0508273237274501E-3</v>
      </c>
      <c r="D48" s="23">
        <v>0.59385888694215105</v>
      </c>
      <c r="E48" s="23">
        <v>4.8923067983822396E-3</v>
      </c>
      <c r="F48" s="23">
        <v>0.32493054686997702</v>
      </c>
      <c r="G48" s="23">
        <v>4.2314028388278097E-3</v>
      </c>
      <c r="H48" s="1">
        <f>Table2[[#This Row],[eff_S]]/O$39-1</f>
        <v>9.9036051863343744E-4</v>
      </c>
      <c r="I48" s="1">
        <f>Table2[[#This Row],[eff_D]]/O$40-1</f>
        <v>-8.3638279047404396E-4</v>
      </c>
      <c r="J48" s="1">
        <f>Table2[[#This Row],[eff_T]]/O$41-1</f>
        <v>-3.0511284796479465E-3</v>
      </c>
      <c r="K48" s="5"/>
      <c r="U48">
        <v>0.570594544290979</v>
      </c>
      <c r="V48">
        <v>9.0873007099102794E-3</v>
      </c>
      <c r="W48">
        <v>0.58708807273750996</v>
      </c>
      <c r="X48">
        <v>1.09513207824876E-2</v>
      </c>
      <c r="Y48">
        <v>0.31869171588169298</v>
      </c>
      <c r="Z48">
        <v>9.41743729440217E-3</v>
      </c>
    </row>
    <row r="49" spans="1:26" x14ac:dyDescent="0.3">
      <c r="A49">
        <v>10000</v>
      </c>
      <c r="B49" s="23">
        <v>0.57366540626782903</v>
      </c>
      <c r="C49" s="23">
        <v>2.8875081984947701E-3</v>
      </c>
      <c r="D49" s="23">
        <v>0.59101714283393003</v>
      </c>
      <c r="E49" s="23">
        <v>3.4870391032726998E-3</v>
      </c>
      <c r="F49" s="23">
        <v>0.32319498005130398</v>
      </c>
      <c r="G49" s="23">
        <v>2.9774904749540498E-3</v>
      </c>
      <c r="H49" s="1">
        <f>Table2[[#This Row],[eff_S]]/O$39-1</f>
        <v>-4.1936469551966393E-3</v>
      </c>
      <c r="I49" s="1">
        <f>Table2[[#This Row],[eff_D]]/O$40-1</f>
        <v>-5.6175983027554333E-3</v>
      </c>
      <c r="J49" s="1">
        <f>Table2[[#This Row],[eff_T]]/O$41-1</f>
        <v>-8.37617839567395E-3</v>
      </c>
      <c r="K49" s="4"/>
      <c r="U49">
        <v>0.57508817914514598</v>
      </c>
      <c r="V49">
        <v>6.41345909305472E-3</v>
      </c>
      <c r="W49">
        <v>0.59280037576962996</v>
      </c>
      <c r="X49">
        <v>7.7609314458930304E-3</v>
      </c>
      <c r="Y49">
        <v>0.323086805418763</v>
      </c>
      <c r="Z49">
        <v>6.6277703448255204E-3</v>
      </c>
    </row>
    <row r="50" spans="1:26" x14ac:dyDescent="0.3">
      <c r="A50">
        <v>20000</v>
      </c>
      <c r="B50" s="23">
        <v>0.574618591155998</v>
      </c>
      <c r="C50" s="23">
        <v>2.0495082773096798E-3</v>
      </c>
      <c r="D50" s="23">
        <v>0.59231330182398201</v>
      </c>
      <c r="E50" s="23">
        <v>2.4714642844053799E-3</v>
      </c>
      <c r="F50" s="23">
        <v>0.325137662403992</v>
      </c>
      <c r="G50" s="23">
        <v>2.1124030037584498E-3</v>
      </c>
      <c r="H50" s="1">
        <f>Table2[[#This Row],[eff_S]]/O$39-1</f>
        <v>-2.539045584965427E-3</v>
      </c>
      <c r="I50" s="1">
        <f>Table2[[#This Row],[eff_D]]/O$40-1</f>
        <v>-3.4368194452604195E-3</v>
      </c>
      <c r="J50" s="1">
        <f>Table2[[#This Row],[eff_T]]/O$41-1</f>
        <v>-2.4156585310708412E-3</v>
      </c>
      <c r="K50" s="4"/>
      <c r="U50">
        <v>0.576651815969351</v>
      </c>
      <c r="V50">
        <v>4.0508273237274501E-3</v>
      </c>
      <c r="W50">
        <v>0.59385888694215105</v>
      </c>
      <c r="X50">
        <v>4.8923067983822396E-3</v>
      </c>
      <c r="Y50">
        <v>0.32493054686997702</v>
      </c>
      <c r="Z50">
        <v>4.2314028388278097E-3</v>
      </c>
    </row>
    <row r="51" spans="1:26" x14ac:dyDescent="0.3">
      <c r="A51">
        <v>50000</v>
      </c>
      <c r="B51" s="23">
        <v>0.57739297623535901</v>
      </c>
      <c r="C51" s="23">
        <v>1.2918886161562601E-3</v>
      </c>
      <c r="D51" s="23">
        <v>0.59553775300350498</v>
      </c>
      <c r="E51" s="23">
        <v>1.5565483488560799E-3</v>
      </c>
      <c r="F51" s="23">
        <v>0.32747831174869602</v>
      </c>
      <c r="G51" s="23">
        <v>1.3390530098402399E-3</v>
      </c>
      <c r="H51" s="1">
        <f>Table2[[#This Row],[eff_S]]/O$39-1</f>
        <v>2.2769155269211083E-3</v>
      </c>
      <c r="I51" s="1">
        <f>Table2[[#This Row],[eff_D]]/O$40-1</f>
        <v>1.9882981624541607E-3</v>
      </c>
      <c r="J51" s="1">
        <f>Table2[[#This Row],[eff_T]]/O$41-1</f>
        <v>4.7658999444433192E-3</v>
      </c>
      <c r="K51" s="4"/>
      <c r="U51">
        <v>0.57366540626782903</v>
      </c>
      <c r="V51">
        <v>2.8875081984947701E-3</v>
      </c>
      <c r="W51">
        <v>0.59101714283393003</v>
      </c>
      <c r="X51">
        <v>3.4870391032726998E-3</v>
      </c>
      <c r="Y51">
        <v>0.32319498005130398</v>
      </c>
      <c r="Z51">
        <v>2.9774904749540498E-3</v>
      </c>
    </row>
    <row r="52" spans="1:26" x14ac:dyDescent="0.3">
      <c r="A52">
        <v>100000</v>
      </c>
      <c r="B52" s="23">
        <v>0.57605674113687999</v>
      </c>
      <c r="C52" s="23">
        <v>9.1417582971216695E-4</v>
      </c>
      <c r="D52" s="23">
        <v>0.59433138498034299</v>
      </c>
      <c r="E52" s="23">
        <v>1.1009629699357999E-3</v>
      </c>
      <c r="F52" s="23">
        <v>0.325953978168181</v>
      </c>
      <c r="G52" s="23">
        <v>9.4350819452358205E-4</v>
      </c>
      <c r="H52" s="1">
        <f>Table2[[#This Row],[eff_S]]/O$39-1</f>
        <v>-4.2609732382570265E-5</v>
      </c>
      <c r="I52" s="1">
        <f>Table2[[#This Row],[eff_D]]/O$40-1</f>
        <v>-4.1407992007691519E-5</v>
      </c>
      <c r="J52" s="1">
        <f>Table2[[#This Row],[eff_T]]/O$41-1</f>
        <v>8.8953878417896703E-5</v>
      </c>
      <c r="U52">
        <v>0.574618591155998</v>
      </c>
      <c r="V52">
        <v>2.0495082773096798E-3</v>
      </c>
      <c r="W52">
        <v>0.59231330182398201</v>
      </c>
      <c r="X52">
        <v>2.4714642844053799E-3</v>
      </c>
      <c r="Y52">
        <v>0.325137662403992</v>
      </c>
      <c r="Z52">
        <v>2.1124030037584498E-3</v>
      </c>
    </row>
    <row r="53" spans="1:26" x14ac:dyDescent="0.3">
      <c r="B53" s="1"/>
      <c r="C53" s="1"/>
      <c r="D53" s="1"/>
      <c r="E53" s="1"/>
      <c r="F53" s="1"/>
      <c r="G53" s="1"/>
      <c r="H53" s="1">
        <f>Table2[[#This Row],[eff_S]]/O$39-1</f>
        <v>-1</v>
      </c>
      <c r="I53" s="1">
        <f>Table2[[#This Row],[eff_D]]/O$40-1</f>
        <v>-1</v>
      </c>
      <c r="J53" s="1">
        <f>Table2[[#This Row],[eff_T]]/O$41-1</f>
        <v>-1</v>
      </c>
      <c r="U53">
        <v>0.57739297623535901</v>
      </c>
      <c r="V53">
        <v>1.2918886161562601E-3</v>
      </c>
      <c r="W53">
        <v>0.59553775300350498</v>
      </c>
      <c r="X53">
        <v>1.5565483488560799E-3</v>
      </c>
      <c r="Y53">
        <v>0.32747831174869602</v>
      </c>
      <c r="Z53">
        <v>1.3390530098402399E-3</v>
      </c>
    </row>
    <row r="54" spans="1:26" x14ac:dyDescent="0.3">
      <c r="B54" s="1"/>
      <c r="C54" s="1"/>
      <c r="D54" s="1"/>
      <c r="E54" s="1"/>
      <c r="F54" s="1"/>
      <c r="G54" s="1"/>
      <c r="H54" s="1">
        <f>Table2[[#This Row],[eff_S]]/O$39-1</f>
        <v>-1</v>
      </c>
      <c r="I54" s="1">
        <f>Table2[[#This Row],[eff_D]]/O$40-1</f>
        <v>-1</v>
      </c>
      <c r="J54" s="1">
        <f>Table2[[#This Row],[eff_T]]/O$41-1</f>
        <v>-1</v>
      </c>
      <c r="U54">
        <v>0.57605674113687999</v>
      </c>
      <c r="V54">
        <v>9.1417582971216695E-4</v>
      </c>
      <c r="W54">
        <v>0.59433138498034299</v>
      </c>
      <c r="X54">
        <v>1.1009629699357999E-3</v>
      </c>
      <c r="Y54">
        <v>0.325953978168181</v>
      </c>
      <c r="Z54">
        <v>9.4350819452358205E-4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0.303/POWER(B57,0.483)</f>
        <v>1.1653130995974213E-3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7A3B-906A-403E-B257-B7D51CDFD7F1}">
  <dimension ref="A3:Y63"/>
  <sheetViews>
    <sheetView topLeftCell="C33" workbookViewId="0">
      <selection activeCell="P44" sqref="P44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12" bestFit="1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35</v>
      </c>
      <c r="H8" s="9" t="s">
        <v>22</v>
      </c>
      <c r="I8" s="9">
        <v>20.8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Table1921[[#This Row],[eff_D]]/B$31-1</f>
        <v>-1</v>
      </c>
      <c r="D10" s="6"/>
    </row>
    <row r="11" spans="1:10" x14ac:dyDescent="0.3">
      <c r="A11">
        <v>4</v>
      </c>
      <c r="B11" s="1"/>
      <c r="C11" s="3">
        <f>Table1921[[#This Row],[eff_D]]/B$31-1</f>
        <v>-1</v>
      </c>
      <c r="D11" s="6"/>
    </row>
    <row r="12" spans="1:10" x14ac:dyDescent="0.3">
      <c r="A12">
        <v>5</v>
      </c>
      <c r="B12" s="1"/>
      <c r="C12" s="3">
        <f>Table1921[[#This Row],[eff_D]]/B$31-1</f>
        <v>-1</v>
      </c>
      <c r="D12" s="6"/>
    </row>
    <row r="13" spans="1:10" x14ac:dyDescent="0.3">
      <c r="A13">
        <v>6</v>
      </c>
      <c r="B13" s="1"/>
      <c r="C13" s="3">
        <f>Table1921[[#This Row],[eff_D]]/B$31-1</f>
        <v>-1</v>
      </c>
      <c r="D13" s="6"/>
    </row>
    <row r="14" spans="1:10" x14ac:dyDescent="0.3">
      <c r="A14">
        <v>7</v>
      </c>
      <c r="B14" s="1"/>
      <c r="C14" s="3">
        <f>Table1921[[#This Row],[eff_D]]/B$31-1</f>
        <v>-1</v>
      </c>
      <c r="D14" s="6"/>
    </row>
    <row r="15" spans="1:10" x14ac:dyDescent="0.3">
      <c r="A15">
        <v>10</v>
      </c>
      <c r="B15" s="1"/>
      <c r="C15" s="3">
        <f>Table1921[[#This Row],[eff_D]]/B$31-1</f>
        <v>-1</v>
      </c>
      <c r="D15" s="5"/>
    </row>
    <row r="16" spans="1:10" x14ac:dyDescent="0.3">
      <c r="A16">
        <v>20</v>
      </c>
      <c r="B16" s="1"/>
      <c r="C16" s="3">
        <f>Table1921[[#This Row],[eff_D]]/B$31-1</f>
        <v>-1</v>
      </c>
      <c r="D16" s="5"/>
    </row>
    <row r="17" spans="1:4" x14ac:dyDescent="0.3">
      <c r="A17">
        <v>50</v>
      </c>
      <c r="B17" s="1"/>
      <c r="C17" s="3">
        <f>Table1921[[#This Row],[eff_D]]/B$31-1</f>
        <v>-1</v>
      </c>
      <c r="D17" s="5"/>
    </row>
    <row r="18" spans="1:4" x14ac:dyDescent="0.3">
      <c r="A18">
        <v>80</v>
      </c>
      <c r="B18" s="1"/>
      <c r="C18" s="3">
        <f>Table1921[[#This Row],[eff_D]]/B$31-1</f>
        <v>-1</v>
      </c>
      <c r="D18" s="5"/>
    </row>
    <row r="19" spans="1:4" x14ac:dyDescent="0.3">
      <c r="A19">
        <v>100</v>
      </c>
      <c r="B19" s="1">
        <v>0.53042692856565699</v>
      </c>
      <c r="C19" s="3">
        <f>Table1921[[#This Row],[eff_D]]/B$31-1</f>
        <v>7.843723553722981E-3</v>
      </c>
      <c r="D19" s="5"/>
    </row>
    <row r="20" spans="1:4" x14ac:dyDescent="0.3">
      <c r="A20">
        <v>200</v>
      </c>
      <c r="B20" s="1">
        <v>0.52835232201823101</v>
      </c>
      <c r="C20" s="3">
        <f>Table1921[[#This Row],[eff_D]]/B$31-1</f>
        <v>3.9018437677160733E-3</v>
      </c>
      <c r="D20" s="5"/>
    </row>
    <row r="21" spans="1:4" x14ac:dyDescent="0.3">
      <c r="A21">
        <v>500</v>
      </c>
      <c r="B21" s="1">
        <v>0.52710867933880901</v>
      </c>
      <c r="C21" s="3">
        <f>Table1921[[#This Row],[eff_D]]/B$31-1</f>
        <v>1.5388463381014184E-3</v>
      </c>
      <c r="D21" s="5"/>
    </row>
    <row r="22" spans="1:4" x14ac:dyDescent="0.3">
      <c r="A22">
        <v>1000</v>
      </c>
      <c r="B22" s="1">
        <v>0.52669799511200999</v>
      </c>
      <c r="C22" s="3">
        <f>Table1921[[#This Row],[eff_D]]/B$31-1</f>
        <v>7.5852109808915991E-4</v>
      </c>
      <c r="D22" s="4"/>
    </row>
    <row r="23" spans="1:4" x14ac:dyDescent="0.3">
      <c r="A23">
        <v>2000</v>
      </c>
      <c r="B23" s="1">
        <v>0.52649345825489702</v>
      </c>
      <c r="C23" s="3">
        <f>Table1921[[#This Row],[eff_D]]/B$31-1</f>
        <v>3.6988851445673987E-4</v>
      </c>
      <c r="D23" s="4"/>
    </row>
    <row r="24" spans="1:4" x14ac:dyDescent="0.3">
      <c r="A24">
        <v>5000</v>
      </c>
      <c r="B24" s="1">
        <v>0.52637206784200397</v>
      </c>
      <c r="C24" s="3">
        <f>Table1921[[#This Row],[eff_D]]/B$31-1</f>
        <v>1.3923927863324081E-4</v>
      </c>
      <c r="D24" s="4"/>
    </row>
    <row r="25" spans="1:4" x14ac:dyDescent="0.3">
      <c r="A25">
        <v>7000</v>
      </c>
      <c r="B25" s="1">
        <v>0.52634824329644103</v>
      </c>
      <c r="C25" s="3">
        <f>Table1921[[#This Row],[eff_D]]/B$31-1</f>
        <v>9.397117963794166E-5</v>
      </c>
      <c r="D25" s="4"/>
    </row>
    <row r="26" spans="1:4" x14ac:dyDescent="0.3">
      <c r="A26">
        <v>10000</v>
      </c>
      <c r="B26" s="1">
        <v>0.52633147489239196</v>
      </c>
      <c r="C26" s="3">
        <f>Table1921[[#This Row],[eff_D]]/B$31-1</f>
        <v>6.2110182647012735E-5</v>
      </c>
      <c r="D26" s="4"/>
    </row>
    <row r="27" spans="1:4" x14ac:dyDescent="0.3">
      <c r="A27">
        <v>20000</v>
      </c>
      <c r="B27" s="1">
        <v>0.52631095471210598</v>
      </c>
      <c r="C27" s="3">
        <f>Table1921[[#This Row],[eff_D]]/B$31-1</f>
        <v>2.3120580510349598E-5</v>
      </c>
      <c r="D27" s="4"/>
    </row>
    <row r="28" spans="1:4" x14ac:dyDescent="0.3">
      <c r="A28">
        <v>50000</v>
      </c>
      <c r="B28" s="1">
        <v>0.52629878637864302</v>
      </c>
      <c r="C28" s="3">
        <f>Table1921[[#This Row],[eff_D]]/B$31-1</f>
        <v>0</v>
      </c>
      <c r="D28" s="4"/>
    </row>
    <row r="29" spans="1:4" x14ac:dyDescent="0.3">
      <c r="A29">
        <v>70000</v>
      </c>
      <c r="B29" s="1"/>
      <c r="C29" s="3">
        <f>Table1921[[#This Row],[eff_D]]/B$31-1</f>
        <v>-1</v>
      </c>
      <c r="D29" s="4"/>
    </row>
    <row r="31" spans="1:4" x14ac:dyDescent="0.3">
      <c r="A31" t="s">
        <v>6</v>
      </c>
      <c r="B31" s="2">
        <v>0.52629878637864302</v>
      </c>
    </row>
    <row r="33" spans="1:25" x14ac:dyDescent="0.3">
      <c r="A33" t="s">
        <v>7</v>
      </c>
      <c r="C33">
        <v>7000</v>
      </c>
    </row>
    <row r="36" spans="1:25" ht="15.6" x14ac:dyDescent="0.3">
      <c r="A36" s="10" t="s">
        <v>8</v>
      </c>
      <c r="N36" s="10" t="s">
        <v>45</v>
      </c>
    </row>
    <row r="38" spans="1:25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0.51917056338767797</v>
      </c>
      <c r="Q39" s="1" t="e">
        <f t="shared" ref="Q39:Q42" si="0">O39/P39-1</f>
        <v>#DIV/0!</v>
      </c>
    </row>
    <row r="40" spans="1:25" x14ac:dyDescent="0.3">
      <c r="A40">
        <v>10</v>
      </c>
      <c r="B40" s="23">
        <v>0.47416252740806702</v>
      </c>
      <c r="C40" s="23">
        <v>8.8637658877051995E-2</v>
      </c>
      <c r="D40" s="23">
        <v>0.47132041531730301</v>
      </c>
      <c r="E40" s="23">
        <v>0.111406952337552</v>
      </c>
      <c r="F40" s="23">
        <v>0.21943446450642801</v>
      </c>
      <c r="G40" s="23">
        <v>7.68171694551395E-2</v>
      </c>
      <c r="H40" s="1">
        <f>Table21022[[#This Row],[eff_S]]/O$39-1</f>
        <v>-8.6692195501080982E-2</v>
      </c>
      <c r="I40" s="1">
        <f>Table21022[[#This Row],[eff_D]]/O$40-1</f>
        <v>-0.10454642659108515</v>
      </c>
      <c r="J40" s="1">
        <f>Table21022[[#This Row],[eff_T]]/O$41-1</f>
        <v>-0.23538122132151895</v>
      </c>
      <c r="K40" s="8"/>
      <c r="N40" t="s">
        <v>3</v>
      </c>
      <c r="O40">
        <v>0.52634824329644103</v>
      </c>
      <c r="P40">
        <v>0.52559999999999996</v>
      </c>
      <c r="Q40" s="1">
        <f t="shared" si="0"/>
        <v>1.4235983570036748E-3</v>
      </c>
      <c r="T40">
        <v>0.47416252740806702</v>
      </c>
      <c r="U40">
        <v>8.8637658877051995E-2</v>
      </c>
      <c r="V40">
        <v>0.47132041531730301</v>
      </c>
      <c r="W40">
        <v>0.111406952337552</v>
      </c>
      <c r="X40">
        <v>0.21943446450642801</v>
      </c>
      <c r="Y40">
        <v>7.68171694551395E-2</v>
      </c>
    </row>
    <row r="41" spans="1:25" x14ac:dyDescent="0.3">
      <c r="A41">
        <v>20</v>
      </c>
      <c r="B41" s="23">
        <v>0.64041620319516601</v>
      </c>
      <c r="C41" s="23">
        <v>4.7812540374752702E-2</v>
      </c>
      <c r="D41" s="23">
        <v>0.67928873915215504</v>
      </c>
      <c r="E41" s="23">
        <v>5.9517772737548998E-2</v>
      </c>
      <c r="F41" s="23">
        <v>0.34413617090891102</v>
      </c>
      <c r="G41" s="23">
        <v>5.6802561433209102E-2</v>
      </c>
      <c r="H41" s="1">
        <f>Table21022[[#This Row],[eff_S]]/O$39-1</f>
        <v>0.23353720021477953</v>
      </c>
      <c r="I41" s="1">
        <f>Table21022[[#This Row],[eff_D]]/O$40-1</f>
        <v>0.29056902498214932</v>
      </c>
      <c r="J41" s="1">
        <f>Table21022[[#This Row],[eff_T]]/O$41-1</f>
        <v>0.19914152633827698</v>
      </c>
      <c r="K41" s="8"/>
      <c r="N41" t="s">
        <v>13</v>
      </c>
      <c r="O41">
        <v>0.28698545029940897</v>
      </c>
      <c r="P41">
        <v>0.28470000000000001</v>
      </c>
      <c r="Q41" s="1">
        <f t="shared" si="0"/>
        <v>8.0275739354020992E-3</v>
      </c>
      <c r="T41">
        <v>0.64041620319516601</v>
      </c>
      <c r="U41">
        <v>4.7812540374752702E-2</v>
      </c>
      <c r="V41">
        <v>0.67928873915215504</v>
      </c>
      <c r="W41">
        <v>5.9517772737548998E-2</v>
      </c>
      <c r="X41">
        <v>0.34413617090891102</v>
      </c>
      <c r="Y41">
        <v>5.6802561433209102E-2</v>
      </c>
    </row>
    <row r="42" spans="1:25" x14ac:dyDescent="0.3">
      <c r="A42">
        <v>50</v>
      </c>
      <c r="B42" s="23">
        <v>0.54304652861735703</v>
      </c>
      <c r="C42" s="23">
        <v>3.8496709968436703E-2</v>
      </c>
      <c r="D42" s="23">
        <v>0.55234796993748603</v>
      </c>
      <c r="E42" s="23">
        <v>4.7286065233805602E-2</v>
      </c>
      <c r="F42" s="23">
        <v>0.27732506427584502</v>
      </c>
      <c r="G42" s="23">
        <v>3.9346265630549701E-2</v>
      </c>
      <c r="H42" s="1">
        <f>Table21022[[#This Row],[eff_S]]/O$39-1</f>
        <v>4.5988672920675988E-2</v>
      </c>
      <c r="I42" s="1">
        <f>Table21022[[#This Row],[eff_D]]/O$40-1</f>
        <v>4.9396434722024596E-2</v>
      </c>
      <c r="J42" s="1">
        <f>Table21022[[#This Row],[eff_T]]/O$41-1</f>
        <v>-3.3661588117046892E-2</v>
      </c>
      <c r="K42" s="8"/>
      <c r="N42" t="s">
        <v>56</v>
      </c>
      <c r="O42">
        <f>O41/O40</f>
        <v>0.54523873491447727</v>
      </c>
      <c r="P42">
        <f>P41/P40</f>
        <v>0.54166666666666674</v>
      </c>
      <c r="Q42" s="1">
        <f t="shared" si="0"/>
        <v>6.5945875344195493E-3</v>
      </c>
      <c r="T42">
        <v>0.54304652861735703</v>
      </c>
      <c r="U42">
        <v>3.8496709968436703E-2</v>
      </c>
      <c r="V42">
        <v>0.55234796993748603</v>
      </c>
      <c r="W42">
        <v>4.7286065233805602E-2</v>
      </c>
      <c r="X42">
        <v>0.27732506427584502</v>
      </c>
      <c r="Y42">
        <v>3.9346265630549701E-2</v>
      </c>
    </row>
    <row r="43" spans="1:25" x14ac:dyDescent="0.3">
      <c r="A43">
        <v>100</v>
      </c>
      <c r="B43" s="23">
        <v>0.53238836912738496</v>
      </c>
      <c r="C43" s="23">
        <v>2.91861600836653E-2</v>
      </c>
      <c r="D43" s="23">
        <v>0.54094769469167303</v>
      </c>
      <c r="E43" s="23">
        <v>3.4956129029456003E-2</v>
      </c>
      <c r="F43" s="23">
        <v>0.28245700709173999</v>
      </c>
      <c r="G43" s="23">
        <v>2.9271187044742599E-2</v>
      </c>
      <c r="H43" s="1">
        <f>Table21022[[#This Row],[eff_S]]/O$39-1</f>
        <v>2.5459466833902322E-2</v>
      </c>
      <c r="I43" s="1">
        <f>Table21022[[#This Row],[eff_D]]/O$40-1</f>
        <v>2.7737247309495672E-2</v>
      </c>
      <c r="J43" s="1">
        <f>Table21022[[#This Row],[eff_T]]/O$41-1</f>
        <v>-1.5779347708897773E-2</v>
      </c>
      <c r="K43" s="7"/>
      <c r="T43">
        <v>0.53238836912738496</v>
      </c>
      <c r="U43">
        <v>2.91861600836653E-2</v>
      </c>
      <c r="V43">
        <v>0.54094769469167303</v>
      </c>
      <c r="W43">
        <v>3.4956129029456003E-2</v>
      </c>
      <c r="X43">
        <v>0.28245700709173999</v>
      </c>
      <c r="Y43">
        <v>2.9271187044742599E-2</v>
      </c>
    </row>
    <row r="44" spans="1:25" x14ac:dyDescent="0.3">
      <c r="A44">
        <v>200</v>
      </c>
      <c r="B44" s="23">
        <v>0.49363013349721102</v>
      </c>
      <c r="C44" s="23">
        <v>2.1802390642126499E-2</v>
      </c>
      <c r="D44" s="23">
        <v>0.49446630364592598</v>
      </c>
      <c r="E44" s="23">
        <v>2.61588039822944E-2</v>
      </c>
      <c r="F44" s="23">
        <v>0.26087618253531503</v>
      </c>
      <c r="G44" s="23">
        <v>2.07461421459177E-2</v>
      </c>
      <c r="H44" s="1">
        <f>Table21022[[#This Row],[eff_S]]/O$39-1</f>
        <v>-4.919468030662455E-2</v>
      </c>
      <c r="I44" s="1">
        <f>Table21022[[#This Row],[eff_D]]/O$40-1</f>
        <v>-6.0571950332432345E-2</v>
      </c>
      <c r="J44" s="1">
        <f>Table21022[[#This Row],[eff_T]]/O$41-1</f>
        <v>-9.0977670599169502E-2</v>
      </c>
      <c r="K44" s="6"/>
      <c r="T44">
        <v>0.49363013349721102</v>
      </c>
      <c r="U44">
        <v>2.1802390642126499E-2</v>
      </c>
      <c r="V44">
        <v>0.49446630364592598</v>
      </c>
      <c r="W44">
        <v>2.61588039822944E-2</v>
      </c>
      <c r="X44">
        <v>0.26087618253531503</v>
      </c>
      <c r="Y44">
        <v>2.07461421459177E-2</v>
      </c>
    </row>
    <row r="45" spans="1:25" x14ac:dyDescent="0.3">
      <c r="A45">
        <v>500</v>
      </c>
      <c r="B45" s="23">
        <v>0.53681449258594405</v>
      </c>
      <c r="C45" s="23">
        <v>1.394454466539E-2</v>
      </c>
      <c r="D45" s="23">
        <v>0.54646224494148399</v>
      </c>
      <c r="E45" s="23">
        <v>1.6518798587533301E-2</v>
      </c>
      <c r="F45" s="23">
        <v>0.304861321148509</v>
      </c>
      <c r="G45" s="23">
        <v>1.39250264868045E-2</v>
      </c>
      <c r="H45" s="1">
        <f>Table21022[[#This Row],[eff_S]]/O$39-1</f>
        <v>3.3984841288258627E-2</v>
      </c>
      <c r="I45" s="1">
        <f>Table21022[[#This Row],[eff_D]]/O$40-1</f>
        <v>3.8214246748639269E-2</v>
      </c>
      <c r="J45" s="1">
        <f>Table21022[[#This Row],[eff_T]]/O$41-1</f>
        <v>6.2288422045265079E-2</v>
      </c>
      <c r="K45" s="6"/>
      <c r="T45">
        <v>0.53681449258594405</v>
      </c>
      <c r="U45">
        <v>1.394454466539E-2</v>
      </c>
      <c r="V45">
        <v>0.54646224494148399</v>
      </c>
      <c r="W45">
        <v>1.6518798587533301E-2</v>
      </c>
      <c r="X45">
        <v>0.304861321148509</v>
      </c>
      <c r="Y45">
        <v>1.39250264868045E-2</v>
      </c>
    </row>
    <row r="46" spans="1:25" x14ac:dyDescent="0.3">
      <c r="A46">
        <v>1000</v>
      </c>
      <c r="B46" s="23">
        <v>0.52207054389754104</v>
      </c>
      <c r="C46" s="23">
        <v>9.8047575449849902E-3</v>
      </c>
      <c r="D46" s="23">
        <v>0.52931413425937801</v>
      </c>
      <c r="E46" s="23">
        <v>1.1590737014150899E-2</v>
      </c>
      <c r="F46" s="23">
        <v>0.28837931785243298</v>
      </c>
      <c r="G46" s="23">
        <v>9.6773175490314795E-3</v>
      </c>
      <c r="H46" s="1">
        <f>Table21022[[#This Row],[eff_S]]/O$39-1</f>
        <v>5.5857953327327348E-3</v>
      </c>
      <c r="I46" s="1">
        <f>Table21022[[#This Row],[eff_D]]/O$40-1</f>
        <v>5.6348453722616654E-3</v>
      </c>
      <c r="J46" s="1">
        <f>Table21022[[#This Row],[eff_T]]/O$41-1</f>
        <v>4.8569275953529445E-3</v>
      </c>
      <c r="K46" s="6"/>
      <c r="T46">
        <v>0.52207054389754104</v>
      </c>
      <c r="U46">
        <v>9.8047575449849902E-3</v>
      </c>
      <c r="V46">
        <v>0.52931413425937801</v>
      </c>
      <c r="W46">
        <v>1.1590737014150899E-2</v>
      </c>
      <c r="X46">
        <v>0.28837931785243298</v>
      </c>
      <c r="Y46">
        <v>9.6773175490314795E-3</v>
      </c>
    </row>
    <row r="47" spans="1:25" x14ac:dyDescent="0.3">
      <c r="A47">
        <v>2000</v>
      </c>
      <c r="B47" s="23">
        <v>0.520041742591422</v>
      </c>
      <c r="C47" s="23">
        <v>6.9988364675425598E-3</v>
      </c>
      <c r="D47" s="23">
        <v>0.52718150785831897</v>
      </c>
      <c r="E47" s="23">
        <v>8.3076183420654499E-3</v>
      </c>
      <c r="F47" s="23">
        <v>0.28902550282533601</v>
      </c>
      <c r="G47" s="23">
        <v>6.8244059909498E-3</v>
      </c>
      <c r="H47" s="1">
        <f>Table21022[[#This Row],[eff_S]]/O$39-1</f>
        <v>1.6780211845206505E-3</v>
      </c>
      <c r="I47" s="1">
        <f>Table21022[[#This Row],[eff_D]]/O$40-1</f>
        <v>1.5831050497276955E-3</v>
      </c>
      <c r="J47" s="1">
        <f>Table21022[[#This Row],[eff_T]]/O$41-1</f>
        <v>7.1085573285987191E-3</v>
      </c>
      <c r="K47" s="5"/>
      <c r="T47">
        <v>0.520041742591422</v>
      </c>
      <c r="U47">
        <v>6.9988364675425598E-3</v>
      </c>
      <c r="V47">
        <v>0.52718150785831897</v>
      </c>
      <c r="W47">
        <v>8.3076183420654499E-3</v>
      </c>
      <c r="X47">
        <v>0.28902550282533601</v>
      </c>
      <c r="Y47">
        <v>6.8244059909498E-3</v>
      </c>
    </row>
    <row r="48" spans="1:25" x14ac:dyDescent="0.3">
      <c r="A48">
        <v>5000</v>
      </c>
      <c r="B48" s="23">
        <v>0.51902611844337998</v>
      </c>
      <c r="C48" s="23">
        <v>4.4321383516950199E-3</v>
      </c>
      <c r="D48" s="23">
        <v>0.52619547748791495</v>
      </c>
      <c r="E48" s="23">
        <v>5.2483959088789897E-3</v>
      </c>
      <c r="F48" s="23">
        <v>0.28831330645988901</v>
      </c>
      <c r="G48" s="23">
        <v>4.3279011978043201E-3</v>
      </c>
      <c r="H48" s="1">
        <f>Table21022[[#This Row],[eff_S]]/O$39-1</f>
        <v>-2.7822252354881005E-4</v>
      </c>
      <c r="I48" s="1">
        <f>Table21022[[#This Row],[eff_D]]/O$40-1</f>
        <v>-2.9023713952069929E-4</v>
      </c>
      <c r="J48" s="1">
        <f>Table21022[[#This Row],[eff_T]]/O$41-1</f>
        <v>4.6269110824075366E-3</v>
      </c>
      <c r="K48" s="5"/>
      <c r="T48">
        <v>0.51902611844337998</v>
      </c>
      <c r="U48">
        <v>4.4321383516950199E-3</v>
      </c>
      <c r="V48">
        <v>0.52619547748791495</v>
      </c>
      <c r="W48">
        <v>5.2483959088789897E-3</v>
      </c>
      <c r="X48">
        <v>0.28831330645988901</v>
      </c>
      <c r="Y48">
        <v>4.3279011978043201E-3</v>
      </c>
    </row>
    <row r="49" spans="1:25" x14ac:dyDescent="0.3">
      <c r="A49">
        <v>10000</v>
      </c>
      <c r="B49" s="23">
        <v>0.51945479403330197</v>
      </c>
      <c r="C49" s="23">
        <v>3.1242577666272101E-3</v>
      </c>
      <c r="D49" s="23">
        <v>0.52743409921451501</v>
      </c>
      <c r="E49" s="23">
        <v>3.7025124716189199E-3</v>
      </c>
      <c r="F49" s="23">
        <v>0.28744767384397002</v>
      </c>
      <c r="G49" s="23">
        <v>3.03416002009295E-3</v>
      </c>
      <c r="H49" s="1">
        <f>Table21022[[#This Row],[eff_S]]/O$39-1</f>
        <v>5.4747064966353953E-4</v>
      </c>
      <c r="I49" s="1">
        <f>Table21022[[#This Row],[eff_D]]/O$40-1</f>
        <v>2.0629990351510585E-3</v>
      </c>
      <c r="J49" s="1">
        <f>Table21022[[#This Row],[eff_T]]/O$41-1</f>
        <v>1.6106166500038377E-3</v>
      </c>
      <c r="K49" s="4"/>
      <c r="T49">
        <v>0.51945479403330197</v>
      </c>
      <c r="U49">
        <v>3.1242577666272101E-3</v>
      </c>
      <c r="V49">
        <v>0.52743409921451501</v>
      </c>
      <c r="W49">
        <v>3.7025124716189199E-3</v>
      </c>
      <c r="X49">
        <v>0.28744767384397002</v>
      </c>
      <c r="Y49">
        <v>3.03416002009295E-3</v>
      </c>
    </row>
    <row r="50" spans="1:25" x14ac:dyDescent="0.3">
      <c r="A50">
        <v>20000</v>
      </c>
      <c r="B50" s="23">
        <v>0.51482163006336601</v>
      </c>
      <c r="C50" s="23">
        <v>2.21039147227033E-3</v>
      </c>
      <c r="D50" s="23">
        <v>0.52144161934150901</v>
      </c>
      <c r="E50" s="23">
        <v>2.6187990437078201E-3</v>
      </c>
      <c r="F50" s="23">
        <v>0.28341607032146099</v>
      </c>
      <c r="G50" s="23">
        <v>2.1460397584585102E-3</v>
      </c>
      <c r="H50" s="1">
        <f>Table21022[[#This Row],[eff_S]]/O$39-1</f>
        <v>-8.376694733874035E-3</v>
      </c>
      <c r="I50" s="1">
        <f>Table21022[[#This Row],[eff_D]]/O$40-1</f>
        <v>-9.3220106980932416E-3</v>
      </c>
      <c r="J50" s="1">
        <f>Table21022[[#This Row],[eff_T]]/O$41-1</f>
        <v>-1.2437494563658502E-2</v>
      </c>
      <c r="K50" s="4"/>
      <c r="T50">
        <v>0.51482163006336601</v>
      </c>
      <c r="U50">
        <v>2.21039147227033E-3</v>
      </c>
      <c r="V50">
        <v>0.52144161934150901</v>
      </c>
      <c r="W50">
        <v>2.6187990437078201E-3</v>
      </c>
      <c r="X50">
        <v>0.28341607032146099</v>
      </c>
      <c r="Y50">
        <v>2.1460397584585102E-3</v>
      </c>
    </row>
    <row r="51" spans="1:25" x14ac:dyDescent="0.3">
      <c r="A51">
        <v>50000</v>
      </c>
      <c r="B51" s="23">
        <v>0.51910406383301699</v>
      </c>
      <c r="C51" s="23">
        <v>1.3970855400038101E-3</v>
      </c>
      <c r="D51" s="23">
        <v>0.52618830768631797</v>
      </c>
      <c r="E51" s="23">
        <v>1.65589582506855E-3</v>
      </c>
      <c r="F51" s="23">
        <v>0.287497990245351</v>
      </c>
      <c r="G51" s="23">
        <v>1.3644413209576199E-3</v>
      </c>
      <c r="H51" s="1">
        <f>Table21022[[#This Row],[eff_S]]/O$39-1</f>
        <v>-1.2808806845110432E-4</v>
      </c>
      <c r="I51" s="1">
        <f>Table21022[[#This Row],[eff_D]]/O$40-1</f>
        <v>-3.038589226049826E-4</v>
      </c>
      <c r="J51" s="1">
        <f>Table21022[[#This Row],[eff_T]]/O$41-1</f>
        <v>1.7859440100789215E-3</v>
      </c>
      <c r="K51" s="4"/>
      <c r="T51">
        <v>0.51910406383301699</v>
      </c>
      <c r="U51">
        <v>1.3970855400038101E-3</v>
      </c>
      <c r="V51">
        <v>0.52618830768631797</v>
      </c>
      <c r="W51">
        <v>1.65589582506855E-3</v>
      </c>
      <c r="X51">
        <v>0.287497990245351</v>
      </c>
      <c r="Y51">
        <v>1.3644413209576199E-3</v>
      </c>
    </row>
    <row r="52" spans="1:25" x14ac:dyDescent="0.3">
      <c r="A52">
        <v>100000</v>
      </c>
      <c r="B52" s="23">
        <v>0.51962955346385598</v>
      </c>
      <c r="C52" s="23">
        <v>9.8617753718076707E-4</v>
      </c>
      <c r="D52" s="23">
        <v>0.52687783914703401</v>
      </c>
      <c r="E52" s="23">
        <v>1.1685979689990301E-3</v>
      </c>
      <c r="F52" s="23">
        <v>0.287465309902042</v>
      </c>
      <c r="G52" s="23">
        <v>9.6387482712915096E-4</v>
      </c>
      <c r="H52" s="1">
        <f>Table21022[[#This Row],[eff_S]]/O$39-1</f>
        <v>8.8408339868695229E-4</v>
      </c>
      <c r="I52" s="1">
        <f>Table21022[[#This Row],[eff_D]]/O$40-1</f>
        <v>1.0061700734027568E-3</v>
      </c>
      <c r="J52" s="1">
        <f>Table21022[[#This Row],[eff_T]]/O$41-1</f>
        <v>1.672069445096902E-3</v>
      </c>
      <c r="T52">
        <v>0.51962955346385598</v>
      </c>
      <c r="U52">
        <v>9.8617753718076707E-4</v>
      </c>
      <c r="V52">
        <v>0.52687783914703401</v>
      </c>
      <c r="W52">
        <v>1.1685979689990301E-3</v>
      </c>
      <c r="X52">
        <v>0.287465309902042</v>
      </c>
      <c r="Y52">
        <v>9.6387482712915096E-4</v>
      </c>
    </row>
    <row r="53" spans="1:25" x14ac:dyDescent="0.3">
      <c r="B53" s="1"/>
      <c r="C53" s="1"/>
      <c r="D53" s="1"/>
      <c r="E53" s="1"/>
      <c r="F53" s="1"/>
      <c r="G53" s="1"/>
      <c r="H53" s="1">
        <f>Table21022[[#This Row],[eff_S]]/O$39-1</f>
        <v>-1</v>
      </c>
      <c r="I53" s="1">
        <f>Table21022[[#This Row],[eff_D]]/O$40-1</f>
        <v>-1</v>
      </c>
      <c r="J53" s="1">
        <f>Table21022[[#This Row],[eff_T]]/O$41-1</f>
        <v>-1</v>
      </c>
    </row>
    <row r="54" spans="1:25" x14ac:dyDescent="0.3">
      <c r="B54" s="1"/>
      <c r="C54" s="1"/>
      <c r="D54" s="1"/>
      <c r="E54" s="1"/>
      <c r="F54" s="1"/>
      <c r="G54" s="1"/>
      <c r="H54" s="1">
        <f>Table21022[[#This Row],[eff_S]]/O$39-1</f>
        <v>-1</v>
      </c>
      <c r="I54" s="1">
        <f>Table21022[[#This Row],[eff_D]]/O$40-1</f>
        <v>-1</v>
      </c>
      <c r="J54" s="1">
        <f>Table21022[[#This Row],[eff_T]]/O$41-1</f>
        <v>-1</v>
      </c>
    </row>
    <row r="56" spans="1:25" x14ac:dyDescent="0.3">
      <c r="A56" s="12" t="s">
        <v>19</v>
      </c>
      <c r="B56" s="13"/>
      <c r="C56" s="13"/>
      <c r="D56" s="14"/>
    </row>
    <row r="57" spans="1:25" x14ac:dyDescent="0.3">
      <c r="A57" s="15" t="s">
        <v>9</v>
      </c>
      <c r="B57" s="16">
        <v>100000</v>
      </c>
      <c r="C57" s="16"/>
      <c r="D57" s="17"/>
    </row>
    <row r="58" spans="1:25" x14ac:dyDescent="0.3">
      <c r="A58" s="18" t="s">
        <v>18</v>
      </c>
      <c r="B58" s="21">
        <f>0.309/SQRT(B57)</f>
        <v>9.7714379699202921E-4</v>
      </c>
      <c r="C58" s="19"/>
      <c r="D58" s="20"/>
    </row>
    <row r="61" spans="1:25" x14ac:dyDescent="0.3">
      <c r="A61" t="s">
        <v>7</v>
      </c>
      <c r="C61">
        <v>10000</v>
      </c>
    </row>
    <row r="63" spans="1:25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BF01-FA9A-4DB8-92C8-9A5465850037}">
  <dimension ref="A3:Z63"/>
  <sheetViews>
    <sheetView topLeftCell="A33" workbookViewId="0">
      <selection activeCell="N42" sqref="N42: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29</v>
      </c>
      <c r="H8" s="9" t="s">
        <v>22</v>
      </c>
      <c r="I8" s="9">
        <v>156.476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0.974404927903604</v>
      </c>
      <c r="C10" s="3">
        <f>Table19[[#This Row],[eff_D]]/B$31-1</f>
        <v>2.1336547322151844E-2</v>
      </c>
      <c r="D10" s="6"/>
    </row>
    <row r="11" spans="1:10" x14ac:dyDescent="0.3">
      <c r="A11">
        <v>4</v>
      </c>
      <c r="B11" s="1">
        <v>0.97010266324095695</v>
      </c>
      <c r="C11" s="3">
        <f>Table19[[#This Row],[eff_D]]/B$31-1</f>
        <v>1.6827066704409477E-2</v>
      </c>
      <c r="D11" s="6"/>
    </row>
    <row r="12" spans="1:10" x14ac:dyDescent="0.3">
      <c r="A12">
        <v>5</v>
      </c>
      <c r="B12" s="1">
        <v>0.96728490657789301</v>
      </c>
      <c r="C12" s="3">
        <f>Table19[[#This Row],[eff_D]]/B$31-1</f>
        <v>1.3873594509190346E-2</v>
      </c>
      <c r="D12" s="6"/>
    </row>
    <row r="13" spans="1:10" x14ac:dyDescent="0.3">
      <c r="A13">
        <v>6</v>
      </c>
      <c r="B13" s="1">
        <v>0.965288507425616</v>
      </c>
      <c r="C13" s="3">
        <f>Table19[[#This Row],[eff_D]]/B$31-1</f>
        <v>1.1781040008619126E-2</v>
      </c>
      <c r="D13" s="6"/>
    </row>
    <row r="14" spans="1:10" x14ac:dyDescent="0.3">
      <c r="A14">
        <v>7</v>
      </c>
      <c r="B14" s="1">
        <v>0.96380221330416704</v>
      </c>
      <c r="C14" s="3">
        <f>Table19[[#This Row],[eff_D]]/B$31-1</f>
        <v>1.0223159436759E-2</v>
      </c>
      <c r="D14" s="6"/>
    </row>
    <row r="15" spans="1:10" x14ac:dyDescent="0.3">
      <c r="A15">
        <v>10</v>
      </c>
      <c r="B15" s="1">
        <v>0.96098075734604804</v>
      </c>
      <c r="C15" s="3">
        <f>Table19[[#This Row],[eff_D]]/B$31-1</f>
        <v>7.2658097721933768E-3</v>
      </c>
      <c r="D15" s="5"/>
    </row>
    <row r="16" spans="1:10" x14ac:dyDescent="0.3">
      <c r="A16">
        <v>20</v>
      </c>
      <c r="B16" s="1">
        <v>0.95744500537347199</v>
      </c>
      <c r="C16" s="3">
        <f>Table19[[#This Row],[eff_D]]/B$31-1</f>
        <v>3.5597604610229094E-3</v>
      </c>
      <c r="D16" s="5"/>
    </row>
    <row r="17" spans="1:4" x14ac:dyDescent="0.3">
      <c r="A17">
        <v>50</v>
      </c>
      <c r="B17" s="1">
        <v>0.95525590668065297</v>
      </c>
      <c r="C17" s="3">
        <f>Table19[[#This Row],[eff_D]]/B$31-1</f>
        <v>1.2652251639964085E-3</v>
      </c>
      <c r="D17" s="5"/>
    </row>
    <row r="18" spans="1:4" x14ac:dyDescent="0.3">
      <c r="A18">
        <v>80</v>
      </c>
      <c r="B18" s="1">
        <v>0.95475244476047105</v>
      </c>
      <c r="C18" s="3">
        <f>Table19[[#This Row],[eff_D]]/B$31-1</f>
        <v>7.3751430730673029E-4</v>
      </c>
      <c r="D18" s="5"/>
    </row>
    <row r="19" spans="1:4" x14ac:dyDescent="0.3">
      <c r="A19">
        <v>100</v>
      </c>
      <c r="B19" s="1">
        <v>0.95459795142209902</v>
      </c>
      <c r="C19" s="3">
        <f>Table19[[#This Row],[eff_D]]/B$31-1</f>
        <v>5.7557989146106436E-4</v>
      </c>
      <c r="D19" s="5"/>
    </row>
    <row r="20" spans="1:4" x14ac:dyDescent="0.3">
      <c r="A20">
        <v>200</v>
      </c>
      <c r="B20" s="1">
        <v>0.95431585063211299</v>
      </c>
      <c r="C20" s="3">
        <f>Table19[[#This Row],[eff_D]]/B$31-1</f>
        <v>2.7989188887578287E-4</v>
      </c>
      <c r="D20" s="5"/>
    </row>
    <row r="21" spans="1:4" x14ac:dyDescent="0.3">
      <c r="A21">
        <v>500</v>
      </c>
      <c r="B21" s="1">
        <v>0.95414799156491104</v>
      </c>
      <c r="C21" s="3">
        <f>Table19[[#This Row],[eff_D]]/B$31-1</f>
        <v>1.039479920179609E-4</v>
      </c>
      <c r="D21" s="5"/>
    </row>
    <row r="22" spans="1:4" x14ac:dyDescent="0.3">
      <c r="A22">
        <v>1000</v>
      </c>
      <c r="B22" s="1">
        <v>0.95409445814774396</v>
      </c>
      <c r="C22" s="3">
        <f>Table19[[#This Row],[eff_D]]/B$31-1</f>
        <v>4.7836170443460446E-5</v>
      </c>
      <c r="D22" s="4"/>
    </row>
    <row r="23" spans="1:4" x14ac:dyDescent="0.3">
      <c r="A23">
        <v>2000</v>
      </c>
      <c r="B23" s="1">
        <v>0.95406864493438304</v>
      </c>
      <c r="C23" s="3">
        <f>Table19[[#This Row],[eff_D]]/B$31-1</f>
        <v>2.0779679395177553E-5</v>
      </c>
      <c r="D23" s="4"/>
    </row>
    <row r="24" spans="1:4" x14ac:dyDescent="0.3">
      <c r="A24">
        <v>5000</v>
      </c>
      <c r="B24" s="1">
        <v>0.95405372683623602</v>
      </c>
      <c r="C24" s="3">
        <f>Table19[[#This Row],[eff_D]]/B$31-1</f>
        <v>5.1430601439861334E-6</v>
      </c>
      <c r="D24" s="4"/>
    </row>
    <row r="25" spans="1:4" x14ac:dyDescent="0.3">
      <c r="A25">
        <v>7000</v>
      </c>
      <c r="B25" s="1">
        <v>0.95405104662475804</v>
      </c>
      <c r="C25" s="3">
        <f>Table19[[#This Row],[eff_D]]/B$31-1</f>
        <v>2.3337579138082987E-6</v>
      </c>
      <c r="D25" s="4"/>
    </row>
    <row r="26" spans="1:4" x14ac:dyDescent="0.3">
      <c r="A26">
        <v>10000</v>
      </c>
      <c r="B26" s="1">
        <v>0.95404882010577396</v>
      </c>
      <c r="C26" s="3">
        <f>Table19[[#This Row],[eff_D]]/B$31-1</f>
        <v>0</v>
      </c>
      <c r="D26" s="4"/>
    </row>
    <row r="27" spans="1:4" x14ac:dyDescent="0.3">
      <c r="A27">
        <v>20000</v>
      </c>
      <c r="B27" s="1"/>
      <c r="C27" s="3">
        <f>Table19[[#This Row],[eff_D]]/B$31-1</f>
        <v>-1</v>
      </c>
      <c r="D27" s="4"/>
    </row>
    <row r="28" spans="1:4" x14ac:dyDescent="0.3">
      <c r="A28">
        <v>50000</v>
      </c>
      <c r="B28" s="1"/>
      <c r="C28" s="3">
        <f>Table19[[#This Row],[eff_D]]/B$31-1</f>
        <v>-1</v>
      </c>
      <c r="D28" s="4"/>
    </row>
    <row r="29" spans="1:4" x14ac:dyDescent="0.3">
      <c r="A29">
        <v>70000</v>
      </c>
      <c r="B29" s="1"/>
      <c r="C29" s="3">
        <f>Table19[[#This Row],[eff_D]]/B$31-1</f>
        <v>-1</v>
      </c>
      <c r="D29" s="4"/>
    </row>
    <row r="31" spans="1:4" x14ac:dyDescent="0.3">
      <c r="A31" t="s">
        <v>6</v>
      </c>
      <c r="B31" s="2">
        <v>0.95404882010577396</v>
      </c>
    </row>
    <row r="33" spans="1:26" x14ac:dyDescent="0.3">
      <c r="A33" t="s">
        <v>7</v>
      </c>
      <c r="C33">
        <v>1000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0.94789390860590705</v>
      </c>
      <c r="Q39" s="1" t="e">
        <f t="shared" ref="Q39:Q42" si="0">O39/P39-1</f>
        <v>#DIV/0!</v>
      </c>
    </row>
    <row r="40" spans="1:26" x14ac:dyDescent="0.3">
      <c r="A40">
        <v>10</v>
      </c>
      <c r="B40" s="1">
        <v>0.89893550874800499</v>
      </c>
      <c r="C40" s="1">
        <v>9.4760118410161395E-2</v>
      </c>
      <c r="D40" s="1">
        <v>0.89997366619230601</v>
      </c>
      <c r="E40" s="1">
        <v>9.4865557085838395E-2</v>
      </c>
      <c r="F40" s="1">
        <v>0.89683294085251797</v>
      </c>
      <c r="G40" s="1">
        <v>9.45698688427552E-2</v>
      </c>
      <c r="H40" s="1">
        <f>Table210[[#This Row],[eff_S]]/O$39-1</f>
        <v>-5.1649661859212159E-2</v>
      </c>
      <c r="I40" s="1">
        <f>Table210[[#This Row],[eff_D]]/O$40-1</f>
        <v>-5.6724773415524066E-2</v>
      </c>
      <c r="J40" s="1">
        <f>Table210[[#This Row],[eff_T]]/O$41-1</f>
        <v>-1.6762793733972936E-2</v>
      </c>
      <c r="K40" s="8"/>
      <c r="N40" t="s">
        <v>3</v>
      </c>
      <c r="O40">
        <v>0.95409445814774396</v>
      </c>
      <c r="P40">
        <v>0.95730000000000004</v>
      </c>
      <c r="Q40" s="1">
        <f t="shared" si="0"/>
        <v>-3.3485238193420308E-3</v>
      </c>
    </row>
    <row r="41" spans="1:26" x14ac:dyDescent="0.3">
      <c r="A41">
        <v>20</v>
      </c>
      <c r="B41" s="1">
        <v>0.90750136229428002</v>
      </c>
      <c r="C41" s="1">
        <v>4.5546792290276999E-2</v>
      </c>
      <c r="D41" s="1">
        <v>0.91749467448009703</v>
      </c>
      <c r="E41" s="1">
        <v>4.8818025693388702E-2</v>
      </c>
      <c r="F41" s="1">
        <v>0.838826055246921</v>
      </c>
      <c r="G41" s="1">
        <v>6.7133672546629303E-2</v>
      </c>
      <c r="H41" s="1">
        <f>Table210[[#This Row],[eff_S]]/O$39-1</f>
        <v>-4.2612940061017457E-2</v>
      </c>
      <c r="I41" s="1">
        <f>Table210[[#This Row],[eff_D]]/O$40-1</f>
        <v>-3.8360754907539096E-2</v>
      </c>
      <c r="J41" s="1">
        <f>Table210[[#This Row],[eff_T]]/O$41-1</f>
        <v>-8.0358281309199531E-2</v>
      </c>
      <c r="K41" s="8"/>
      <c r="N41" t="s">
        <v>13</v>
      </c>
      <c r="O41">
        <v>0.91212266494507399</v>
      </c>
      <c r="P41">
        <v>0.91510000000000002</v>
      </c>
      <c r="Q41" s="1">
        <f t="shared" si="0"/>
        <v>-3.2535625122128708E-3</v>
      </c>
    </row>
    <row r="42" spans="1:26" x14ac:dyDescent="0.3">
      <c r="A42">
        <v>50</v>
      </c>
      <c r="B42" s="1">
        <v>0.88823485405134495</v>
      </c>
      <c r="C42" s="1">
        <v>3.4868250691253898E-2</v>
      </c>
      <c r="D42" s="1">
        <v>0.89386762143703902</v>
      </c>
      <c r="E42" s="1">
        <v>3.7189769956728798E-2</v>
      </c>
      <c r="F42" s="1">
        <v>0.82769254117901203</v>
      </c>
      <c r="G42" s="1">
        <v>4.6181900864841398E-2</v>
      </c>
      <c r="H42" s="1">
        <f>Table210[[#This Row],[eff_S]]/O$39-1</f>
        <v>-6.2938535645095883E-2</v>
      </c>
      <c r="I42" s="1">
        <f>Table210[[#This Row],[eff_D]]/O$40-1</f>
        <v>-6.3124605951100365E-2</v>
      </c>
      <c r="J42" s="1">
        <f>Table210[[#This Row],[eff_T]]/O$41-1</f>
        <v>-9.2564440081253974E-2</v>
      </c>
      <c r="K42" s="8"/>
      <c r="N42" t="s">
        <v>56</v>
      </c>
      <c r="O42">
        <f>O41/O40</f>
        <v>0.95600876533320089</v>
      </c>
      <c r="P42">
        <f>P41/P40</f>
        <v>0.95591768515616837</v>
      </c>
      <c r="Q42" s="1">
        <f t="shared" si="0"/>
        <v>9.5280355669524752E-5</v>
      </c>
      <c r="U42">
        <v>0.89893550874800499</v>
      </c>
      <c r="V42">
        <v>9.4760118410161395E-2</v>
      </c>
      <c r="W42">
        <v>0.89997366619230601</v>
      </c>
      <c r="X42">
        <v>9.4865557085838395E-2</v>
      </c>
      <c r="Y42">
        <v>0.89683294085251797</v>
      </c>
      <c r="Z42">
        <v>9.45698688427552E-2</v>
      </c>
    </row>
    <row r="43" spans="1:26" x14ac:dyDescent="0.3">
      <c r="A43">
        <v>100</v>
      </c>
      <c r="B43" s="1">
        <v>0.94945344351088601</v>
      </c>
      <c r="C43" s="1">
        <v>1.3694133694864099E-2</v>
      </c>
      <c r="D43" s="1">
        <v>0.96019138055703102</v>
      </c>
      <c r="E43" s="1">
        <v>1.37440113936163E-2</v>
      </c>
      <c r="F43" s="1">
        <v>0.90022646646142601</v>
      </c>
      <c r="G43" s="1">
        <v>2.3245883351317199E-2</v>
      </c>
      <c r="H43" s="1">
        <f>Table210[[#This Row],[eff_S]]/O$39-1</f>
        <v>1.6452631363277348E-3</v>
      </c>
      <c r="I43" s="1">
        <f>Table210[[#This Row],[eff_D]]/O$40-1</f>
        <v>6.3902712747367918E-3</v>
      </c>
      <c r="J43" s="1">
        <f>Table210[[#This Row],[eff_T]]/O$41-1</f>
        <v>-1.3042323078732321E-2</v>
      </c>
      <c r="K43" s="7"/>
      <c r="U43">
        <v>0.90750136229428002</v>
      </c>
      <c r="V43">
        <v>4.5546792290276999E-2</v>
      </c>
      <c r="W43">
        <v>0.91749467448009703</v>
      </c>
      <c r="X43">
        <v>4.8818025693388702E-2</v>
      </c>
      <c r="Y43">
        <v>0.838826055246921</v>
      </c>
      <c r="Z43">
        <v>6.7133672546629303E-2</v>
      </c>
    </row>
    <row r="44" spans="1:26" x14ac:dyDescent="0.3">
      <c r="A44">
        <v>200</v>
      </c>
      <c r="B44" s="1">
        <v>0.94470960622021105</v>
      </c>
      <c r="C44" s="1">
        <v>1.3010022533934001E-2</v>
      </c>
      <c r="D44" s="1">
        <v>0.949253911626317</v>
      </c>
      <c r="E44" s="1">
        <v>1.3619457289454901E-2</v>
      </c>
      <c r="F44" s="1">
        <v>0.91486561021400403</v>
      </c>
      <c r="G44" s="1">
        <v>1.6850003548789599E-2</v>
      </c>
      <c r="H44" s="1">
        <f>Table210[[#This Row],[eff_S]]/O$39-1</f>
        <v>-3.3593447080794148E-3</v>
      </c>
      <c r="I44" s="1">
        <f>Table210[[#This Row],[eff_D]]/O$40-1</f>
        <v>-5.0734457999308535E-3</v>
      </c>
      <c r="J44" s="1">
        <f>Table210[[#This Row],[eff_T]]/O$41-1</f>
        <v>3.0072109534688973E-3</v>
      </c>
      <c r="K44" s="6"/>
      <c r="U44">
        <v>0.88823485405134495</v>
      </c>
      <c r="V44">
        <v>3.4868250691253898E-2</v>
      </c>
      <c r="W44">
        <v>0.89386762143703902</v>
      </c>
      <c r="X44">
        <v>3.7189769956728798E-2</v>
      </c>
      <c r="Y44">
        <v>0.82769254117901203</v>
      </c>
      <c r="Z44">
        <v>4.6181900864841398E-2</v>
      </c>
    </row>
    <row r="45" spans="1:26" x14ac:dyDescent="0.3">
      <c r="A45">
        <v>500</v>
      </c>
      <c r="B45" s="1">
        <v>0.95527715237758604</v>
      </c>
      <c r="C45" s="1">
        <v>7.3467714694471099E-3</v>
      </c>
      <c r="D45" s="1">
        <v>0.96205551006618795</v>
      </c>
      <c r="E45" s="1">
        <v>7.4771338562232403E-3</v>
      </c>
      <c r="F45" s="1">
        <v>0.928285190017062</v>
      </c>
      <c r="G45" s="1">
        <v>9.3675335564188996E-3</v>
      </c>
      <c r="H45" s="1">
        <f>Table210[[#This Row],[eff_S]]/O$39-1</f>
        <v>7.789103511106843E-3</v>
      </c>
      <c r="I45" s="1">
        <f>Table210[[#This Row],[eff_D]]/O$40-1</f>
        <v>8.3440919821495818E-3</v>
      </c>
      <c r="J45" s="1">
        <f>Table210[[#This Row],[eff_T]]/O$41-1</f>
        <v>1.7719683649086049E-2</v>
      </c>
      <c r="K45" s="6"/>
      <c r="U45">
        <v>0.94945344351088601</v>
      </c>
      <c r="V45">
        <v>1.3694133694864099E-2</v>
      </c>
      <c r="W45">
        <v>0.96019138055703102</v>
      </c>
      <c r="X45">
        <v>1.37440113936163E-2</v>
      </c>
      <c r="Y45">
        <v>0.90022646646142601</v>
      </c>
      <c r="Z45">
        <v>2.3245883351317199E-2</v>
      </c>
    </row>
    <row r="46" spans="1:26" x14ac:dyDescent="0.3">
      <c r="A46">
        <v>1000</v>
      </c>
      <c r="B46" s="1">
        <v>0.95509079890170401</v>
      </c>
      <c r="C46" s="1">
        <v>4.9259952873762503E-3</v>
      </c>
      <c r="D46" s="1">
        <v>0.96024662353349899</v>
      </c>
      <c r="E46" s="1">
        <v>5.1544562976750998E-3</v>
      </c>
      <c r="F46" s="1">
        <v>0.92457248381017398</v>
      </c>
      <c r="G46" s="1">
        <v>6.9133849595660497E-3</v>
      </c>
      <c r="H46" s="1">
        <f>Table210[[#This Row],[eff_S]]/O$39-1</f>
        <v>7.5925061132438021E-3</v>
      </c>
      <c r="I46" s="1">
        <f>Table210[[#This Row],[eff_D]]/O$40-1</f>
        <v>6.4481722257339058E-3</v>
      </c>
      <c r="J46" s="1">
        <f>Table210[[#This Row],[eff_T]]/O$41-1</f>
        <v>1.3649281334161101E-2</v>
      </c>
      <c r="K46" s="6"/>
      <c r="U46">
        <v>0.94470960622021105</v>
      </c>
      <c r="V46">
        <v>1.3010022533934001E-2</v>
      </c>
      <c r="W46">
        <v>0.949253911626317</v>
      </c>
      <c r="X46">
        <v>1.3619457289454901E-2</v>
      </c>
      <c r="Y46">
        <v>0.91486561021400403</v>
      </c>
      <c r="Z46">
        <v>1.6850003548789599E-2</v>
      </c>
    </row>
    <row r="47" spans="1:26" x14ac:dyDescent="0.3">
      <c r="A47">
        <v>2000</v>
      </c>
      <c r="B47" s="1">
        <v>0.94749982266632204</v>
      </c>
      <c r="C47" s="1">
        <v>3.8180148423681498E-3</v>
      </c>
      <c r="D47" s="1">
        <v>0.95223109458317401</v>
      </c>
      <c r="E47" s="1">
        <v>4.0171487802615601E-3</v>
      </c>
      <c r="F47" s="1">
        <v>0.91425003564711105</v>
      </c>
      <c r="G47" s="1">
        <v>5.2882588025011503E-3</v>
      </c>
      <c r="H47" s="1">
        <f>Table210[[#This Row],[eff_S]]/O$39-1</f>
        <v>-4.1574899469987159E-4</v>
      </c>
      <c r="I47" s="1">
        <f>Table210[[#This Row],[eff_D]]/O$40-1</f>
        <v>-1.953017909974486E-3</v>
      </c>
      <c r="J47" s="1">
        <f>Table210[[#This Row],[eff_T]]/O$41-1</f>
        <v>2.3323296128872073E-3</v>
      </c>
      <c r="K47" s="5"/>
      <c r="U47">
        <v>0.95527715237758604</v>
      </c>
      <c r="V47">
        <v>7.3467714694471099E-3</v>
      </c>
      <c r="W47">
        <v>0.96205551006618795</v>
      </c>
      <c r="X47">
        <v>7.4771338562232403E-3</v>
      </c>
      <c r="Y47">
        <v>0.928285190017062</v>
      </c>
      <c r="Z47">
        <v>9.3675335564188996E-3</v>
      </c>
    </row>
    <row r="48" spans="1:26" x14ac:dyDescent="0.3">
      <c r="A48">
        <v>5000</v>
      </c>
      <c r="B48" s="1">
        <v>0.94771954553932103</v>
      </c>
      <c r="C48" s="1">
        <v>2.3571926718998501E-3</v>
      </c>
      <c r="D48" s="1">
        <v>0.95394176093507799</v>
      </c>
      <c r="E48" s="1">
        <v>2.4535993806516802E-3</v>
      </c>
      <c r="F48" s="1">
        <v>0.91196030472178502</v>
      </c>
      <c r="G48" s="1">
        <v>3.3135085396315601E-3</v>
      </c>
      <c r="H48" s="1">
        <f>Table210[[#This Row],[eff_S]]/O$39-1</f>
        <v>-1.8394787117315126E-4</v>
      </c>
      <c r="I48" s="1">
        <f>Table210[[#This Row],[eff_D]]/O$40-1</f>
        <v>-1.6004412494174947E-4</v>
      </c>
      <c r="J48" s="1">
        <f>Table210[[#This Row],[eff_T]]/O$41-1</f>
        <v>-1.7800261908718085E-4</v>
      </c>
      <c r="K48" s="5"/>
      <c r="U48">
        <v>0.95509079890170401</v>
      </c>
      <c r="V48">
        <v>4.9259952873762503E-3</v>
      </c>
      <c r="W48">
        <v>0.96024662353349899</v>
      </c>
      <c r="X48">
        <v>5.1544562976750998E-3</v>
      </c>
      <c r="Y48">
        <v>0.92457248381017398</v>
      </c>
      <c r="Z48">
        <v>6.9133849595660497E-3</v>
      </c>
    </row>
    <row r="49" spans="1:26" x14ac:dyDescent="0.3">
      <c r="A49">
        <v>10000</v>
      </c>
      <c r="B49" s="1">
        <v>0.94684248616475197</v>
      </c>
      <c r="C49" s="1">
        <v>1.66387943211599E-3</v>
      </c>
      <c r="D49" s="1">
        <v>0.95326903338840696</v>
      </c>
      <c r="E49" s="1">
        <v>1.73008739418755E-3</v>
      </c>
      <c r="F49" s="1">
        <v>0.90965894518505097</v>
      </c>
      <c r="G49" s="1">
        <v>2.3673996510910002E-3</v>
      </c>
      <c r="H49" s="1">
        <f>Table210[[#This Row],[eff_S]]/O$39-1</f>
        <v>-1.1092195356561252E-3</v>
      </c>
      <c r="I49" s="1">
        <f>Table210[[#This Row],[eff_D]]/O$40-1</f>
        <v>-8.6513945478672305E-4</v>
      </c>
      <c r="J49" s="1">
        <f>Table210[[#This Row],[eff_T]]/O$41-1</f>
        <v>-2.7010838067174081E-3</v>
      </c>
      <c r="K49" s="4"/>
      <c r="U49">
        <v>0.94749982266632204</v>
      </c>
      <c r="V49">
        <v>3.8180148423681498E-3</v>
      </c>
      <c r="W49">
        <v>0.95223109458317401</v>
      </c>
      <c r="X49">
        <v>4.0171487802615601E-3</v>
      </c>
      <c r="Y49">
        <v>0.91425003564711105</v>
      </c>
      <c r="Z49">
        <v>5.2882588025011503E-3</v>
      </c>
    </row>
    <row r="50" spans="1:26" x14ac:dyDescent="0.3">
      <c r="A50">
        <v>20000</v>
      </c>
      <c r="B50" s="1">
        <v>0.94677986347830501</v>
      </c>
      <c r="C50" s="1">
        <v>1.1792041901762401E-3</v>
      </c>
      <c r="D50" s="1">
        <v>0.95323798809117199</v>
      </c>
      <c r="E50" s="1">
        <v>1.22481595097394E-3</v>
      </c>
      <c r="F50" s="1">
        <v>0.90968484645028702</v>
      </c>
      <c r="G50" s="1">
        <v>1.67393542587383E-3</v>
      </c>
      <c r="H50" s="1">
        <f>Table210[[#This Row],[eff_S]]/O$39-1</f>
        <v>-1.1752846151743546E-3</v>
      </c>
      <c r="I50" s="1">
        <f>Table210[[#This Row],[eff_D]]/O$40-1</f>
        <v>-8.976784732978027E-4</v>
      </c>
      <c r="J50" s="1">
        <f>Table210[[#This Row],[eff_T]]/O$41-1</f>
        <v>-2.6726871159744592E-3</v>
      </c>
      <c r="K50" s="4"/>
      <c r="U50">
        <v>0.94771954553932103</v>
      </c>
      <c r="V50">
        <v>2.3571926718998501E-3</v>
      </c>
      <c r="W50">
        <v>0.95394176093507799</v>
      </c>
      <c r="X50">
        <v>2.4535993806516802E-3</v>
      </c>
      <c r="Y50">
        <v>0.91196030472178502</v>
      </c>
      <c r="Z50">
        <v>3.3135085396315601E-3</v>
      </c>
    </row>
    <row r="51" spans="1:26" x14ac:dyDescent="0.3">
      <c r="A51">
        <v>50000</v>
      </c>
      <c r="B51" s="1">
        <v>0.94764405289547005</v>
      </c>
      <c r="C51" s="1">
        <v>7.4050888187413802E-4</v>
      </c>
      <c r="D51" s="1">
        <v>0.95411935201888198</v>
      </c>
      <c r="E51" s="1">
        <v>7.6787055092523103E-4</v>
      </c>
      <c r="F51" s="1">
        <v>0.91111070578287401</v>
      </c>
      <c r="G51" s="1">
        <v>1.05001738436732E-3</v>
      </c>
      <c r="H51" s="1">
        <f>Table210[[#This Row],[eff_S]]/O$39-1</f>
        <v>-2.6359037458578705E-4</v>
      </c>
      <c r="I51" s="1">
        <f>Table210[[#This Row],[eff_D]]/O$40-1</f>
        <v>2.6091621144530563E-5</v>
      </c>
      <c r="J51" s="1">
        <f>Table210[[#This Row],[eff_T]]/O$41-1</f>
        <v>-1.1094551216539461E-3</v>
      </c>
      <c r="K51" s="4"/>
      <c r="U51">
        <v>0.94684248616475197</v>
      </c>
      <c r="V51">
        <v>1.66387943211599E-3</v>
      </c>
      <c r="W51">
        <v>0.95326903338840696</v>
      </c>
      <c r="X51">
        <v>1.73008739418755E-3</v>
      </c>
      <c r="Y51">
        <v>0.90965894518505097</v>
      </c>
      <c r="Z51">
        <v>2.3673996510910002E-3</v>
      </c>
    </row>
    <row r="52" spans="1:26" x14ac:dyDescent="0.3">
      <c r="A52">
        <v>100000</v>
      </c>
      <c r="B52" s="1">
        <v>0.94807797258894499</v>
      </c>
      <c r="C52" s="1">
        <v>5.2275612724150605E-4</v>
      </c>
      <c r="D52" s="1">
        <v>0.95435826623081599</v>
      </c>
      <c r="E52" s="1">
        <v>5.4309776318826799E-4</v>
      </c>
      <c r="F52" s="1">
        <v>0.91208972533241905</v>
      </c>
      <c r="G52" s="1">
        <v>7.3983710587228102E-4</v>
      </c>
      <c r="H52" s="1">
        <f>Table210[[#This Row],[eff_S]]/O$39-1</f>
        <v>1.9418205071985994E-4</v>
      </c>
      <c r="I52" s="1">
        <f>Table210[[#This Row],[eff_D]]/O$40-1</f>
        <v>2.7650101184328868E-4</v>
      </c>
      <c r="J52" s="1">
        <f>Table210[[#This Row],[eff_T]]/O$41-1</f>
        <v>-3.6113139077587064E-5</v>
      </c>
      <c r="U52">
        <v>0.94677986347830501</v>
      </c>
      <c r="V52">
        <v>1.1792041901762401E-3</v>
      </c>
      <c r="W52">
        <v>0.95323798809117199</v>
      </c>
      <c r="X52">
        <v>1.22481595097394E-3</v>
      </c>
      <c r="Y52">
        <v>0.90968484645028702</v>
      </c>
      <c r="Z52">
        <v>1.67393542587383E-3</v>
      </c>
    </row>
    <row r="53" spans="1:26" x14ac:dyDescent="0.3">
      <c r="B53" s="1"/>
      <c r="C53" s="1"/>
      <c r="D53" s="1"/>
      <c r="E53" s="1"/>
      <c r="F53" s="1"/>
      <c r="G53" s="1"/>
      <c r="H53" s="1">
        <f>Table210[[#This Row],[eff_S]]/O$39-1</f>
        <v>-1</v>
      </c>
      <c r="I53" s="1">
        <f>Table210[[#This Row],[eff_D]]/O$40-1</f>
        <v>-1</v>
      </c>
      <c r="J53" s="1">
        <f>Table210[[#This Row],[eff_T]]/O$41-1</f>
        <v>-1</v>
      </c>
      <c r="U53">
        <v>0.94764405289547005</v>
      </c>
      <c r="V53">
        <v>7.4050888187413802E-4</v>
      </c>
      <c r="W53">
        <v>0.95411935201888198</v>
      </c>
      <c r="X53">
        <v>7.6787055092523103E-4</v>
      </c>
      <c r="Y53">
        <v>0.91111070578287401</v>
      </c>
      <c r="Z53">
        <v>1.05001738436732E-3</v>
      </c>
    </row>
    <row r="54" spans="1:26" x14ac:dyDescent="0.3">
      <c r="B54" s="1"/>
      <c r="C54" s="1"/>
      <c r="D54" s="1"/>
      <c r="E54" s="1"/>
      <c r="F54" s="1"/>
      <c r="G54" s="1"/>
      <c r="H54" s="1">
        <f>Table210[[#This Row],[eff_S]]/O$39-1</f>
        <v>-1</v>
      </c>
      <c r="I54" s="1">
        <f>Table210[[#This Row],[eff_D]]/O$40-1</f>
        <v>-1</v>
      </c>
      <c r="J54" s="1">
        <f>Table210[[#This Row],[eff_T]]/O$41-1</f>
        <v>-1</v>
      </c>
      <c r="U54">
        <v>0.94807797258894499</v>
      </c>
      <c r="V54">
        <v>5.2275612724150605E-4</v>
      </c>
      <c r="W54">
        <v>0.95435826623081599</v>
      </c>
      <c r="X54">
        <v>5.4309776318826799E-4</v>
      </c>
      <c r="Y54">
        <v>0.91208972533241905</v>
      </c>
      <c r="Z54">
        <v>7.3983710587228102E-4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0.2547/SQRT(B57)</f>
        <v>8.0543212004488606E-4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C53E-1E8E-40D2-A436-13BD96A716D4}">
  <dimension ref="A3:Z63"/>
  <sheetViews>
    <sheetView topLeftCell="G30" workbookViewId="0">
      <selection activeCell="Q40" sqref="Q40: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30</v>
      </c>
      <c r="H8" s="9" t="s">
        <v>22</v>
      </c>
      <c r="I8" s="9">
        <v>167.33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Table1911[[#This Row],[eff_D]]/B$31-1</f>
        <v>-1</v>
      </c>
      <c r="D10" s="6"/>
    </row>
    <row r="11" spans="1:10" x14ac:dyDescent="0.3">
      <c r="A11">
        <v>4</v>
      </c>
      <c r="B11" s="1"/>
      <c r="C11" s="3">
        <f>Table1911[[#This Row],[eff_D]]/B$31-1</f>
        <v>-1</v>
      </c>
      <c r="D11" s="6"/>
    </row>
    <row r="12" spans="1:10" x14ac:dyDescent="0.3">
      <c r="A12">
        <v>5</v>
      </c>
      <c r="B12" s="1"/>
      <c r="C12" s="3">
        <f>Table1911[[#This Row],[eff_D]]/B$31-1</f>
        <v>-1</v>
      </c>
      <c r="D12" s="6"/>
    </row>
    <row r="13" spans="1:10" x14ac:dyDescent="0.3">
      <c r="A13">
        <v>6</v>
      </c>
      <c r="B13" s="1"/>
      <c r="C13" s="3">
        <f>Table1911[[#This Row],[eff_D]]/B$31-1</f>
        <v>-1</v>
      </c>
      <c r="D13" s="6"/>
    </row>
    <row r="14" spans="1:10" x14ac:dyDescent="0.3">
      <c r="A14">
        <v>7</v>
      </c>
      <c r="B14" s="1"/>
      <c r="C14" s="3">
        <f>Table1911[[#This Row],[eff_D]]/B$31-1</f>
        <v>-1</v>
      </c>
      <c r="D14" s="6"/>
    </row>
    <row r="15" spans="1:10" x14ac:dyDescent="0.3">
      <c r="A15">
        <v>10</v>
      </c>
      <c r="B15" s="1">
        <v>0.94812945703303597</v>
      </c>
      <c r="C15" s="3">
        <f>Table1911[[#This Row],[eff_D]]/B$31-1</f>
        <v>9.1946331626810984E-3</v>
      </c>
      <c r="D15" s="5"/>
    </row>
    <row r="16" spans="1:10" x14ac:dyDescent="0.3">
      <c r="A16">
        <v>20</v>
      </c>
      <c r="B16" s="1">
        <v>0.94369688734443902</v>
      </c>
      <c r="C16" s="3">
        <f>Table1911[[#This Row],[eff_D]]/B$31-1</f>
        <v>4.4765796229779831E-3</v>
      </c>
      <c r="D16" s="5"/>
    </row>
    <row r="17" spans="1:4" x14ac:dyDescent="0.3">
      <c r="A17">
        <v>50</v>
      </c>
      <c r="B17" s="1">
        <v>0.94097904663441401</v>
      </c>
      <c r="C17" s="3">
        <f>Table1911[[#This Row],[eff_D]]/B$31-1</f>
        <v>1.5836938065922901E-3</v>
      </c>
      <c r="D17" s="5"/>
    </row>
    <row r="18" spans="1:4" x14ac:dyDescent="0.3">
      <c r="A18">
        <v>80</v>
      </c>
      <c r="B18" s="1">
        <v>0.94035939243673705</v>
      </c>
      <c r="C18" s="3">
        <f>Table1911[[#This Row],[eff_D]]/B$31-1</f>
        <v>9.2413019312842515E-4</v>
      </c>
      <c r="D18" s="5"/>
    </row>
    <row r="19" spans="1:4" x14ac:dyDescent="0.3">
      <c r="A19">
        <v>100</v>
      </c>
      <c r="B19" s="1">
        <v>0.94016946454082695</v>
      </c>
      <c r="C19" s="3">
        <f>Table1911[[#This Row],[eff_D]]/B$31-1</f>
        <v>7.2196981110606018E-4</v>
      </c>
      <c r="D19" s="5"/>
    </row>
    <row r="20" spans="1:4" x14ac:dyDescent="0.3">
      <c r="A20">
        <v>200</v>
      </c>
      <c r="B20" s="1">
        <v>0.93982153894579301</v>
      </c>
      <c r="C20" s="3">
        <f>Table1911[[#This Row],[eff_D]]/B$31-1</f>
        <v>3.5163573842900142E-4</v>
      </c>
      <c r="D20" s="5"/>
    </row>
    <row r="21" spans="1:4" x14ac:dyDescent="0.3">
      <c r="A21">
        <v>500</v>
      </c>
      <c r="B21" s="1">
        <v>0.93961361455344905</v>
      </c>
      <c r="C21" s="3">
        <f>Table1911[[#This Row],[eff_D]]/B$31-1</f>
        <v>1.3031977856647892E-4</v>
      </c>
      <c r="D21" s="5"/>
    </row>
    <row r="22" spans="1:4" x14ac:dyDescent="0.3">
      <c r="A22">
        <v>1000</v>
      </c>
      <c r="B22" s="1">
        <v>0.93954747102306901</v>
      </c>
      <c r="C22" s="3">
        <f>Table1911[[#This Row],[eff_D]]/B$31-1</f>
        <v>5.9916211434529743E-5</v>
      </c>
      <c r="D22" s="4"/>
    </row>
    <row r="23" spans="1:4" x14ac:dyDescent="0.3">
      <c r="A23">
        <v>2000</v>
      </c>
      <c r="B23" s="1">
        <v>0.93951561256379401</v>
      </c>
      <c r="C23" s="3">
        <f>Table1911[[#This Row],[eff_D]]/B$31-1</f>
        <v>2.6005877900914243E-5</v>
      </c>
      <c r="D23" s="4"/>
    </row>
    <row r="24" spans="1:4" x14ac:dyDescent="0.3">
      <c r="A24">
        <v>5000</v>
      </c>
      <c r="B24" s="1">
        <v>0.93949722815876002</v>
      </c>
      <c r="C24" s="3">
        <f>Table1911[[#This Row],[eff_D]]/B$31-1</f>
        <v>6.4374078394546785E-6</v>
      </c>
      <c r="D24" s="4"/>
    </row>
    <row r="25" spans="1:4" x14ac:dyDescent="0.3">
      <c r="A25">
        <v>7000</v>
      </c>
      <c r="B25" s="1">
        <v>0.93949393281064297</v>
      </c>
      <c r="C25" s="3">
        <f>Table1911[[#This Row],[eff_D]]/B$31-1</f>
        <v>2.929819704400316E-6</v>
      </c>
      <c r="D25" s="4"/>
    </row>
    <row r="26" spans="1:4" x14ac:dyDescent="0.3">
      <c r="A26">
        <v>10000</v>
      </c>
      <c r="B26" s="1">
        <v>0.93949118027087097</v>
      </c>
      <c r="C26" s="3">
        <f>Table1911[[#This Row],[eff_D]]/B$31-1</f>
        <v>0</v>
      </c>
      <c r="D26" s="4"/>
    </row>
    <row r="27" spans="1:4" x14ac:dyDescent="0.3">
      <c r="A27">
        <v>20000</v>
      </c>
      <c r="B27" s="1"/>
      <c r="C27" s="3">
        <f>Table1911[[#This Row],[eff_D]]/B$31-1</f>
        <v>-1</v>
      </c>
      <c r="D27" s="4"/>
    </row>
    <row r="28" spans="1:4" x14ac:dyDescent="0.3">
      <c r="A28">
        <v>50000</v>
      </c>
      <c r="B28" s="1"/>
      <c r="C28" s="3">
        <f>Table1911[[#This Row],[eff_D]]/B$31-1</f>
        <v>-1</v>
      </c>
      <c r="D28" s="4"/>
    </row>
    <row r="29" spans="1:4" x14ac:dyDescent="0.3">
      <c r="A29">
        <v>70000</v>
      </c>
      <c r="B29" s="1"/>
      <c r="C29" s="3">
        <f>Table1911[[#This Row],[eff_D]]/B$31-1</f>
        <v>-1</v>
      </c>
      <c r="D29" s="4"/>
    </row>
    <row r="31" spans="1:4" x14ac:dyDescent="0.3">
      <c r="A31" t="s">
        <v>6</v>
      </c>
      <c r="B31" s="2">
        <v>0.93949118027087097</v>
      </c>
    </row>
    <row r="33" spans="1:26" x14ac:dyDescent="0.3">
      <c r="A33" t="s">
        <v>7</v>
      </c>
      <c r="C33">
        <v>1000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0.93292110234862302</v>
      </c>
      <c r="Q39" s="1"/>
    </row>
    <row r="40" spans="1:26" x14ac:dyDescent="0.3">
      <c r="A40">
        <v>10</v>
      </c>
      <c r="B40">
        <v>0.99689492046975403</v>
      </c>
      <c r="C40">
        <v>2.4347463421259099E-3</v>
      </c>
      <c r="D40">
        <v>0.99979667520652604</v>
      </c>
      <c r="E40">
        <v>1.8469653293921699E-4</v>
      </c>
      <c r="F40">
        <v>0.99088980593059095</v>
      </c>
      <c r="G40">
        <v>7.1203590398926904E-3</v>
      </c>
      <c r="H40" s="1">
        <f>Table21012[[#This Row],[eff_S]]/O$39-1</f>
        <v>6.8573663903707782E-2</v>
      </c>
      <c r="I40" s="1">
        <f>Table21012[[#This Row],[eff_D]]/O$40-1</f>
        <v>6.4125769098023255E-2</v>
      </c>
      <c r="J40" s="1">
        <f>Table21012[[#This Row],[eff_T]]/O$41-1</f>
        <v>0.11369344168384798</v>
      </c>
      <c r="K40" s="8"/>
      <c r="N40" t="s">
        <v>3</v>
      </c>
      <c r="O40">
        <v>0.93954747102306901</v>
      </c>
      <c r="P40">
        <v>0.9425</v>
      </c>
      <c r="Q40" s="1">
        <f>Table26[[#This Row],[TDCR17 restults]]/Table26[[#This Row],[TDCRPy]]-1</f>
        <v>3.1425011167514061E-3</v>
      </c>
    </row>
    <row r="41" spans="1:26" x14ac:dyDescent="0.3">
      <c r="A41">
        <v>20</v>
      </c>
      <c r="B41">
        <v>0.91772224255082302</v>
      </c>
      <c r="C41">
        <v>5.4528017665543403E-2</v>
      </c>
      <c r="D41">
        <v>0.909086680371193</v>
      </c>
      <c r="E41">
        <v>6.0969564160569603E-2</v>
      </c>
      <c r="F41">
        <v>0.89797697283918498</v>
      </c>
      <c r="G41">
        <v>6.6472482472692898E-2</v>
      </c>
      <c r="H41" s="1">
        <f>Table21012[[#This Row],[eff_S]]/O$39-1</f>
        <v>-1.6291688289113537E-2</v>
      </c>
      <c r="I41" s="1">
        <f>Table21012[[#This Row],[eff_D]]/O$40-1</f>
        <v>-3.2420704212749785E-2</v>
      </c>
      <c r="J41" s="1">
        <f>Table21012[[#This Row],[eff_T]]/O$41-1</f>
        <v>9.2656715697077008E-3</v>
      </c>
      <c r="K41" s="8"/>
      <c r="N41" t="s">
        <v>13</v>
      </c>
      <c r="O41">
        <v>0.88973299908493297</v>
      </c>
      <c r="P41">
        <v>0.89419999999999999</v>
      </c>
      <c r="Q41" s="1">
        <f>Table26[[#This Row],[TDCR17 restults]]/Table26[[#This Row],[TDCRPy]]-1</f>
        <v>5.020608339424637E-3</v>
      </c>
    </row>
    <row r="42" spans="1:26" x14ac:dyDescent="0.3">
      <c r="A42">
        <v>50</v>
      </c>
      <c r="B42">
        <v>0.96749527595093798</v>
      </c>
      <c r="C42">
        <v>2.0506421263800902E-2</v>
      </c>
      <c r="D42">
        <v>0.97461860870583605</v>
      </c>
      <c r="E42">
        <v>1.9985704767066799E-2</v>
      </c>
      <c r="F42">
        <v>0.94829985760679103</v>
      </c>
      <c r="G42">
        <v>2.4318695534783202E-2</v>
      </c>
      <c r="H42" s="1">
        <f>Table21012[[#This Row],[eff_S]]/O$39-1</f>
        <v>3.7060126001303484E-2</v>
      </c>
      <c r="I42" s="1">
        <f>Table21012[[#This Row],[eff_D]]/O$40-1</f>
        <v>3.7327691004881647E-2</v>
      </c>
      <c r="J42" s="1">
        <f>Table21012[[#This Row],[eff_T]]/O$41-1</f>
        <v>6.5825206642995848E-2</v>
      </c>
      <c r="K42" s="8"/>
      <c r="N42" t="s">
        <v>56</v>
      </c>
      <c r="O42">
        <f>O41/O40</f>
        <v>0.94698035652856016</v>
      </c>
      <c r="P42">
        <f>P41/P40</f>
        <v>0.94875331564986731</v>
      </c>
      <c r="Q42" s="1">
        <f>O42/P42-1</f>
        <v>-1.8687250859226179E-3</v>
      </c>
    </row>
    <row r="43" spans="1:26" x14ac:dyDescent="0.3">
      <c r="A43">
        <v>100</v>
      </c>
      <c r="B43">
        <v>0.91462040278416601</v>
      </c>
      <c r="C43">
        <v>2.0929740650401402E-2</v>
      </c>
      <c r="D43">
        <v>0.92118505591705602</v>
      </c>
      <c r="E43">
        <v>2.2701884300864401E-2</v>
      </c>
      <c r="F43">
        <v>0.85991130037903896</v>
      </c>
      <c r="G43">
        <v>2.9034638922003898E-2</v>
      </c>
      <c r="H43" s="1">
        <f>Table21012[[#This Row],[eff_S]]/O$39-1</f>
        <v>-1.96165565538019E-2</v>
      </c>
      <c r="I43" s="1">
        <f>Table21012[[#This Row],[eff_D]]/O$40-1</f>
        <v>-1.9543892855161671E-2</v>
      </c>
      <c r="J43" s="1">
        <f>Table21012[[#This Row],[eff_T]]/O$41-1</f>
        <v>-3.3517581944881081E-2</v>
      </c>
      <c r="K43" s="7"/>
      <c r="U43">
        <v>0.99689492046975403</v>
      </c>
      <c r="V43">
        <v>2.4347463421259099E-3</v>
      </c>
      <c r="W43">
        <v>0.99979667520652604</v>
      </c>
      <c r="X43">
        <v>1.8469653293921699E-4</v>
      </c>
      <c r="Y43">
        <v>0.99088980593059095</v>
      </c>
      <c r="Z43">
        <v>7.1203590398926904E-3</v>
      </c>
    </row>
    <row r="44" spans="1:26" x14ac:dyDescent="0.3">
      <c r="A44">
        <v>200</v>
      </c>
      <c r="B44">
        <v>0.94265138334656595</v>
      </c>
      <c r="C44">
        <v>1.2891554812912201E-2</v>
      </c>
      <c r="D44">
        <v>0.94712744901599</v>
      </c>
      <c r="E44">
        <v>1.3527668230671201E-2</v>
      </c>
      <c r="F44">
        <v>0.90918137692809298</v>
      </c>
      <c r="G44">
        <v>1.7336916781602801E-2</v>
      </c>
      <c r="H44" s="1">
        <f>Table21012[[#This Row],[eff_S]]/O$39-1</f>
        <v>1.0429907709716302E-2</v>
      </c>
      <c r="I44" s="1">
        <f>Table21012[[#This Row],[eff_D]]/O$40-1</f>
        <v>8.067690272921757E-3</v>
      </c>
      <c r="J44" s="1">
        <f>Table21012[[#This Row],[eff_T]]/O$41-1</f>
        <v>2.1858667558876776E-2</v>
      </c>
      <c r="K44" s="6"/>
      <c r="U44">
        <v>0.91772224255082302</v>
      </c>
      <c r="V44">
        <v>5.4528017665543403E-2</v>
      </c>
      <c r="W44">
        <v>0.909086680371193</v>
      </c>
      <c r="X44">
        <v>6.0969564160569603E-2</v>
      </c>
      <c r="Y44">
        <v>0.89797697283918498</v>
      </c>
      <c r="Z44">
        <v>6.6472482472692898E-2</v>
      </c>
    </row>
    <row r="45" spans="1:26" x14ac:dyDescent="0.3">
      <c r="A45">
        <v>500</v>
      </c>
      <c r="B45">
        <v>0.93239119709362805</v>
      </c>
      <c r="C45">
        <v>8.3947097464930499E-3</v>
      </c>
      <c r="D45">
        <v>0.94015572609429698</v>
      </c>
      <c r="E45">
        <v>8.7581883940228301E-3</v>
      </c>
      <c r="F45">
        <v>0.88680551737528301</v>
      </c>
      <c r="G45">
        <v>1.17155442702942E-2</v>
      </c>
      <c r="H45" s="1">
        <f>Table21012[[#This Row],[eff_S]]/O$39-1</f>
        <v>-5.680065052242611E-4</v>
      </c>
      <c r="I45" s="1">
        <f>Table21012[[#This Row],[eff_D]]/O$40-1</f>
        <v>6.47391526226615E-4</v>
      </c>
      <c r="J45" s="1">
        <f>Table21012[[#This Row],[eff_T]]/O$41-1</f>
        <v>-3.2902923828392883E-3</v>
      </c>
      <c r="K45" s="6"/>
      <c r="U45">
        <v>0.96749527595093798</v>
      </c>
      <c r="V45">
        <v>2.0506421263800902E-2</v>
      </c>
      <c r="W45">
        <v>0.97461860870583605</v>
      </c>
      <c r="X45">
        <v>1.9985704767066799E-2</v>
      </c>
      <c r="Y45">
        <v>0.94829985760679103</v>
      </c>
      <c r="Z45">
        <v>2.4318695534783202E-2</v>
      </c>
    </row>
    <row r="46" spans="1:26" x14ac:dyDescent="0.3">
      <c r="A46">
        <v>1000</v>
      </c>
      <c r="B46">
        <v>0.93754207848006799</v>
      </c>
      <c r="C46">
        <v>5.7177417595046798E-3</v>
      </c>
      <c r="D46">
        <v>0.94496722186040605</v>
      </c>
      <c r="E46">
        <v>5.9223006133268903E-3</v>
      </c>
      <c r="F46">
        <v>0.89503296869346305</v>
      </c>
      <c r="G46">
        <v>8.0203283227685395E-3</v>
      </c>
      <c r="H46" s="1">
        <f>Table21012[[#This Row],[eff_S]]/O$39-1</f>
        <v>4.953233579786831E-3</v>
      </c>
      <c r="I46" s="1">
        <f>Table21012[[#This Row],[eff_D]]/O$40-1</f>
        <v>5.7684694009505488E-3</v>
      </c>
      <c r="J46" s="1">
        <f>Table21012[[#This Row],[eff_T]]/O$41-1</f>
        <v>5.9568090809050123E-3</v>
      </c>
      <c r="K46" s="6"/>
      <c r="U46">
        <v>0.91462040278416601</v>
      </c>
      <c r="V46">
        <v>2.0929740650401402E-2</v>
      </c>
      <c r="W46">
        <v>0.92118505591705602</v>
      </c>
      <c r="X46">
        <v>2.2701884300864401E-2</v>
      </c>
      <c r="Y46">
        <v>0.85991130037903896</v>
      </c>
      <c r="Z46">
        <v>2.9034638922003898E-2</v>
      </c>
    </row>
    <row r="47" spans="1:26" x14ac:dyDescent="0.3">
      <c r="A47">
        <v>2000</v>
      </c>
      <c r="B47">
        <v>0.93123123920144801</v>
      </c>
      <c r="C47">
        <v>4.3505776470177202E-3</v>
      </c>
      <c r="D47">
        <v>0.93741077454428501</v>
      </c>
      <c r="E47">
        <v>4.5533353555431196E-3</v>
      </c>
      <c r="F47">
        <v>0.88886462161304702</v>
      </c>
      <c r="G47">
        <v>5.9330130279379297E-3</v>
      </c>
      <c r="H47" s="1">
        <f>Table21012[[#This Row],[eff_S]]/O$39-1</f>
        <v>-1.8113676954254476E-3</v>
      </c>
      <c r="I47" s="1">
        <f>Table21012[[#This Row],[eff_D]]/O$40-1</f>
        <v>-2.2741761802171911E-3</v>
      </c>
      <c r="J47" s="1">
        <f>Table21012[[#This Row],[eff_T]]/O$41-1</f>
        <v>-9.7599782494195431E-4</v>
      </c>
      <c r="K47" s="5"/>
      <c r="U47">
        <v>0.94265138334656595</v>
      </c>
      <c r="V47">
        <v>1.2891554812912201E-2</v>
      </c>
      <c r="W47">
        <v>0.94712744901599</v>
      </c>
      <c r="X47">
        <v>1.3527668230671201E-2</v>
      </c>
      <c r="Y47">
        <v>0.90918137692809298</v>
      </c>
      <c r="Z47">
        <v>1.7336916781602801E-2</v>
      </c>
    </row>
    <row r="48" spans="1:26" x14ac:dyDescent="0.3">
      <c r="A48">
        <v>5000</v>
      </c>
      <c r="B48">
        <v>0.93039955219859805</v>
      </c>
      <c r="C48">
        <v>2.7564689930207301E-3</v>
      </c>
      <c r="D48">
        <v>0.93654622243631003</v>
      </c>
      <c r="E48">
        <v>2.8917297851523299E-3</v>
      </c>
      <c r="F48">
        <v>0.88717778870000996</v>
      </c>
      <c r="G48">
        <v>3.78101365791003E-3</v>
      </c>
      <c r="H48" s="1">
        <f>Table21012[[#This Row],[eff_S]]/O$39-1</f>
        <v>-2.7028546612108961E-3</v>
      </c>
      <c r="I48" s="1">
        <f>Table21012[[#This Row],[eff_D]]/O$40-1</f>
        <v>-3.1943554523018447E-3</v>
      </c>
      <c r="J48" s="1">
        <f>Table21012[[#This Row],[eff_T]]/O$41-1</f>
        <v>-2.8718844727024795E-3</v>
      </c>
      <c r="K48" s="5"/>
      <c r="U48">
        <v>0.93239119709362805</v>
      </c>
      <c r="V48">
        <v>8.3947097464930499E-3</v>
      </c>
      <c r="W48">
        <v>0.94015572609429698</v>
      </c>
      <c r="X48">
        <v>8.7581883940228301E-3</v>
      </c>
      <c r="Y48">
        <v>0.88680551737528301</v>
      </c>
      <c r="Z48">
        <v>1.17155442702942E-2</v>
      </c>
    </row>
    <row r="49" spans="1:26" x14ac:dyDescent="0.3">
      <c r="A49">
        <v>10000</v>
      </c>
      <c r="B49">
        <v>0.92924353946243698</v>
      </c>
      <c r="C49">
        <v>1.9568682336074299E-3</v>
      </c>
      <c r="D49">
        <v>0.93577877371800899</v>
      </c>
      <c r="E49">
        <v>2.0463851143970998E-3</v>
      </c>
      <c r="F49">
        <v>0.88479094584554097</v>
      </c>
      <c r="G49">
        <v>2.6919013441981899E-3</v>
      </c>
      <c r="H49" s="1">
        <f>Table21012[[#This Row],[eff_S]]/O$39-1</f>
        <v>-3.94198703076587E-3</v>
      </c>
      <c r="I49" s="1">
        <f>Table21012[[#This Row],[eff_D]]/O$40-1</f>
        <v>-4.0111834912995858E-3</v>
      </c>
      <c r="J49" s="1">
        <f>Table21012[[#This Row],[eff_T]]/O$41-1</f>
        <v>-5.554535174568942E-3</v>
      </c>
      <c r="K49" s="4"/>
      <c r="U49">
        <v>0.93754207848006799</v>
      </c>
      <c r="V49">
        <v>5.7177417595046798E-3</v>
      </c>
      <c r="W49">
        <v>0.94496722186040605</v>
      </c>
      <c r="X49">
        <v>5.9223006133268903E-3</v>
      </c>
      <c r="Y49">
        <v>0.89503296869346305</v>
      </c>
      <c r="Z49">
        <v>8.0203283227685395E-3</v>
      </c>
    </row>
    <row r="50" spans="1:26" x14ac:dyDescent="0.3">
      <c r="A50">
        <v>20000</v>
      </c>
      <c r="B50">
        <v>0.93058295116096501</v>
      </c>
      <c r="C50">
        <v>1.3751378680632901E-3</v>
      </c>
      <c r="D50">
        <v>0.93719393743035795</v>
      </c>
      <c r="E50">
        <v>1.4368360818666601E-3</v>
      </c>
      <c r="F50">
        <v>0.88711009945744701</v>
      </c>
      <c r="G50">
        <v>1.88240284467127E-3</v>
      </c>
      <c r="H50" s="1">
        <f>Table21012[[#This Row],[eff_S]]/O$39-1</f>
        <v>-2.5062689457573395E-3</v>
      </c>
      <c r="I50" s="1">
        <f>Table21012[[#This Row],[eff_D]]/O$40-1</f>
        <v>-2.5049650659464406E-3</v>
      </c>
      <c r="J50" s="1">
        <f>Table21012[[#This Row],[eff_T]]/O$41-1</f>
        <v>-2.9479626249487856E-3</v>
      </c>
      <c r="K50" s="4"/>
      <c r="U50">
        <v>0.93123123920144801</v>
      </c>
      <c r="V50">
        <v>4.3505776470177202E-3</v>
      </c>
      <c r="W50">
        <v>0.93741077454428501</v>
      </c>
      <c r="X50">
        <v>4.5533353555431196E-3</v>
      </c>
      <c r="Y50">
        <v>0.88886462161304702</v>
      </c>
      <c r="Z50">
        <v>5.9330130279379297E-3</v>
      </c>
    </row>
    <row r="51" spans="1:26" x14ac:dyDescent="0.3">
      <c r="A51">
        <v>50000</v>
      </c>
      <c r="B51">
        <v>0.93316898447799901</v>
      </c>
      <c r="C51">
        <v>8.4449982705064896E-4</v>
      </c>
      <c r="D51">
        <v>0.93987278505687799</v>
      </c>
      <c r="E51">
        <v>8.8243637237530302E-4</v>
      </c>
      <c r="F51">
        <v>0.889758634700755</v>
      </c>
      <c r="G51">
        <v>1.1733204686700601E-3</v>
      </c>
      <c r="H51" s="1">
        <f>Table21012[[#This Row],[eff_S]]/O$39-1</f>
        <v>2.6570535145142848E-4</v>
      </c>
      <c r="I51" s="1">
        <f>Table21012[[#This Row],[eff_D]]/O$40-1</f>
        <v>3.4624544670935897E-4</v>
      </c>
      <c r="J51" s="1">
        <f>Table21012[[#This Row],[eff_T]]/O$41-1</f>
        <v>2.8812706563074997E-5</v>
      </c>
      <c r="K51" s="4"/>
      <c r="U51">
        <v>0.93039955219859805</v>
      </c>
      <c r="V51">
        <v>2.7564689930207301E-3</v>
      </c>
      <c r="W51">
        <v>0.93654622243631003</v>
      </c>
      <c r="X51">
        <v>2.8917297851523299E-3</v>
      </c>
      <c r="Y51">
        <v>0.88717778870000996</v>
      </c>
      <c r="Z51">
        <v>3.78101365791003E-3</v>
      </c>
    </row>
    <row r="52" spans="1:26" x14ac:dyDescent="0.3">
      <c r="A52">
        <v>100000</v>
      </c>
      <c r="B52">
        <v>0.93217847657539099</v>
      </c>
      <c r="C52">
        <v>6.0400591312055097E-4</v>
      </c>
      <c r="D52">
        <v>0.938660111207968</v>
      </c>
      <c r="E52">
        <v>6.3106756995430296E-4</v>
      </c>
      <c r="F52">
        <v>0.88882848414433002</v>
      </c>
      <c r="G52">
        <v>8.3629652621560195E-4</v>
      </c>
      <c r="H52" s="1">
        <f>Table21012[[#This Row],[eff_S]]/O$39-1</f>
        <v>-7.9602205520112879E-4</v>
      </c>
      <c r="I52" s="1">
        <f>Table21012[[#This Row],[eff_D]]/O$40-1</f>
        <v>-9.4445447672242278E-4</v>
      </c>
      <c r="J52" s="1">
        <f>Table21012[[#This Row],[eff_T]]/O$41-1</f>
        <v>-1.016613907243169E-3</v>
      </c>
      <c r="U52">
        <v>0.92924353946243698</v>
      </c>
      <c r="V52">
        <v>1.9568682336074299E-3</v>
      </c>
      <c r="W52">
        <v>0.93577877371800899</v>
      </c>
      <c r="X52">
        <v>2.0463851143970998E-3</v>
      </c>
      <c r="Y52">
        <v>0.88479094584554097</v>
      </c>
      <c r="Z52">
        <v>2.6919013441981899E-3</v>
      </c>
    </row>
    <row r="53" spans="1:26" x14ac:dyDescent="0.3">
      <c r="B53" s="1"/>
      <c r="C53" s="1"/>
      <c r="D53" s="1"/>
      <c r="E53" s="1"/>
      <c r="F53" s="1"/>
      <c r="G53" s="1"/>
      <c r="H53" s="1">
        <f>Table21012[[#This Row],[eff_S]]/O$39-1</f>
        <v>-1</v>
      </c>
      <c r="I53" s="1">
        <f>Table21012[[#This Row],[eff_D]]/O$40-1</f>
        <v>-1</v>
      </c>
      <c r="J53" s="1">
        <f>Table21012[[#This Row],[eff_T]]/O$41-1</f>
        <v>-1</v>
      </c>
      <c r="U53">
        <v>0.93058295116096501</v>
      </c>
      <c r="V53">
        <v>1.3751378680632901E-3</v>
      </c>
      <c r="W53">
        <v>0.93719393743035795</v>
      </c>
      <c r="X53">
        <v>1.4368360818666601E-3</v>
      </c>
      <c r="Y53">
        <v>0.88711009945744701</v>
      </c>
      <c r="Z53">
        <v>1.88240284467127E-3</v>
      </c>
    </row>
    <row r="54" spans="1:26" x14ac:dyDescent="0.3">
      <c r="B54" s="1"/>
      <c r="C54" s="1"/>
      <c r="D54" s="1"/>
      <c r="E54" s="1"/>
      <c r="F54" s="1"/>
      <c r="G54" s="1"/>
      <c r="H54" s="1">
        <f>Table21012[[#This Row],[eff_S]]/O$39-1</f>
        <v>-1</v>
      </c>
      <c r="I54" s="1">
        <f>Table21012[[#This Row],[eff_D]]/O$40-1</f>
        <v>-1</v>
      </c>
      <c r="J54" s="1">
        <f>Table21012[[#This Row],[eff_T]]/O$41-1</f>
        <v>-1</v>
      </c>
      <c r="U54">
        <v>0.93316898447799901</v>
      </c>
      <c r="V54">
        <v>8.4449982705064896E-4</v>
      </c>
      <c r="W54">
        <v>0.93987278505687799</v>
      </c>
      <c r="X54">
        <v>8.8243637237530302E-4</v>
      </c>
      <c r="Y54">
        <v>0.889758634700755</v>
      </c>
      <c r="Z54">
        <v>1.1733204686700601E-3</v>
      </c>
    </row>
    <row r="55" spans="1:26" x14ac:dyDescent="0.3">
      <c r="U55">
        <v>0.93217847657539099</v>
      </c>
      <c r="V55">
        <v>6.0400591312055097E-4</v>
      </c>
      <c r="W55">
        <v>0.938660111207968</v>
      </c>
      <c r="X55">
        <v>6.3106756995430296E-4</v>
      </c>
      <c r="Y55">
        <v>0.88882848414433002</v>
      </c>
      <c r="Z55">
        <v>8.3629652621560195E-4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0.3302/SQRT(B57)</f>
        <v>1.0441840833875988E-3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3452-1925-41EF-86BC-A337BB1441D4}">
  <dimension ref="A3:Z63"/>
  <sheetViews>
    <sheetView topLeftCell="A33" workbookViewId="0">
      <selection activeCell="Q40" sqref="Q40: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34</v>
      </c>
      <c r="H8" s="9" t="s">
        <v>22</v>
      </c>
      <c r="I8" s="9">
        <v>224.1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Table191119[[#This Row],[eff_D]]/B$31-1</f>
        <v>-1</v>
      </c>
      <c r="D10" s="6"/>
    </row>
    <row r="11" spans="1:10" x14ac:dyDescent="0.3">
      <c r="A11">
        <v>4</v>
      </c>
      <c r="B11" s="1"/>
      <c r="C11" s="3">
        <f>Table191119[[#This Row],[eff_D]]/B$31-1</f>
        <v>-1</v>
      </c>
      <c r="D11" s="6"/>
    </row>
    <row r="12" spans="1:10" x14ac:dyDescent="0.3">
      <c r="A12">
        <v>5</v>
      </c>
      <c r="B12" s="1"/>
      <c r="C12" s="3">
        <f>Table191119[[#This Row],[eff_D]]/B$31-1</f>
        <v>-1</v>
      </c>
      <c r="D12" s="6"/>
    </row>
    <row r="13" spans="1:10" x14ac:dyDescent="0.3">
      <c r="A13">
        <v>6</v>
      </c>
      <c r="B13" s="1"/>
      <c r="C13" s="3">
        <f>Table191119[[#This Row],[eff_D]]/B$31-1</f>
        <v>-1</v>
      </c>
      <c r="D13" s="6"/>
    </row>
    <row r="14" spans="1:10" x14ac:dyDescent="0.3">
      <c r="A14">
        <v>7</v>
      </c>
      <c r="B14" s="1"/>
      <c r="C14" s="3">
        <f>Table191119[[#This Row],[eff_D]]/B$31-1</f>
        <v>-1</v>
      </c>
      <c r="D14" s="6"/>
    </row>
    <row r="15" spans="1:10" x14ac:dyDescent="0.3">
      <c r="A15">
        <v>10</v>
      </c>
      <c r="B15" s="1">
        <v>0.95488759691167502</v>
      </c>
      <c r="C15" s="3">
        <f>Table191119[[#This Row],[eff_D]]/B$31-1</f>
        <v>7.5949170096025753E-3</v>
      </c>
      <c r="D15" s="5"/>
    </row>
    <row r="16" spans="1:10" x14ac:dyDescent="0.3">
      <c r="A16">
        <v>20</v>
      </c>
      <c r="B16" s="1">
        <v>0.95119725842330405</v>
      </c>
      <c r="C16" s="3">
        <f>Table191119[[#This Row],[eff_D]]/B$31-1</f>
        <v>3.7008814027379433E-3</v>
      </c>
      <c r="D16" s="5"/>
    </row>
    <row r="17" spans="1:4" x14ac:dyDescent="0.3">
      <c r="A17">
        <v>50</v>
      </c>
      <c r="B17" s="1">
        <v>0.94892707223662298</v>
      </c>
      <c r="C17" s="3">
        <f>Table191119[[#This Row],[eff_D]]/B$31-1</f>
        <v>1.3053868233097177E-3</v>
      </c>
      <c r="D17" s="5"/>
    </row>
    <row r="18" spans="1:4" x14ac:dyDescent="0.3">
      <c r="A18">
        <v>80</v>
      </c>
      <c r="B18" s="1">
        <v>0.94840691779451702</v>
      </c>
      <c r="C18" s="3">
        <f>Table191119[[#This Row],[eff_D]]/B$31-1</f>
        <v>7.5652120433944425E-4</v>
      </c>
      <c r="D18" s="5"/>
    </row>
    <row r="19" spans="1:4" x14ac:dyDescent="0.3">
      <c r="A19">
        <v>100</v>
      </c>
      <c r="B19" s="1">
        <v>0.94824922967087899</v>
      </c>
      <c r="C19" s="3">
        <f>Table191119[[#This Row],[eff_D]]/B$31-1</f>
        <v>5.9012910503430938E-4</v>
      </c>
      <c r="D19" s="5"/>
    </row>
    <row r="20" spans="1:4" x14ac:dyDescent="0.3">
      <c r="A20">
        <v>200</v>
      </c>
      <c r="B20" s="1">
        <v>0.94795918093223797</v>
      </c>
      <c r="C20" s="3">
        <f>Table191119[[#This Row],[eff_D]]/B$31-1</f>
        <v>2.8407042788214376E-4</v>
      </c>
      <c r="D20" s="5"/>
    </row>
    <row r="21" spans="1:4" x14ac:dyDescent="0.3">
      <c r="A21">
        <v>500</v>
      </c>
      <c r="B21" s="1">
        <v>0.94779032014514497</v>
      </c>
      <c r="C21" s="3">
        <f>Table191119[[#This Row],[eff_D]]/B$31-1</f>
        <v>1.0588896306118478E-4</v>
      </c>
      <c r="D21" s="5"/>
    </row>
    <row r="22" spans="1:4" x14ac:dyDescent="0.3">
      <c r="A22">
        <v>1000</v>
      </c>
      <c r="B22" s="1">
        <v>0.94773393128053895</v>
      </c>
      <c r="C22" s="3">
        <f>Table191119[[#This Row],[eff_D]]/B$31-1</f>
        <v>4.6387579299755899E-5</v>
      </c>
      <c r="D22" s="4"/>
    </row>
    <row r="23" spans="1:4" x14ac:dyDescent="0.3">
      <c r="A23">
        <v>2000</v>
      </c>
      <c r="B23" s="1">
        <v>0.94770627567205501</v>
      </c>
      <c r="C23" s="3">
        <f>Table191119[[#This Row],[eff_D]]/B$31-1</f>
        <v>1.7205452916169151E-5</v>
      </c>
      <c r="D23" s="4"/>
    </row>
    <row r="24" spans="1:4" x14ac:dyDescent="0.3">
      <c r="A24">
        <v>5000</v>
      </c>
      <c r="B24" s="1">
        <v>0.94768997023689305</v>
      </c>
      <c r="C24" s="3">
        <f>Table191119[[#This Row],[eff_D]]/B$31-1</f>
        <v>0</v>
      </c>
      <c r="D24" s="4"/>
    </row>
    <row r="25" spans="1:4" x14ac:dyDescent="0.3">
      <c r="A25">
        <v>7000</v>
      </c>
      <c r="B25" s="1"/>
      <c r="C25" s="3">
        <f>Table191119[[#This Row],[eff_D]]/B$31-1</f>
        <v>-1</v>
      </c>
      <c r="D25" s="4"/>
    </row>
    <row r="26" spans="1:4" x14ac:dyDescent="0.3">
      <c r="A26">
        <v>10000</v>
      </c>
      <c r="B26" s="1"/>
      <c r="C26" s="3">
        <f>Table191119[[#This Row],[eff_D]]/B$31-1</f>
        <v>-1</v>
      </c>
      <c r="D26" s="4"/>
    </row>
    <row r="27" spans="1:4" x14ac:dyDescent="0.3">
      <c r="A27">
        <v>20000</v>
      </c>
      <c r="B27" s="1"/>
      <c r="C27" s="3">
        <f>Table191119[[#This Row],[eff_D]]/B$31-1</f>
        <v>-1</v>
      </c>
      <c r="D27" s="4"/>
    </row>
    <row r="28" spans="1:4" x14ac:dyDescent="0.3">
      <c r="A28">
        <v>50000</v>
      </c>
      <c r="B28" s="1"/>
      <c r="C28" s="3">
        <f>Table191119[[#This Row],[eff_D]]/B$31-1</f>
        <v>-1</v>
      </c>
      <c r="D28" s="4"/>
    </row>
    <row r="29" spans="1:4" x14ac:dyDescent="0.3">
      <c r="A29">
        <v>70000</v>
      </c>
      <c r="B29" s="1"/>
      <c r="C29" s="3">
        <f>Table191119[[#This Row],[eff_D]]/B$31-1</f>
        <v>-1</v>
      </c>
      <c r="D29" s="4"/>
    </row>
    <row r="31" spans="1:4" x14ac:dyDescent="0.3">
      <c r="A31" t="s">
        <v>6</v>
      </c>
      <c r="B31" s="2">
        <v>0.94768997023689305</v>
      </c>
    </row>
    <row r="33" spans="1:26" x14ac:dyDescent="0.3">
      <c r="A33" t="s">
        <v>7</v>
      </c>
      <c r="C33">
        <v>1000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0.94214459586382504</v>
      </c>
      <c r="Q39" t="e">
        <f t="shared" ref="Q39:Q42" si="0">O39/P39-1</f>
        <v>#DIV/0!</v>
      </c>
    </row>
    <row r="40" spans="1:26" x14ac:dyDescent="0.3">
      <c r="A40">
        <v>10</v>
      </c>
      <c r="B40">
        <v>0.86449487866661101</v>
      </c>
      <c r="C40">
        <v>9.3801458673291094E-2</v>
      </c>
      <c r="D40">
        <v>0.88324439529713406</v>
      </c>
      <c r="E40">
        <v>9.3708515766109196E-2</v>
      </c>
      <c r="F40">
        <v>0.81138559995118797</v>
      </c>
      <c r="G40">
        <v>0.10190647390994199</v>
      </c>
      <c r="H40" s="1">
        <f>Table2101220[[#This Row],[eff_S]]/O$39-1</f>
        <v>-8.2418046590841287E-2</v>
      </c>
      <c r="I40" s="1">
        <f>Table2101220[[#This Row],[eff_D]]/O$40-1</f>
        <v>-6.8046034709625003E-2</v>
      </c>
      <c r="J40" s="1">
        <f>Table2101220[[#This Row],[eff_T]]/O$41-1</f>
        <v>-0.10448278284281598</v>
      </c>
      <c r="K40" s="8"/>
      <c r="N40" t="s">
        <v>3</v>
      </c>
      <c r="O40">
        <v>0.94773393128053895</v>
      </c>
      <c r="P40">
        <v>0.95350000000000001</v>
      </c>
      <c r="Q40" s="1">
        <f t="shared" si="0"/>
        <v>-6.0472666171589307E-3</v>
      </c>
    </row>
    <row r="41" spans="1:26" x14ac:dyDescent="0.3">
      <c r="A41">
        <v>20</v>
      </c>
      <c r="B41">
        <v>0.98150600730826798</v>
      </c>
      <c r="C41">
        <v>1.3663369617593501E-2</v>
      </c>
      <c r="D41">
        <v>0.98994561395329495</v>
      </c>
      <c r="E41">
        <v>9.1896946152839106E-3</v>
      </c>
      <c r="F41">
        <v>0.95565888667588905</v>
      </c>
      <c r="G41">
        <v>3.0963731380355599E-2</v>
      </c>
      <c r="H41" s="1">
        <f>Table2101220[[#This Row],[eff_S]]/O$39-1</f>
        <v>4.17785248859317E-2</v>
      </c>
      <c r="I41" s="1">
        <f>Table2101220[[#This Row],[eff_D]]/O$40-1</f>
        <v>4.4539592051665133E-2</v>
      </c>
      <c r="J41" s="1">
        <f>Table2101220[[#This Row],[eff_T]]/O$41-1</f>
        <v>5.4750031056761905E-2</v>
      </c>
      <c r="K41" s="8"/>
      <c r="N41" t="s">
        <v>13</v>
      </c>
      <c r="O41">
        <v>0.90605248498396096</v>
      </c>
      <c r="P41">
        <v>0.91400000000000003</v>
      </c>
      <c r="Q41" s="1">
        <f t="shared" si="0"/>
        <v>-8.6953118337408375E-3</v>
      </c>
      <c r="U41">
        <v>0.86449487866661101</v>
      </c>
      <c r="V41">
        <v>9.3801458673291094E-2</v>
      </c>
      <c r="W41">
        <v>0.88324439529713406</v>
      </c>
      <c r="X41">
        <v>9.3708515766109196E-2</v>
      </c>
      <c r="Y41">
        <v>0.81138559995118797</v>
      </c>
      <c r="Z41">
        <v>0.10190647390994199</v>
      </c>
    </row>
    <row r="42" spans="1:26" x14ac:dyDescent="0.3">
      <c r="A42">
        <v>50</v>
      </c>
      <c r="B42">
        <v>0.951177821618854</v>
      </c>
      <c r="C42">
        <v>2.1922419079956599E-2</v>
      </c>
      <c r="D42">
        <v>0.95146571433557303</v>
      </c>
      <c r="E42">
        <v>2.3367858469842299E-2</v>
      </c>
      <c r="F42">
        <v>0.91742044971539005</v>
      </c>
      <c r="G42">
        <v>3.5059102387414803E-2</v>
      </c>
      <c r="H42" s="1">
        <f>Table2101220[[#This Row],[eff_S]]/O$39-1</f>
        <v>9.5879398923333081E-3</v>
      </c>
      <c r="I42" s="1">
        <f>Table2101220[[#This Row],[eff_D]]/O$40-1</f>
        <v>3.9375851511318505E-3</v>
      </c>
      <c r="J42" s="1">
        <f>Table2101220[[#This Row],[eff_T]]/O$41-1</f>
        <v>1.2546695605200275E-2</v>
      </c>
      <c r="K42" s="8"/>
      <c r="N42" t="s">
        <v>56</v>
      </c>
      <c r="O42">
        <f>O41/O40</f>
        <v>0.95601988604516908</v>
      </c>
      <c r="P42">
        <f>P41/P40</f>
        <v>0.95857367593078135</v>
      </c>
      <c r="Q42" s="1">
        <f t="shared" si="0"/>
        <v>-2.664156078699409E-3</v>
      </c>
      <c r="U42">
        <v>0.98150600730826798</v>
      </c>
      <c r="V42">
        <v>1.3663369617593501E-2</v>
      </c>
      <c r="W42">
        <v>0.98994561395329495</v>
      </c>
      <c r="X42">
        <v>9.1896946152839106E-3</v>
      </c>
      <c r="Y42">
        <v>0.95565888667588905</v>
      </c>
      <c r="Z42">
        <v>3.0963731380355599E-2</v>
      </c>
    </row>
    <row r="43" spans="1:26" x14ac:dyDescent="0.3">
      <c r="A43">
        <v>100</v>
      </c>
      <c r="B43">
        <v>0.94744767063900204</v>
      </c>
      <c r="C43">
        <v>1.69966110545344E-2</v>
      </c>
      <c r="D43">
        <v>0.95329268504658005</v>
      </c>
      <c r="E43">
        <v>1.7247047317116002E-2</v>
      </c>
      <c r="F43">
        <v>0.91317200847648705</v>
      </c>
      <c r="G43">
        <v>2.3763898961529601E-2</v>
      </c>
      <c r="H43" s="1">
        <f>Table2101220[[#This Row],[eff_S]]/O$39-1</f>
        <v>5.6287270536374834E-3</v>
      </c>
      <c r="I43" s="1">
        <f>Table2101220[[#This Row],[eff_D]]/O$40-1</f>
        <v>5.8653104870165507E-3</v>
      </c>
      <c r="J43" s="1">
        <f>Table2101220[[#This Row],[eff_T]]/O$41-1</f>
        <v>7.8577384980651477E-3</v>
      </c>
      <c r="K43" s="7"/>
      <c r="U43">
        <v>0.951177821618854</v>
      </c>
      <c r="V43">
        <v>2.1922419079956599E-2</v>
      </c>
      <c r="W43">
        <v>0.95146571433557303</v>
      </c>
      <c r="X43">
        <v>2.3367858469842299E-2</v>
      </c>
      <c r="Y43">
        <v>0.91742044971539005</v>
      </c>
      <c r="Z43">
        <v>3.5059102387414803E-2</v>
      </c>
    </row>
    <row r="44" spans="1:26" x14ac:dyDescent="0.3">
      <c r="A44">
        <v>200</v>
      </c>
      <c r="B44">
        <v>0.93507673059317498</v>
      </c>
      <c r="C44">
        <v>1.3837786056704699E-2</v>
      </c>
      <c r="D44">
        <v>0.93935594758230101</v>
      </c>
      <c r="E44">
        <v>1.4455760978324701E-2</v>
      </c>
      <c r="F44">
        <v>0.89932006123942199</v>
      </c>
      <c r="G44">
        <v>1.8403057825887199E-2</v>
      </c>
      <c r="H44" s="1">
        <f>Table2101220[[#This Row],[eff_S]]/O$39-1</f>
        <v>-7.5018901574972485E-3</v>
      </c>
      <c r="I44" s="1">
        <f>Table2101220[[#This Row],[eff_D]]/O$40-1</f>
        <v>-8.8400166140700787E-3</v>
      </c>
      <c r="J44" s="1">
        <f>Table2101220[[#This Row],[eff_T]]/O$41-1</f>
        <v>-7.4305008331367883E-3</v>
      </c>
      <c r="K44" s="6"/>
      <c r="U44">
        <v>0.94744767063900204</v>
      </c>
      <c r="V44">
        <v>1.69966110545344E-2</v>
      </c>
      <c r="W44">
        <v>0.95329268504658005</v>
      </c>
      <c r="X44">
        <v>1.7247047317116002E-2</v>
      </c>
      <c r="Y44">
        <v>0.91317200847648705</v>
      </c>
      <c r="Z44">
        <v>2.3763898961529601E-2</v>
      </c>
    </row>
    <row r="45" spans="1:26" x14ac:dyDescent="0.3">
      <c r="A45">
        <v>500</v>
      </c>
      <c r="B45">
        <v>0.95563058337251905</v>
      </c>
      <c r="C45">
        <v>6.4822074579118597E-3</v>
      </c>
      <c r="D45">
        <v>0.96276770803517497</v>
      </c>
      <c r="E45">
        <v>6.6951456540986897E-3</v>
      </c>
      <c r="F45">
        <v>0.91997512394332104</v>
      </c>
      <c r="G45">
        <v>9.71545927643566E-3</v>
      </c>
      <c r="H45" s="1">
        <f>Table2101220[[#This Row],[eff_S]]/O$39-1</f>
        <v>1.4314137732042154E-2</v>
      </c>
      <c r="I45" s="1">
        <f>Table2101220[[#This Row],[eff_D]]/O$40-1</f>
        <v>1.5862866421088251E-2</v>
      </c>
      <c r="J45" s="1">
        <f>Table2101220[[#This Row],[eff_T]]/O$41-1</f>
        <v>1.5366260994920777E-2</v>
      </c>
      <c r="K45" s="6"/>
      <c r="U45">
        <v>0.93507673059317498</v>
      </c>
      <c r="V45">
        <v>1.3837786056704699E-2</v>
      </c>
      <c r="W45">
        <v>0.93935594758230101</v>
      </c>
      <c r="X45">
        <v>1.4455760978324701E-2</v>
      </c>
      <c r="Y45">
        <v>0.89932006123942199</v>
      </c>
      <c r="Z45">
        <v>1.8403057825887199E-2</v>
      </c>
    </row>
    <row r="46" spans="1:26" x14ac:dyDescent="0.3">
      <c r="A46">
        <v>1000</v>
      </c>
      <c r="B46">
        <v>0.93910595875811198</v>
      </c>
      <c r="C46">
        <v>5.9974094229948201E-3</v>
      </c>
      <c r="D46">
        <v>0.94467776838121997</v>
      </c>
      <c r="E46">
        <v>6.2515638462950903E-3</v>
      </c>
      <c r="F46">
        <v>0.904494498152421</v>
      </c>
      <c r="G46">
        <v>7.8617783655835407E-3</v>
      </c>
      <c r="H46" s="1">
        <f>Table2101220[[#This Row],[eff_S]]/O$39-1</f>
        <v>-3.2252343420035023E-3</v>
      </c>
      <c r="I46" s="1">
        <f>Table2101220[[#This Row],[eff_D]]/O$40-1</f>
        <v>-3.2247055829156546E-3</v>
      </c>
      <c r="J46" s="1">
        <f>Table2101220[[#This Row],[eff_T]]/O$41-1</f>
        <v>-1.7195326510996978E-3</v>
      </c>
      <c r="K46" s="6"/>
      <c r="U46">
        <v>0.95563058337251905</v>
      </c>
      <c r="V46">
        <v>6.4822074579118597E-3</v>
      </c>
      <c r="W46">
        <v>0.96276770803517497</v>
      </c>
      <c r="X46">
        <v>6.6951456540986897E-3</v>
      </c>
      <c r="Y46">
        <v>0.91997512394332104</v>
      </c>
      <c r="Z46">
        <v>9.71545927643566E-3</v>
      </c>
    </row>
    <row r="47" spans="1:26" x14ac:dyDescent="0.3">
      <c r="A47">
        <v>2000</v>
      </c>
      <c r="B47">
        <v>0.93983644932820598</v>
      </c>
      <c r="C47">
        <v>4.09219343719103E-3</v>
      </c>
      <c r="D47">
        <v>0.94586585502531495</v>
      </c>
      <c r="E47">
        <v>4.2265575764036901E-3</v>
      </c>
      <c r="F47">
        <v>0.90224404109828704</v>
      </c>
      <c r="G47">
        <v>5.6102274469469601E-3</v>
      </c>
      <c r="H47" s="1">
        <f>Table2101220[[#This Row],[eff_S]]/O$39-1</f>
        <v>-2.4498856606005592E-3</v>
      </c>
      <c r="I47" s="1">
        <f>Table2101220[[#This Row],[eff_D]]/O$40-1</f>
        <v>-1.9710977876459257E-3</v>
      </c>
      <c r="J47" s="1">
        <f>Table2101220[[#This Row],[eff_T]]/O$41-1</f>
        <v>-4.2033369465802606E-3</v>
      </c>
      <c r="K47" s="5"/>
      <c r="U47">
        <v>0.93910595875811198</v>
      </c>
      <c r="V47">
        <v>5.9974094229948201E-3</v>
      </c>
      <c r="W47">
        <v>0.94467776838121997</v>
      </c>
      <c r="X47">
        <v>6.2515638462950903E-3</v>
      </c>
      <c r="Y47">
        <v>0.904494498152421</v>
      </c>
      <c r="Z47">
        <v>7.8617783655835407E-3</v>
      </c>
    </row>
    <row r="48" spans="1:26" x14ac:dyDescent="0.3">
      <c r="A48">
        <v>5000</v>
      </c>
      <c r="B48">
        <v>0.94416778563500903</v>
      </c>
      <c r="C48">
        <v>2.5250391351435298E-3</v>
      </c>
      <c r="D48">
        <v>0.94941301631602604</v>
      </c>
      <c r="E48">
        <v>2.6284070962727299E-3</v>
      </c>
      <c r="F48">
        <v>0.91029137274341199</v>
      </c>
      <c r="G48">
        <v>3.4227522684035102E-3</v>
      </c>
      <c r="H48" s="1">
        <f>Table2101220[[#This Row],[eff_S]]/O$39-1</f>
        <v>2.1474302140733759E-3</v>
      </c>
      <c r="I48" s="1">
        <f>Table2101220[[#This Row],[eff_D]]/O$40-1</f>
        <v>1.7716839928041406E-3</v>
      </c>
      <c r="J48" s="1">
        <f>Table2101220[[#This Row],[eff_T]]/O$41-1</f>
        <v>4.6784130386510192E-3</v>
      </c>
      <c r="K48" s="5"/>
      <c r="U48">
        <v>0.93983644932820598</v>
      </c>
      <c r="V48">
        <v>4.09219343719103E-3</v>
      </c>
      <c r="W48">
        <v>0.94586585502531495</v>
      </c>
      <c r="X48">
        <v>4.2265575764036901E-3</v>
      </c>
      <c r="Y48">
        <v>0.90224404109828704</v>
      </c>
      <c r="Z48">
        <v>5.6102274469469601E-3</v>
      </c>
    </row>
    <row r="49" spans="1:26" x14ac:dyDescent="0.3">
      <c r="A49">
        <v>10000</v>
      </c>
      <c r="B49">
        <v>0.94172164323445195</v>
      </c>
      <c r="C49">
        <v>1.79156686374436E-3</v>
      </c>
      <c r="D49">
        <v>0.94767304252026596</v>
      </c>
      <c r="E49">
        <v>1.85900461953876E-3</v>
      </c>
      <c r="F49">
        <v>0.90456863615316396</v>
      </c>
      <c r="G49">
        <v>2.4709318841695201E-3</v>
      </c>
      <c r="H49" s="1">
        <f>Table2101220[[#This Row],[eff_S]]/O$39-1</f>
        <v>-4.4892538919172331E-4</v>
      </c>
      <c r="I49" s="1">
        <f>Table2101220[[#This Row],[eff_D]]/O$40-1</f>
        <v>-6.4246681756641166E-5</v>
      </c>
      <c r="J49" s="1">
        <f>Table2101220[[#This Row],[eff_T]]/O$41-1</f>
        <v>-1.6377073683797594E-3</v>
      </c>
      <c r="K49" s="4"/>
      <c r="U49">
        <v>0.94416778563500903</v>
      </c>
      <c r="V49">
        <v>2.5250391351435298E-3</v>
      </c>
      <c r="W49">
        <v>0.94941301631602604</v>
      </c>
      <c r="X49">
        <v>2.6284070962727299E-3</v>
      </c>
      <c r="Y49">
        <v>0.91029137274341199</v>
      </c>
      <c r="Z49">
        <v>3.4227522684035102E-3</v>
      </c>
    </row>
    <row r="50" spans="1:26" x14ac:dyDescent="0.3">
      <c r="A50">
        <v>20000</v>
      </c>
      <c r="B50">
        <v>0.93893757862813298</v>
      </c>
      <c r="C50">
        <v>1.30460279246735E-3</v>
      </c>
      <c r="D50">
        <v>0.94449469194973701</v>
      </c>
      <c r="E50">
        <v>1.35812619252496E-3</v>
      </c>
      <c r="F50">
        <v>0.90121797224863198</v>
      </c>
      <c r="G50">
        <v>1.7906072419838701E-3</v>
      </c>
      <c r="H50" s="1">
        <f>Table2101220[[#This Row],[eff_S]]/O$39-1</f>
        <v>-3.4039543927454341E-3</v>
      </c>
      <c r="I50" s="1">
        <f>Table2101220[[#This Row],[eff_D]]/O$40-1</f>
        <v>-3.4178783980280958E-3</v>
      </c>
      <c r="J50" s="1">
        <f>Table2101220[[#This Row],[eff_T]]/O$41-1</f>
        <v>-5.3357976667484097E-3</v>
      </c>
      <c r="K50" s="4"/>
      <c r="U50">
        <v>0.94172164323445195</v>
      </c>
      <c r="V50">
        <v>1.79156686374436E-3</v>
      </c>
      <c r="W50">
        <v>0.94767304252026596</v>
      </c>
      <c r="X50">
        <v>1.85900461953876E-3</v>
      </c>
      <c r="Y50">
        <v>0.90456863615316396</v>
      </c>
      <c r="Z50">
        <v>2.4709318841695201E-3</v>
      </c>
    </row>
    <row r="51" spans="1:26" x14ac:dyDescent="0.3">
      <c r="A51">
        <v>50000</v>
      </c>
      <c r="B51">
        <v>0.94178471411981601</v>
      </c>
      <c r="C51">
        <v>8.0494651418416103E-4</v>
      </c>
      <c r="D51">
        <v>0.94734636300824904</v>
      </c>
      <c r="E51">
        <v>8.3810530936557603E-4</v>
      </c>
      <c r="F51">
        <v>0.90535990692278301</v>
      </c>
      <c r="G51">
        <v>1.1060013136147699E-3</v>
      </c>
      <c r="H51" s="1">
        <f>Table2101220[[#This Row],[eff_S]]/O$39-1</f>
        <v>-3.8198143426071418E-4</v>
      </c>
      <c r="I51" s="1">
        <f>Table2101220[[#This Row],[eff_D]]/O$40-1</f>
        <v>-4.0894206643660169E-4</v>
      </c>
      <c r="J51" s="1">
        <f>Table2101220[[#This Row],[eff_T]]/O$41-1</f>
        <v>-7.6439066462052896E-4</v>
      </c>
      <c r="K51" s="4"/>
      <c r="U51">
        <v>0.93893757862813298</v>
      </c>
      <c r="V51">
        <v>1.30460279246735E-3</v>
      </c>
      <c r="W51">
        <v>0.94449469194973701</v>
      </c>
      <c r="X51">
        <v>1.35812619252496E-3</v>
      </c>
      <c r="Y51">
        <v>0.90121797224863198</v>
      </c>
      <c r="Z51">
        <v>1.7906072419838701E-3</v>
      </c>
    </row>
    <row r="52" spans="1:26" x14ac:dyDescent="0.3">
      <c r="A52">
        <v>100000</v>
      </c>
      <c r="B52">
        <v>0.94242788881672701</v>
      </c>
      <c r="C52">
        <v>5.6659855979576603E-4</v>
      </c>
      <c r="D52">
        <v>0.94803820184242205</v>
      </c>
      <c r="E52">
        <v>5.8915890405455398E-4</v>
      </c>
      <c r="F52">
        <v>0.90639147670251397</v>
      </c>
      <c r="G52">
        <v>7.7756608253084505E-4</v>
      </c>
      <c r="H52" s="1">
        <f>Table2101220[[#This Row],[eff_S]]/O$39-1</f>
        <v>3.0068946332195701E-4</v>
      </c>
      <c r="I52" s="1">
        <f>Table2101220[[#This Row],[eff_D]]/O$40-1</f>
        <v>3.2105061541054525E-4</v>
      </c>
      <c r="J52" s="1">
        <f>Table2101220[[#This Row],[eff_T]]/O$41-1</f>
        <v>3.7414137058400243E-4</v>
      </c>
      <c r="U52">
        <v>0.94178471411981601</v>
      </c>
      <c r="V52">
        <v>8.0494651418416103E-4</v>
      </c>
      <c r="W52">
        <v>0.94734636300824904</v>
      </c>
      <c r="X52">
        <v>8.3810530936557603E-4</v>
      </c>
      <c r="Y52">
        <v>0.90535990692278301</v>
      </c>
      <c r="Z52">
        <v>1.1060013136147699E-3</v>
      </c>
    </row>
    <row r="53" spans="1:26" x14ac:dyDescent="0.3">
      <c r="B53" s="1"/>
      <c r="C53" s="1"/>
      <c r="D53" s="1"/>
      <c r="E53" s="1"/>
      <c r="F53" s="1"/>
      <c r="G53" s="1"/>
      <c r="H53" s="1">
        <f>Table2101220[[#This Row],[eff_S]]/O$39-1</f>
        <v>-1</v>
      </c>
      <c r="I53" s="1">
        <f>Table2101220[[#This Row],[eff_D]]/O$40-1</f>
        <v>-1</v>
      </c>
      <c r="J53" s="1">
        <f>Table2101220[[#This Row],[eff_T]]/O$41-1</f>
        <v>-1</v>
      </c>
      <c r="U53">
        <v>0.94242788881672701</v>
      </c>
      <c r="V53">
        <v>5.6659855979576603E-4</v>
      </c>
      <c r="W53">
        <v>0.94803820184242205</v>
      </c>
      <c r="X53">
        <v>5.8915890405455398E-4</v>
      </c>
      <c r="Y53">
        <v>0.90639147670251397</v>
      </c>
      <c r="Z53">
        <v>7.7756608253084505E-4</v>
      </c>
    </row>
    <row r="54" spans="1:26" x14ac:dyDescent="0.3">
      <c r="B54" s="1"/>
      <c r="C54" s="1"/>
      <c r="D54" s="1"/>
      <c r="E54" s="1"/>
      <c r="F54" s="1"/>
      <c r="G54" s="1"/>
      <c r="H54" s="1">
        <f>Table2101220[[#This Row],[eff_S]]/O$39-1</f>
        <v>-1</v>
      </c>
      <c r="I54" s="1">
        <f>Table2101220[[#This Row],[eff_D]]/O$40-1</f>
        <v>-1</v>
      </c>
      <c r="J54" s="1">
        <f>Table2101220[[#This Row],[eff_T]]/O$41-1</f>
        <v>-1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0.3302/SQRT(B57)</f>
        <v>1.0441840833875988E-3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393-2E76-4F3F-8979-31DAC1354953}">
  <dimension ref="A3:Z63"/>
  <sheetViews>
    <sheetView topLeftCell="A36" workbookViewId="0">
      <selection activeCell="Q40" sqref="Q40: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25</v>
      </c>
      <c r="H8" s="9" t="s">
        <v>22</v>
      </c>
      <c r="I8" s="9">
        <v>66.98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0.90637218087976001</v>
      </c>
      <c r="C10" s="3">
        <f>Table16[[#This Row],[eff_D]]/B$31-1</f>
        <v>8.9171229605927937E-2</v>
      </c>
      <c r="D10" s="7"/>
    </row>
    <row r="11" spans="1:10" x14ac:dyDescent="0.3">
      <c r="A11">
        <v>4</v>
      </c>
      <c r="B11" s="1">
        <v>0.89004381781646602</v>
      </c>
      <c r="C11" s="3">
        <f>Table16[[#This Row],[eff_D]]/B$31-1</f>
        <v>6.9549727920121818E-2</v>
      </c>
      <c r="D11" s="7"/>
    </row>
    <row r="12" spans="1:10" x14ac:dyDescent="0.3">
      <c r="A12">
        <v>5</v>
      </c>
      <c r="B12" s="1">
        <v>0.879532439357399</v>
      </c>
      <c r="C12" s="3">
        <f>Table16[[#This Row],[eff_D]]/B$31-1</f>
        <v>5.6918392534251128E-2</v>
      </c>
      <c r="D12" s="7"/>
    </row>
    <row r="13" spans="1:10" x14ac:dyDescent="0.3">
      <c r="A13">
        <v>6</v>
      </c>
      <c r="B13" s="1">
        <v>0.87217360678990796</v>
      </c>
      <c r="C13" s="3">
        <f>Table16[[#This Row],[eff_D]]/B$31-1</f>
        <v>4.8075415129297472E-2</v>
      </c>
      <c r="D13" s="7"/>
    </row>
    <row r="14" spans="1:10" x14ac:dyDescent="0.3">
      <c r="A14">
        <v>7</v>
      </c>
      <c r="B14" s="1">
        <v>0.86674174754862798</v>
      </c>
      <c r="C14" s="3">
        <f>Table16[[#This Row],[eff_D]]/B$31-1</f>
        <v>4.1548047085930628E-2</v>
      </c>
      <c r="D14" s="6"/>
    </row>
    <row r="15" spans="1:10" x14ac:dyDescent="0.3">
      <c r="A15">
        <v>10</v>
      </c>
      <c r="B15" s="1">
        <v>0.85654284487064303</v>
      </c>
      <c r="C15" s="3">
        <f>Table16[[#This Row],[eff_D]]/B$31-1</f>
        <v>2.9292208254215968E-2</v>
      </c>
      <c r="D15" s="6"/>
    </row>
    <row r="16" spans="1:10" x14ac:dyDescent="0.3">
      <c r="A16">
        <v>20</v>
      </c>
      <c r="B16" s="1">
        <v>0.84396620345989704</v>
      </c>
      <c r="C16" s="3">
        <f>Table16[[#This Row],[eff_D]]/B$31-1</f>
        <v>1.4179083338621945E-2</v>
      </c>
      <c r="D16" s="6"/>
    </row>
    <row r="17" spans="1:4" x14ac:dyDescent="0.3">
      <c r="A17">
        <v>50</v>
      </c>
      <c r="B17" s="1">
        <v>0.83631830556694797</v>
      </c>
      <c r="C17" s="3">
        <f>Table16[[#This Row],[eff_D]]/B$31-1</f>
        <v>4.9887413050893059E-3</v>
      </c>
      <c r="D17" s="5"/>
    </row>
    <row r="18" spans="1:4" x14ac:dyDescent="0.3">
      <c r="A18">
        <v>80</v>
      </c>
      <c r="B18" s="1">
        <v>0.83458764522840301</v>
      </c>
      <c r="C18" s="3">
        <f>Table16[[#This Row],[eff_D]]/B$31-1</f>
        <v>2.9090377476239659E-3</v>
      </c>
      <c r="D18" s="5"/>
    </row>
    <row r="19" spans="1:4" x14ac:dyDescent="0.3">
      <c r="A19">
        <v>100</v>
      </c>
      <c r="B19" s="1">
        <v>0.834059373173617</v>
      </c>
      <c r="C19" s="3">
        <f>Table16[[#This Row],[eff_D]]/B$31-1</f>
        <v>2.2742226731815585E-3</v>
      </c>
      <c r="D19" s="5"/>
    </row>
    <row r="20" spans="1:4" x14ac:dyDescent="0.3">
      <c r="A20">
        <v>200</v>
      </c>
      <c r="B20" s="1">
        <v>0.83308332183119105</v>
      </c>
      <c r="C20" s="3">
        <f>Table16[[#This Row],[eff_D]]/B$31-1</f>
        <v>1.1013192421025497E-3</v>
      </c>
      <c r="D20" s="5"/>
    </row>
    <row r="21" spans="1:4" x14ac:dyDescent="0.3">
      <c r="A21">
        <v>500</v>
      </c>
      <c r="B21" s="1">
        <v>0.83252223554444604</v>
      </c>
      <c r="C21" s="3">
        <f>Table16[[#This Row],[eff_D]]/B$31-1</f>
        <v>4.2707189234825194E-4</v>
      </c>
      <c r="D21" s="5"/>
    </row>
    <row r="22" spans="1:4" x14ac:dyDescent="0.3">
      <c r="A22">
        <v>1000</v>
      </c>
      <c r="B22" s="1">
        <v>0.83233101717917402</v>
      </c>
      <c r="C22" s="3">
        <f>Table16[[#This Row],[eff_D]]/B$31-1</f>
        <v>1.972882047858171E-4</v>
      </c>
      <c r="D22" s="4"/>
    </row>
    <row r="23" spans="1:4" x14ac:dyDescent="0.3">
      <c r="A23">
        <v>2000</v>
      </c>
      <c r="B23" s="1">
        <v>0.83223816833364805</v>
      </c>
      <c r="C23" s="3">
        <f>Table16[[#This Row],[eff_D]]/B$31-1</f>
        <v>8.5713408711551864E-5</v>
      </c>
      <c r="D23" s="4"/>
    </row>
    <row r="24" spans="1:4" x14ac:dyDescent="0.3">
      <c r="A24">
        <v>5000</v>
      </c>
      <c r="B24" s="1">
        <v>0.83218518856629498</v>
      </c>
      <c r="C24" s="3">
        <f>Table16[[#This Row],[eff_D]]/B$31-1</f>
        <v>2.2048570393007338E-5</v>
      </c>
      <c r="D24" s="4"/>
    </row>
    <row r="25" spans="1:4" x14ac:dyDescent="0.3">
      <c r="A25">
        <v>7000</v>
      </c>
      <c r="B25" s="1">
        <v>0.83217453621211701</v>
      </c>
      <c r="C25" s="3">
        <f>Table16[[#This Row],[eff_D]]/B$31-1</f>
        <v>9.247827008618259E-6</v>
      </c>
      <c r="D25" s="4"/>
    </row>
    <row r="26" spans="1:4" x14ac:dyDescent="0.3">
      <c r="A26">
        <v>10000</v>
      </c>
      <c r="B26" s="1">
        <v>0.83216684047713396</v>
      </c>
      <c r="C26" s="3">
        <f>Table16[[#This Row],[eff_D]]/B$31-1</f>
        <v>0</v>
      </c>
      <c r="D26" s="4"/>
    </row>
    <row r="27" spans="1:4" x14ac:dyDescent="0.3">
      <c r="A27">
        <v>20000</v>
      </c>
      <c r="B27" s="1"/>
      <c r="C27" s="3">
        <f>Table16[[#This Row],[eff_D]]/B$31-1</f>
        <v>-1</v>
      </c>
      <c r="D27" s="4"/>
    </row>
    <row r="28" spans="1:4" x14ac:dyDescent="0.3">
      <c r="A28">
        <v>50000</v>
      </c>
      <c r="B28" s="1"/>
      <c r="C28" s="3">
        <f>Table16[[#This Row],[eff_D]]/B$31-1</f>
        <v>-1</v>
      </c>
      <c r="D28" s="4"/>
    </row>
    <row r="29" spans="1:4" x14ac:dyDescent="0.3">
      <c r="A29">
        <v>70000</v>
      </c>
      <c r="B29" s="1"/>
      <c r="C29" s="3">
        <f>Table16[[#This Row],[eff_D]]/B$31-1</f>
        <v>-1</v>
      </c>
      <c r="D29" s="4"/>
    </row>
    <row r="31" spans="1:4" x14ac:dyDescent="0.3">
      <c r="A31" t="s">
        <v>6</v>
      </c>
      <c r="B31" s="2">
        <v>0.83216684047713396</v>
      </c>
    </row>
    <row r="33" spans="1:26" x14ac:dyDescent="0.3">
      <c r="A33" t="s">
        <v>7</v>
      </c>
      <c r="C33">
        <v>2000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0.81693994448948104</v>
      </c>
      <c r="Q39" t="e">
        <f t="shared" ref="Q39:Q42" si="0">O39/P39-1</f>
        <v>#DIV/0!</v>
      </c>
    </row>
    <row r="40" spans="1:26" x14ac:dyDescent="0.3">
      <c r="A40">
        <v>10</v>
      </c>
      <c r="B40" s="3">
        <v>0.76047643603523896</v>
      </c>
      <c r="C40" s="3">
        <v>9.6439211330977798E-2</v>
      </c>
      <c r="D40" s="3">
        <v>0.77043810581344396</v>
      </c>
      <c r="E40" s="3">
        <v>0.105054632206211</v>
      </c>
      <c r="F40" s="3">
        <v>0.62177538397268195</v>
      </c>
      <c r="G40" s="3">
        <v>0.127337793339318</v>
      </c>
      <c r="H40" s="1">
        <f>Table27[[#This Row],[eff_S]]/O$39-1</f>
        <v>-6.9115861986069338E-2</v>
      </c>
      <c r="I40" s="1">
        <f>Table27[[#This Row],[eff_D]]/O$40-1</f>
        <v>-7.4257664298122084E-2</v>
      </c>
      <c r="J40" s="1">
        <f>Table27[[#This Row],[eff_T]]/O$41-1</f>
        <v>-0.11107344411035658</v>
      </c>
      <c r="N40" t="s">
        <v>3</v>
      </c>
      <c r="O40">
        <v>0.83223816833364805</v>
      </c>
      <c r="P40">
        <v>0.83160000000000001</v>
      </c>
      <c r="Q40" s="1">
        <f t="shared" si="0"/>
        <v>7.6739818861004672E-4</v>
      </c>
    </row>
    <row r="41" spans="1:26" x14ac:dyDescent="0.3">
      <c r="A41">
        <v>20</v>
      </c>
      <c r="B41" s="3">
        <v>0.73242625613807699</v>
      </c>
      <c r="C41" s="3">
        <v>7.0897826555132604E-2</v>
      </c>
      <c r="D41" s="3">
        <v>0.74176158486432997</v>
      </c>
      <c r="E41" s="3">
        <v>7.5528818333994996E-2</v>
      </c>
      <c r="F41" s="3">
        <v>0.58458659289574599</v>
      </c>
      <c r="G41" s="3">
        <v>9.2833605797798202E-2</v>
      </c>
      <c r="H41" s="1">
        <f>Table27[[#This Row],[eff_S]]/O$39-1</f>
        <v>-0.10345153143933739</v>
      </c>
      <c r="I41" s="1">
        <f>Table27[[#This Row],[eff_D]]/O$40-1</f>
        <v>-0.10871477290025666</v>
      </c>
      <c r="J41" s="1">
        <f>Table27[[#This Row],[eff_T]]/O$41-1</f>
        <v>-0.16424072094673359</v>
      </c>
      <c r="N41" t="s">
        <v>13</v>
      </c>
      <c r="O41">
        <v>0.69946766676399397</v>
      </c>
      <c r="P41">
        <v>0.69889999999999997</v>
      </c>
      <c r="Q41" s="1">
        <f t="shared" si="0"/>
        <v>8.1222887965948232E-4</v>
      </c>
      <c r="U41">
        <v>0.76047643603523896</v>
      </c>
      <c r="V41">
        <v>9.6439211330977798E-2</v>
      </c>
      <c r="W41">
        <v>0.77043810581344396</v>
      </c>
      <c r="X41">
        <v>0.105054632206211</v>
      </c>
      <c r="Y41">
        <v>0.62177538397268195</v>
      </c>
      <c r="Z41">
        <v>0.127337793339318</v>
      </c>
    </row>
    <row r="42" spans="1:26" x14ac:dyDescent="0.3">
      <c r="A42">
        <v>50</v>
      </c>
      <c r="B42" s="3">
        <v>0.83742099043215201</v>
      </c>
      <c r="C42" s="3">
        <v>3.6996213529700901E-2</v>
      </c>
      <c r="D42" s="3">
        <v>0.85501876062528404</v>
      </c>
      <c r="E42" s="3">
        <v>4.01646237462506E-2</v>
      </c>
      <c r="F42" s="3">
        <v>0.727055478677051</v>
      </c>
      <c r="G42" s="3">
        <v>4.9437722631997402E-2</v>
      </c>
      <c r="H42" s="1">
        <f>Table27[[#This Row],[eff_S]]/O$39-1</f>
        <v>2.507044254699764E-2</v>
      </c>
      <c r="I42" s="1">
        <f>Table27[[#This Row],[eff_D]]/O$40-1</f>
        <v>2.7372683876357717E-2</v>
      </c>
      <c r="J42" s="1">
        <f>Table27[[#This Row],[eff_T]]/O$41-1</f>
        <v>3.9441153928799766E-2</v>
      </c>
      <c r="N42" t="s">
        <v>56</v>
      </c>
      <c r="O42">
        <f>O41/O40</f>
        <v>0.84046573850909256</v>
      </c>
      <c r="P42">
        <f>P41/P40</f>
        <v>0.84042809042809041</v>
      </c>
      <c r="Q42" s="1">
        <f t="shared" si="0"/>
        <v>4.479631443898846E-5</v>
      </c>
      <c r="U42">
        <v>0.73242625613807699</v>
      </c>
      <c r="V42">
        <v>7.0897826555132604E-2</v>
      </c>
      <c r="W42">
        <v>0.74176158486432997</v>
      </c>
      <c r="X42">
        <v>7.5528818333994996E-2</v>
      </c>
      <c r="Y42">
        <v>0.58458659289574599</v>
      </c>
      <c r="Z42">
        <v>9.2833605797798202E-2</v>
      </c>
    </row>
    <row r="43" spans="1:26" x14ac:dyDescent="0.3">
      <c r="A43">
        <v>100</v>
      </c>
      <c r="B43" s="3">
        <v>0.83927964274684497</v>
      </c>
      <c r="C43" s="3">
        <v>2.5822556912816201E-2</v>
      </c>
      <c r="D43" s="3">
        <v>0.85891469196807801</v>
      </c>
      <c r="E43" s="3">
        <v>2.81334203989233E-2</v>
      </c>
      <c r="F43" s="3">
        <v>0.72714879893721296</v>
      </c>
      <c r="G43" s="3">
        <v>3.4247901360188598E-2</v>
      </c>
      <c r="H43" s="1">
        <f>Table27[[#This Row],[eff_S]]/O$39-1</f>
        <v>2.73455820198929E-2</v>
      </c>
      <c r="I43" s="1">
        <f>Table27[[#This Row],[eff_D]]/O$40-1</f>
        <v>3.2053953603021101E-2</v>
      </c>
      <c r="J43" s="1">
        <f>Table27[[#This Row],[eff_T]]/O$41-1</f>
        <v>3.9574570045935786E-2</v>
      </c>
      <c r="U43">
        <v>0.83742099043215201</v>
      </c>
      <c r="V43">
        <v>3.6996213529700901E-2</v>
      </c>
      <c r="W43">
        <v>0.85501876062528404</v>
      </c>
      <c r="X43">
        <v>4.01646237462506E-2</v>
      </c>
      <c r="Y43">
        <v>0.727055478677051</v>
      </c>
      <c r="Z43">
        <v>4.9437722631997402E-2</v>
      </c>
    </row>
    <row r="44" spans="1:26" x14ac:dyDescent="0.3">
      <c r="A44">
        <v>200</v>
      </c>
      <c r="B44" s="3">
        <v>0.81998322042939997</v>
      </c>
      <c r="C44" s="3">
        <v>1.8923348571125601E-2</v>
      </c>
      <c r="D44" s="3">
        <v>0.83495538329973795</v>
      </c>
      <c r="E44" s="3">
        <v>2.0551714021599599E-2</v>
      </c>
      <c r="F44" s="3">
        <v>0.69850896737208301</v>
      </c>
      <c r="G44" s="3">
        <v>2.61140212521506E-2</v>
      </c>
      <c r="H44" s="1">
        <f>Table27[[#This Row],[eff_S]]/O$39-1</f>
        <v>3.7252137815597663E-3</v>
      </c>
      <c r="I44" s="1">
        <f>Table27[[#This Row],[eff_D]]/O$40-1</f>
        <v>3.2649487484219808E-3</v>
      </c>
      <c r="J44" s="1">
        <f>Table27[[#This Row],[eff_T]]/O$41-1</f>
        <v>-1.3706128781424409E-3</v>
      </c>
      <c r="U44">
        <v>0.83927964274684497</v>
      </c>
      <c r="V44">
        <v>2.5822556912816201E-2</v>
      </c>
      <c r="W44">
        <v>0.85891469196807801</v>
      </c>
      <c r="X44">
        <v>2.81334203989233E-2</v>
      </c>
      <c r="Y44">
        <v>0.72714879893721296</v>
      </c>
      <c r="Z44">
        <v>3.4247901360188598E-2</v>
      </c>
    </row>
    <row r="45" spans="1:26" x14ac:dyDescent="0.3">
      <c r="A45">
        <v>500</v>
      </c>
      <c r="B45" s="3">
        <v>0.81535104229275801</v>
      </c>
      <c r="C45" s="3">
        <v>1.25855529209745E-2</v>
      </c>
      <c r="D45" s="3">
        <v>0.82986830035841697</v>
      </c>
      <c r="E45" s="3">
        <v>1.3782513671459599E-2</v>
      </c>
      <c r="F45" s="3">
        <v>0.70105893981761103</v>
      </c>
      <c r="G45" s="3">
        <v>1.6465295329540799E-2</v>
      </c>
      <c r="H45" s="1">
        <f>Table27[[#This Row],[eff_S]]/O$39-1</f>
        <v>-1.9449436980535362E-3</v>
      </c>
      <c r="I45" s="1">
        <f>Table27[[#This Row],[eff_D]]/O$40-1</f>
        <v>-2.8475838592889602E-3</v>
      </c>
      <c r="J45" s="1">
        <f>Table27[[#This Row],[eff_T]]/O$41-1</f>
        <v>2.2749772851959893E-3</v>
      </c>
      <c r="U45">
        <v>0.81998322042939997</v>
      </c>
      <c r="V45">
        <v>1.8923348571125601E-2</v>
      </c>
      <c r="W45">
        <v>0.83495538329973795</v>
      </c>
      <c r="X45">
        <v>2.0551714021599599E-2</v>
      </c>
      <c r="Y45">
        <v>0.69850896737208301</v>
      </c>
      <c r="Z45">
        <v>2.61140212521506E-2</v>
      </c>
    </row>
    <row r="46" spans="1:26" x14ac:dyDescent="0.3">
      <c r="A46">
        <v>1000</v>
      </c>
      <c r="B46" s="3">
        <v>0.81871624440397806</v>
      </c>
      <c r="C46" s="3">
        <v>8.7222622485061199E-3</v>
      </c>
      <c r="D46" s="3">
        <v>0.834165161415381</v>
      </c>
      <c r="E46" s="3">
        <v>9.5172947933029797E-3</v>
      </c>
      <c r="F46" s="3">
        <v>0.70247864066631305</v>
      </c>
      <c r="G46" s="3">
        <v>1.1555950600171901E-2</v>
      </c>
      <c r="H46" s="1">
        <f>Table27[[#This Row],[eff_S]]/O$39-1</f>
        <v>2.1743335314654555E-3</v>
      </c>
      <c r="I46" s="1">
        <f>Table27[[#This Row],[eff_D]]/O$40-1</f>
        <v>2.3154346376486057E-3</v>
      </c>
      <c r="J46" s="1">
        <f>Table27[[#This Row],[eff_T]]/O$41-1</f>
        <v>4.3046648835807222E-3</v>
      </c>
      <c r="U46">
        <v>0.81535104229275801</v>
      </c>
      <c r="V46">
        <v>1.25855529209745E-2</v>
      </c>
      <c r="W46">
        <v>0.82986830035841697</v>
      </c>
      <c r="X46">
        <v>1.3782513671459599E-2</v>
      </c>
      <c r="Y46">
        <v>0.70105893981761103</v>
      </c>
      <c r="Z46">
        <v>1.6465295329540799E-2</v>
      </c>
    </row>
    <row r="47" spans="1:26" x14ac:dyDescent="0.3">
      <c r="A47">
        <v>2000</v>
      </c>
      <c r="B47" s="3">
        <v>0.82189247830710599</v>
      </c>
      <c r="C47" s="3">
        <v>6.03425634785672E-3</v>
      </c>
      <c r="D47" s="3">
        <v>0.84037879314212305</v>
      </c>
      <c r="E47" s="3">
        <v>6.5467894758650799E-3</v>
      </c>
      <c r="F47" s="3">
        <v>0.70230822129058101</v>
      </c>
      <c r="G47" s="3">
        <v>8.0312049190091397E-3</v>
      </c>
      <c r="H47" s="1">
        <f>Table27[[#This Row],[eff_S]]/O$39-1</f>
        <v>6.0622985214902059E-3</v>
      </c>
      <c r="I47" s="1">
        <f>Table27[[#This Row],[eff_D]]/O$40-1</f>
        <v>9.7816047355465674E-3</v>
      </c>
      <c r="J47" s="1">
        <f>Table27[[#This Row],[eff_T]]/O$41-1</f>
        <v>4.0610233489826175E-3</v>
      </c>
      <c r="U47">
        <v>0.81871624440397806</v>
      </c>
      <c r="V47">
        <v>8.7222622485061199E-3</v>
      </c>
      <c r="W47">
        <v>0.834165161415381</v>
      </c>
      <c r="X47">
        <v>9.5172947933029797E-3</v>
      </c>
      <c r="Y47">
        <v>0.70247864066631305</v>
      </c>
      <c r="Z47">
        <v>1.1555950600171901E-2</v>
      </c>
    </row>
    <row r="48" spans="1:26" x14ac:dyDescent="0.3">
      <c r="A48">
        <v>5000</v>
      </c>
      <c r="B48" s="3">
        <v>0.82325800239992897</v>
      </c>
      <c r="C48" s="3">
        <v>3.8266929879148398E-3</v>
      </c>
      <c r="D48" s="3">
        <v>0.839185897748561</v>
      </c>
      <c r="E48" s="3">
        <v>4.14471252572468E-3</v>
      </c>
      <c r="F48" s="3">
        <v>0.70686450307717696</v>
      </c>
      <c r="G48" s="3">
        <v>5.1503597405190898E-3</v>
      </c>
      <c r="H48" s="1">
        <f>Table27[[#This Row],[eff_S]]/O$39-1</f>
        <v>7.7338095083552272E-3</v>
      </c>
      <c r="I48" s="1">
        <f>Table27[[#This Row],[eff_D]]/O$40-1</f>
        <v>8.3482465468076583E-3</v>
      </c>
      <c r="J48" s="1">
        <f>Table27[[#This Row],[eff_T]]/O$41-1</f>
        <v>1.0574951015825507E-2</v>
      </c>
      <c r="U48">
        <v>0.82189247830710599</v>
      </c>
      <c r="V48">
        <v>6.03425634785672E-3</v>
      </c>
      <c r="W48">
        <v>0.84037879314212305</v>
      </c>
      <c r="X48">
        <v>6.5467894758650799E-3</v>
      </c>
      <c r="Y48">
        <v>0.70230822129058101</v>
      </c>
      <c r="Z48">
        <v>8.0312049190091397E-3</v>
      </c>
    </row>
    <row r="49" spans="1:26" x14ac:dyDescent="0.3">
      <c r="A49">
        <v>10000</v>
      </c>
      <c r="B49" s="3">
        <v>0.81729640417025196</v>
      </c>
      <c r="C49" s="3">
        <v>2.7785537147416201E-3</v>
      </c>
      <c r="D49" s="3">
        <v>0.832214377078768</v>
      </c>
      <c r="E49" s="3">
        <v>3.01938620903516E-3</v>
      </c>
      <c r="F49" s="3">
        <v>0.70165834105061897</v>
      </c>
      <c r="G49" s="3">
        <v>3.6830183580164001E-3</v>
      </c>
      <c r="H49" s="1">
        <f>Table27[[#This Row],[eff_S]]/O$39-1</f>
        <v>4.3633523268793439E-4</v>
      </c>
      <c r="I49" s="1">
        <f>Table27[[#This Row],[eff_D]]/O$40-1</f>
        <v>-2.8587074932806544E-5</v>
      </c>
      <c r="J49" s="1">
        <f>Table27[[#This Row],[eff_T]]/O$41-1</f>
        <v>3.1319164426282242E-3</v>
      </c>
      <c r="U49">
        <v>0.82325800239992897</v>
      </c>
      <c r="V49">
        <v>3.8266929879148398E-3</v>
      </c>
      <c r="W49">
        <v>0.839185897748561</v>
      </c>
      <c r="X49">
        <v>4.14471252572468E-3</v>
      </c>
      <c r="Y49">
        <v>0.70686450307717696</v>
      </c>
      <c r="Z49">
        <v>5.1503597405190898E-3</v>
      </c>
    </row>
    <row r="50" spans="1:26" x14ac:dyDescent="0.3">
      <c r="A50">
        <v>20000</v>
      </c>
      <c r="B50" s="3">
        <v>0.81542833055928199</v>
      </c>
      <c r="C50" s="3">
        <v>1.9735453402924801E-3</v>
      </c>
      <c r="D50" s="3">
        <v>0.830294456530563</v>
      </c>
      <c r="E50" s="3">
        <v>2.1467772088699299E-3</v>
      </c>
      <c r="F50" s="3">
        <v>0.69908425145847197</v>
      </c>
      <c r="G50" s="3">
        <v>2.6113482415745198E-3</v>
      </c>
      <c r="H50" s="1">
        <f>Table27[[#This Row],[eff_S]]/O$39-1</f>
        <v>-1.8503366623157103E-3</v>
      </c>
      <c r="I50" s="1">
        <f>Table27[[#This Row],[eff_D]]/O$40-1</f>
        <v>-2.3355235040191102E-3</v>
      </c>
      <c r="J50" s="1">
        <f>Table27[[#This Row],[eff_T]]/O$41-1</f>
        <v>-5.4815300798083388E-4</v>
      </c>
      <c r="K50" s="4"/>
      <c r="U50">
        <v>0.81729640417025196</v>
      </c>
      <c r="V50">
        <v>2.7785537147416201E-3</v>
      </c>
      <c r="W50">
        <v>0.832214377078768</v>
      </c>
      <c r="X50">
        <v>3.01938620903516E-3</v>
      </c>
      <c r="Y50">
        <v>0.70165834105061897</v>
      </c>
      <c r="Z50">
        <v>3.6830183580164001E-3</v>
      </c>
    </row>
    <row r="51" spans="1:26" x14ac:dyDescent="0.3">
      <c r="A51">
        <v>50000</v>
      </c>
      <c r="B51" s="3">
        <v>0.81761741542036004</v>
      </c>
      <c r="C51" s="3">
        <v>1.2314357386741101E-3</v>
      </c>
      <c r="D51" s="3">
        <v>0.83299254311645499</v>
      </c>
      <c r="E51" s="3">
        <v>1.3377486121535899E-3</v>
      </c>
      <c r="F51" s="3">
        <v>0.69998363382606699</v>
      </c>
      <c r="G51" s="3">
        <v>1.64489838037674E-3</v>
      </c>
      <c r="H51" s="1">
        <f>Table27[[#This Row],[eff_S]]/O$39-1</f>
        <v>8.2927874374205679E-4</v>
      </c>
      <c r="I51" s="1">
        <f>Table27[[#This Row],[eff_D]]/O$40-1</f>
        <v>9.0644098229408776E-4</v>
      </c>
      <c r="J51" s="1">
        <f>Table27[[#This Row],[eff_T]]/O$41-1</f>
        <v>7.3765677327175538E-4</v>
      </c>
      <c r="K51" s="4"/>
      <c r="U51">
        <v>0.81542833055928199</v>
      </c>
      <c r="V51">
        <v>1.9735453402924801E-3</v>
      </c>
      <c r="W51">
        <v>0.830294456530563</v>
      </c>
      <c r="X51">
        <v>2.1467772088699299E-3</v>
      </c>
      <c r="Y51">
        <v>0.69908425145847197</v>
      </c>
      <c r="Z51">
        <v>2.6113482415745198E-3</v>
      </c>
    </row>
    <row r="52" spans="1:26" x14ac:dyDescent="0.3">
      <c r="A52">
        <v>100000</v>
      </c>
      <c r="B52" s="3">
        <v>0.81741808976938901</v>
      </c>
      <c r="C52" s="3">
        <v>8.7516829605944698E-4</v>
      </c>
      <c r="D52" s="3">
        <v>0.83267731409399004</v>
      </c>
      <c r="E52" s="3">
        <v>9.5023373722278801E-4</v>
      </c>
      <c r="F52" s="3">
        <v>0.70080777514050097</v>
      </c>
      <c r="G52" s="3">
        <v>1.16371268217628E-3</v>
      </c>
      <c r="H52" s="1">
        <f>Table27[[#This Row],[eff_S]]/O$39-1</f>
        <v>5.8528816363212499E-4</v>
      </c>
      <c r="I52" s="1">
        <f>Table27[[#This Row],[eff_D]]/O$40-1</f>
        <v>5.2766837313078518E-4</v>
      </c>
      <c r="J52" s="1">
        <f>Table27[[#This Row],[eff_T]]/O$41-1</f>
        <v>1.9158975320572313E-3</v>
      </c>
      <c r="U52">
        <v>0.81761741542036004</v>
      </c>
      <c r="V52">
        <v>1.2314357386741101E-3</v>
      </c>
      <c r="W52">
        <v>0.83299254311645499</v>
      </c>
      <c r="X52">
        <v>1.3377486121535899E-3</v>
      </c>
      <c r="Y52">
        <v>0.69998363382606699</v>
      </c>
      <c r="Z52">
        <v>1.64489838037674E-3</v>
      </c>
    </row>
    <row r="53" spans="1:26" x14ac:dyDescent="0.3">
      <c r="B53" s="1"/>
      <c r="C53" s="1"/>
      <c r="D53" s="1"/>
      <c r="E53" s="1"/>
      <c r="F53" s="1"/>
      <c r="G53" s="1"/>
      <c r="H53" s="1">
        <f>Table27[[#This Row],[eff_S]]/O$39-1</f>
        <v>-1</v>
      </c>
      <c r="I53" s="1">
        <f>Table27[[#This Row],[eff_D]]/O$40-1</f>
        <v>-1</v>
      </c>
      <c r="J53" s="1">
        <f>Table27[[#This Row],[eff_T]]/O$41-1</f>
        <v>-1</v>
      </c>
      <c r="U53">
        <v>0.81741808976938901</v>
      </c>
      <c r="V53">
        <v>8.7516829605944698E-4</v>
      </c>
      <c r="W53">
        <v>0.83267731409399004</v>
      </c>
      <c r="X53">
        <v>9.5023373722278801E-4</v>
      </c>
      <c r="Y53">
        <v>0.70080777514050097</v>
      </c>
      <c r="Z53">
        <v>1.16371268217628E-3</v>
      </c>
    </row>
    <row r="54" spans="1:26" x14ac:dyDescent="0.3">
      <c r="B54" s="1"/>
      <c r="C54" s="1"/>
      <c r="D54" s="1"/>
      <c r="E54" s="1"/>
      <c r="F54" s="1"/>
      <c r="G54" s="1"/>
      <c r="H54" s="1">
        <f>Table27[[#This Row],[eff_S]]/O$39-1</f>
        <v>-1</v>
      </c>
      <c r="I54" s="1">
        <f>Table27[[#This Row],[eff_D]]/O$40-1</f>
        <v>-1</v>
      </c>
      <c r="J54" s="1">
        <f>Table27[[#This Row],[eff_T]]/O$41-1</f>
        <v>-1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0.315/SQRT(B57)</f>
        <v>9.9611746295303932E-4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A88E-1761-4FE7-A692-DA0D2EEE4A41}">
  <dimension ref="A3:Z63"/>
  <sheetViews>
    <sheetView topLeftCell="E35" workbookViewId="0">
      <selection activeCell="Q42" sqref="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31</v>
      </c>
      <c r="H8" s="9" t="s">
        <v>22</v>
      </c>
      <c r="I8" s="9">
        <v>258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Table1613[[#This Row],[eff_D]]/B$31-1</f>
        <v>-1</v>
      </c>
      <c r="D10" s="7"/>
    </row>
    <row r="11" spans="1:10" x14ac:dyDescent="0.3">
      <c r="A11">
        <v>4</v>
      </c>
      <c r="B11" s="1"/>
      <c r="C11" s="3">
        <f>Table1613[[#This Row],[eff_D]]/B$31-1</f>
        <v>-1</v>
      </c>
      <c r="D11" s="7"/>
    </row>
    <row r="12" spans="1:10" x14ac:dyDescent="0.3">
      <c r="A12">
        <v>5</v>
      </c>
      <c r="B12" s="1"/>
      <c r="C12" s="3">
        <f>Table1613[[#This Row],[eff_D]]/B$31-1</f>
        <v>-1</v>
      </c>
      <c r="D12" s="7"/>
    </row>
    <row r="13" spans="1:10" x14ac:dyDescent="0.3">
      <c r="A13">
        <v>6</v>
      </c>
      <c r="B13" s="1"/>
      <c r="C13" s="3">
        <f>Table1613[[#This Row],[eff_D]]/B$31-1</f>
        <v>-1</v>
      </c>
      <c r="D13" s="7"/>
    </row>
    <row r="14" spans="1:10" x14ac:dyDescent="0.3">
      <c r="A14">
        <v>7</v>
      </c>
      <c r="B14" s="1"/>
      <c r="C14" s="3">
        <f>Table1613[[#This Row],[eff_D]]/B$31-1</f>
        <v>-1</v>
      </c>
      <c r="D14" s="6"/>
    </row>
    <row r="15" spans="1:10" x14ac:dyDescent="0.3">
      <c r="A15">
        <v>10</v>
      </c>
      <c r="B15" s="1"/>
      <c r="C15" s="3">
        <f>Table1613[[#This Row],[eff_D]]/B$31-1</f>
        <v>-1</v>
      </c>
      <c r="D15" s="6"/>
    </row>
    <row r="16" spans="1:10" x14ac:dyDescent="0.3">
      <c r="A16">
        <v>20</v>
      </c>
      <c r="B16" s="1">
        <v>0.96458596051836498</v>
      </c>
      <c r="C16" s="3">
        <f>Table1613[[#This Row],[eff_D]]/B$31-1</f>
        <v>2.693590729905937E-3</v>
      </c>
      <c r="D16" s="6"/>
    </row>
    <row r="17" spans="1:4" x14ac:dyDescent="0.3">
      <c r="A17">
        <v>50</v>
      </c>
      <c r="B17" s="1">
        <v>0.96291087119140395</v>
      </c>
      <c r="C17" s="3">
        <f>Table1613[[#This Row],[eff_D]]/B$31-1</f>
        <v>9.523241131481619E-4</v>
      </c>
      <c r="D17" s="5"/>
    </row>
    <row r="18" spans="1:4" x14ac:dyDescent="0.3">
      <c r="A18">
        <v>80</v>
      </c>
      <c r="B18" s="1">
        <v>0.96252901311036199</v>
      </c>
      <c r="C18" s="3">
        <f>Table1613[[#This Row],[eff_D]]/B$31-1</f>
        <v>5.553800707287504E-4</v>
      </c>
      <c r="D18" s="5"/>
    </row>
    <row r="19" spans="1:4" x14ac:dyDescent="0.3">
      <c r="A19">
        <v>100</v>
      </c>
      <c r="B19" s="1">
        <v>0.962411297744174</v>
      </c>
      <c r="C19" s="3">
        <f>Table1613[[#This Row],[eff_D]]/B$31-1</f>
        <v>4.3301415619301231E-4</v>
      </c>
      <c r="D19" s="5"/>
    </row>
    <row r="20" spans="1:4" x14ac:dyDescent="0.3">
      <c r="A20">
        <v>200</v>
      </c>
      <c r="B20" s="1">
        <v>0.96219617398497004</v>
      </c>
      <c r="C20" s="3">
        <f>Table1613[[#This Row],[eff_D]]/B$31-1</f>
        <v>2.0939156225474598E-4</v>
      </c>
      <c r="D20" s="5"/>
    </row>
    <row r="21" spans="1:4" x14ac:dyDescent="0.3">
      <c r="A21">
        <v>500</v>
      </c>
      <c r="B21" s="1">
        <v>0.96207318259305497</v>
      </c>
      <c r="C21" s="3">
        <f>Table1613[[#This Row],[eff_D]]/B$31-1</f>
        <v>8.1541183505784431E-5</v>
      </c>
      <c r="D21" s="4"/>
    </row>
    <row r="22" spans="1:4" x14ac:dyDescent="0.3">
      <c r="A22">
        <v>1000</v>
      </c>
      <c r="B22" s="1">
        <v>0.96203102433004895</v>
      </c>
      <c r="C22" s="3">
        <f>Table1613[[#This Row],[eff_D]]/B$31-1</f>
        <v>3.7717385687141558E-5</v>
      </c>
      <c r="D22" s="4"/>
    </row>
    <row r="23" spans="1:4" x14ac:dyDescent="0.3">
      <c r="A23">
        <v>2000</v>
      </c>
      <c r="B23" s="1">
        <v>0.96201022507827505</v>
      </c>
      <c r="C23" s="3">
        <f>Table1613[[#This Row],[eff_D]]/B$31-1</f>
        <v>1.6096423637979029E-5</v>
      </c>
      <c r="D23" s="4"/>
    </row>
    <row r="24" spans="1:4" x14ac:dyDescent="0.3">
      <c r="A24">
        <v>5000</v>
      </c>
      <c r="B24" s="1">
        <v>0.96199890707269198</v>
      </c>
      <c r="C24" s="3">
        <f>Table1613[[#This Row],[eff_D]]/B$31-1</f>
        <v>4.3312807449513713E-6</v>
      </c>
      <c r="D24" s="4"/>
    </row>
    <row r="25" spans="1:4" x14ac:dyDescent="0.3">
      <c r="A25">
        <v>7000</v>
      </c>
      <c r="B25" s="1">
        <v>0.96199651686438703</v>
      </c>
      <c r="C25" s="3">
        <f>Table1613[[#This Row],[eff_D]]/B$31-1</f>
        <v>1.8466431430663732E-6</v>
      </c>
      <c r="D25" s="4"/>
    </row>
    <row r="26" spans="1:4" x14ac:dyDescent="0.3">
      <c r="A26">
        <v>10000</v>
      </c>
      <c r="B26" s="1">
        <v>0.96199474040339605</v>
      </c>
      <c r="C26" s="3">
        <f>Table1613[[#This Row],[eff_D]]/B$31-1</f>
        <v>0</v>
      </c>
      <c r="D26" s="4"/>
    </row>
    <row r="27" spans="1:4" x14ac:dyDescent="0.3">
      <c r="A27">
        <v>20000</v>
      </c>
      <c r="B27" s="1"/>
      <c r="C27" s="3">
        <f>Table1613[[#This Row],[eff_D]]/B$31-1</f>
        <v>-1</v>
      </c>
      <c r="D27" s="4"/>
    </row>
    <row r="28" spans="1:4" x14ac:dyDescent="0.3">
      <c r="A28">
        <v>50000</v>
      </c>
      <c r="B28" s="1"/>
      <c r="C28" s="3">
        <f>Table1613[[#This Row],[eff_D]]/B$31-1</f>
        <v>-1</v>
      </c>
      <c r="D28" s="4"/>
    </row>
    <row r="29" spans="1:4" x14ac:dyDescent="0.3">
      <c r="A29">
        <v>70000</v>
      </c>
      <c r="B29" s="1"/>
      <c r="C29" s="3">
        <f>Table1613[[#This Row],[eff_D]]/B$31-1</f>
        <v>-1</v>
      </c>
      <c r="D29" s="4"/>
    </row>
    <row r="31" spans="1:4" x14ac:dyDescent="0.3">
      <c r="A31" t="s">
        <v>6</v>
      </c>
      <c r="B31" s="2">
        <v>0.96199474040339605</v>
      </c>
    </row>
    <row r="33" spans="1:26" x14ac:dyDescent="0.3">
      <c r="A33" t="s">
        <v>7</v>
      </c>
      <c r="C33">
        <v>500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0.95786156539368095</v>
      </c>
      <c r="Q39" s="1"/>
    </row>
    <row r="40" spans="1:26" x14ac:dyDescent="0.3">
      <c r="A40">
        <v>10</v>
      </c>
      <c r="B40">
        <v>0.90153152992254004</v>
      </c>
      <c r="C40">
        <v>5.5641645528801797E-2</v>
      </c>
      <c r="D40">
        <v>0.91413374677360504</v>
      </c>
      <c r="E40">
        <v>5.3116981917314197E-2</v>
      </c>
      <c r="F40">
        <v>0.80851166653720397</v>
      </c>
      <c r="G40">
        <v>0.103143318622168</v>
      </c>
      <c r="H40" s="1">
        <f>Table2714[[#This Row],[eff_S]]/O$39-1</f>
        <v>-5.8808117484063893E-2</v>
      </c>
      <c r="I40" s="1">
        <f>Table2714[[#This Row],[eff_D]]/O$40-1</f>
        <v>-4.9829302683855881E-2</v>
      </c>
      <c r="J40" s="1">
        <f>Table2714[[#This Row],[eff_T]]/O$41-1</f>
        <v>-0.13176434908412205</v>
      </c>
      <c r="K40" s="8"/>
      <c r="N40" t="s">
        <v>3</v>
      </c>
      <c r="O40">
        <v>0.96207318259305497</v>
      </c>
      <c r="P40">
        <v>0.9667</v>
      </c>
      <c r="Q40" s="1">
        <f>Table30[[#This Row],[TDCR17 restults]]/Table30[[#This Row],[TDCRPy]]-1</f>
        <v>4.809215650803722E-3</v>
      </c>
    </row>
    <row r="41" spans="1:26" x14ac:dyDescent="0.3">
      <c r="A41">
        <v>20</v>
      </c>
      <c r="B41">
        <v>0.95372564380579605</v>
      </c>
      <c r="C41">
        <v>4.4280165494410398E-2</v>
      </c>
      <c r="D41">
        <v>0.95112372803234901</v>
      </c>
      <c r="E41">
        <v>4.7602967650921202E-2</v>
      </c>
      <c r="F41">
        <v>0.94764903314936699</v>
      </c>
      <c r="G41">
        <v>4.8624722422410803E-2</v>
      </c>
      <c r="H41" s="1">
        <f>Table2714[[#This Row],[eff_S]]/O$39-1</f>
        <v>-4.3178698648222991E-3</v>
      </c>
      <c r="I41" s="1">
        <f>Table2714[[#This Row],[eff_D]]/O$40-1</f>
        <v>-1.1381103598786635E-2</v>
      </c>
      <c r="J41" s="1">
        <f>Table2714[[#This Row],[eff_T]]/O$41-1</f>
        <v>1.7650961871905624E-2</v>
      </c>
      <c r="K41" s="8"/>
      <c r="N41" t="s">
        <v>13</v>
      </c>
      <c r="O41">
        <v>0.93121224138208003</v>
      </c>
      <c r="P41">
        <v>0.93569999999999998</v>
      </c>
      <c r="Q41" s="1">
        <f>Table30[[#This Row],[TDCR17 restults]]/Table30[[#This Row],[TDCRPy]]-1</f>
        <v>4.8192650595522135E-3</v>
      </c>
      <c r="U41">
        <v>0.90153152992254004</v>
      </c>
      <c r="V41">
        <v>5.5641645528801797E-2</v>
      </c>
      <c r="W41">
        <v>0.91413374677360504</v>
      </c>
      <c r="X41">
        <v>5.3116981917314197E-2</v>
      </c>
      <c r="Y41">
        <v>0.80851166653720397</v>
      </c>
      <c r="Z41">
        <v>0.103143318622168</v>
      </c>
    </row>
    <row r="42" spans="1:26" x14ac:dyDescent="0.3">
      <c r="A42">
        <v>50</v>
      </c>
      <c r="B42">
        <v>0.89718722773767301</v>
      </c>
      <c r="C42">
        <v>3.6284702658829097E-2</v>
      </c>
      <c r="D42">
        <v>0.89382616656422098</v>
      </c>
      <c r="E42">
        <v>3.9244365362698298E-2</v>
      </c>
      <c r="F42">
        <v>0.85924777266927999</v>
      </c>
      <c r="G42">
        <v>4.59341425867884E-2</v>
      </c>
      <c r="H42" s="1">
        <f>Table2714[[#This Row],[eff_S]]/O$39-1</f>
        <v>-6.334353506612489E-2</v>
      </c>
      <c r="I42" s="1">
        <f>Table2714[[#This Row],[eff_D]]/O$40-1</f>
        <v>-7.0937447653295238E-2</v>
      </c>
      <c r="J42" s="1">
        <f>Table2714[[#This Row],[eff_T]]/O$41-1</f>
        <v>-7.7280415263863311E-2</v>
      </c>
      <c r="K42" s="8"/>
      <c r="N42" t="s">
        <v>56</v>
      </c>
      <c r="O42">
        <f>O41/O40</f>
        <v>0.96792245977816771</v>
      </c>
      <c r="P42">
        <f>P41/P40</f>
        <v>0.96793214027102514</v>
      </c>
      <c r="Q42" s="1">
        <f>O42/P42-1</f>
        <v>-1.0001210265397908E-5</v>
      </c>
      <c r="U42">
        <v>0.95372564380579605</v>
      </c>
      <c r="V42">
        <v>4.4280165494410398E-2</v>
      </c>
      <c r="W42">
        <v>0.95112372803234901</v>
      </c>
      <c r="X42">
        <v>4.7602967650921202E-2</v>
      </c>
      <c r="Y42">
        <v>0.94764903314936699</v>
      </c>
      <c r="Z42">
        <v>4.8624722422410803E-2</v>
      </c>
    </row>
    <row r="43" spans="1:26" x14ac:dyDescent="0.3">
      <c r="A43">
        <v>100</v>
      </c>
      <c r="B43">
        <v>0.98023136699513402</v>
      </c>
      <c r="C43">
        <v>9.2312950685352908E-3</v>
      </c>
      <c r="D43">
        <v>0.98505922053528105</v>
      </c>
      <c r="E43">
        <v>9.6010466409954705E-3</v>
      </c>
      <c r="F43">
        <v>0.96153321029043703</v>
      </c>
      <c r="G43">
        <v>1.43300980911082E-2</v>
      </c>
      <c r="H43" s="1">
        <f>Table2714[[#This Row],[eff_S]]/O$39-1</f>
        <v>2.3353898318551947E-2</v>
      </c>
      <c r="I43" s="1">
        <f>Table2714[[#This Row],[eff_D]]/O$40-1</f>
        <v>2.3892192775057275E-2</v>
      </c>
      <c r="J43" s="1">
        <f>Table2714[[#This Row],[eff_T]]/O$41-1</f>
        <v>3.2560749913849385E-2</v>
      </c>
      <c r="K43" s="7"/>
      <c r="U43">
        <v>0.89718722773767301</v>
      </c>
      <c r="V43">
        <v>3.6284702658829097E-2</v>
      </c>
      <c r="W43">
        <v>0.89382616656422098</v>
      </c>
      <c r="X43">
        <v>3.9244365362698298E-2</v>
      </c>
      <c r="Y43">
        <v>0.85924777266927999</v>
      </c>
      <c r="Z43">
        <v>4.59341425867884E-2</v>
      </c>
    </row>
    <row r="44" spans="1:26" x14ac:dyDescent="0.3">
      <c r="A44">
        <v>200</v>
      </c>
      <c r="B44">
        <v>0.96860355581206503</v>
      </c>
      <c r="C44">
        <v>9.5344503435593093E-3</v>
      </c>
      <c r="D44">
        <v>0.97427239984672998</v>
      </c>
      <c r="E44">
        <v>9.5254846000284998E-3</v>
      </c>
      <c r="F44">
        <v>0.94742479558043902</v>
      </c>
      <c r="G44">
        <v>1.2607894061949799E-2</v>
      </c>
      <c r="H44" s="1">
        <f>Table2714[[#This Row],[eff_S]]/O$39-1</f>
        <v>1.1214554176175895E-2</v>
      </c>
      <c r="I44" s="1">
        <f>Table2714[[#This Row],[eff_D]]/O$40-1</f>
        <v>1.2680134395592235E-2</v>
      </c>
      <c r="J44" s="1">
        <f>Table2714[[#This Row],[eff_T]]/O$41-1</f>
        <v>1.7410160087991011E-2</v>
      </c>
      <c r="K44" s="6"/>
      <c r="U44">
        <v>0.98023136699513402</v>
      </c>
      <c r="V44">
        <v>9.2312950685352908E-3</v>
      </c>
      <c r="W44">
        <v>0.98505922053528105</v>
      </c>
      <c r="X44">
        <v>9.6010466409954705E-3</v>
      </c>
      <c r="Y44">
        <v>0.96153321029043703</v>
      </c>
      <c r="Z44">
        <v>1.43300980911082E-2</v>
      </c>
    </row>
    <row r="45" spans="1:26" x14ac:dyDescent="0.3">
      <c r="A45">
        <v>500</v>
      </c>
      <c r="B45">
        <v>0.95481867977449197</v>
      </c>
      <c r="C45">
        <v>7.7777085086426397E-3</v>
      </c>
      <c r="D45">
        <v>0.95681834911166297</v>
      </c>
      <c r="E45">
        <v>8.1875443788199196E-3</v>
      </c>
      <c r="F45">
        <v>0.93447845454768297</v>
      </c>
      <c r="G45">
        <v>9.7981434882680706E-3</v>
      </c>
      <c r="H45" s="1">
        <f>Table2714[[#This Row],[eff_S]]/O$39-1</f>
        <v>-3.17674884255148E-3</v>
      </c>
      <c r="I45" s="1">
        <f>Table2714[[#This Row],[eff_D]]/O$40-1</f>
        <v>-5.461989354311636E-3</v>
      </c>
      <c r="J45" s="1">
        <f>Table2714[[#This Row],[eff_T]]/O$41-1</f>
        <v>3.507485211701411E-3</v>
      </c>
      <c r="K45" s="6"/>
      <c r="U45">
        <v>0.96860355581206503</v>
      </c>
      <c r="V45">
        <v>9.5344503435593093E-3</v>
      </c>
      <c r="W45">
        <v>0.97427239984672998</v>
      </c>
      <c r="X45">
        <v>9.5254846000284998E-3</v>
      </c>
      <c r="Y45">
        <v>0.94742479558043902</v>
      </c>
      <c r="Z45">
        <v>1.2607894061949799E-2</v>
      </c>
    </row>
    <row r="46" spans="1:26" x14ac:dyDescent="0.3">
      <c r="A46">
        <v>1000</v>
      </c>
      <c r="B46">
        <v>0.96829872502464298</v>
      </c>
      <c r="C46">
        <v>3.8737426502992401E-3</v>
      </c>
      <c r="D46">
        <v>0.973564438806376</v>
      </c>
      <c r="E46">
        <v>3.9822980821154303E-3</v>
      </c>
      <c r="F46">
        <v>0.94213023510445904</v>
      </c>
      <c r="G46">
        <v>5.9140122565715502E-3</v>
      </c>
      <c r="H46" s="1">
        <f>Table2714[[#This Row],[eff_S]]/O$39-1</f>
        <v>1.0896313212726438E-2</v>
      </c>
      <c r="I46" s="1">
        <f>Table2714[[#This Row],[eff_D]]/O$40-1</f>
        <v>1.1944264138356919E-2</v>
      </c>
      <c r="J46" s="1">
        <f>Table2714[[#This Row],[eff_T]]/O$41-1</f>
        <v>1.1724495487918762E-2</v>
      </c>
      <c r="K46" s="6"/>
      <c r="U46">
        <v>0.95481867977449197</v>
      </c>
      <c r="V46">
        <v>7.7777085086426397E-3</v>
      </c>
      <c r="W46">
        <v>0.95681834911166297</v>
      </c>
      <c r="X46">
        <v>8.1875443788199196E-3</v>
      </c>
      <c r="Y46">
        <v>0.93447845454768297</v>
      </c>
      <c r="Z46">
        <v>9.7981434882680706E-3</v>
      </c>
    </row>
    <row r="47" spans="1:26" x14ac:dyDescent="0.3">
      <c r="A47">
        <v>2000</v>
      </c>
      <c r="B47">
        <v>0.95493423643498399</v>
      </c>
      <c r="C47">
        <v>3.5886159503988298E-3</v>
      </c>
      <c r="D47">
        <v>0.959419700658387</v>
      </c>
      <c r="E47">
        <v>3.6914349154109202E-3</v>
      </c>
      <c r="F47">
        <v>0.92677373686267694</v>
      </c>
      <c r="G47">
        <v>4.9486828182576503E-3</v>
      </c>
      <c r="H47" s="1">
        <f>Table2714[[#This Row],[eff_S]]/O$39-1</f>
        <v>-3.0561085906958274E-3</v>
      </c>
      <c r="I47" s="1">
        <f>Table2714[[#This Row],[eff_D]]/O$40-1</f>
        <v>-2.7580874123485088E-3</v>
      </c>
      <c r="J47" s="1">
        <f>Table2714[[#This Row],[eff_T]]/O$41-1</f>
        <v>-4.7663726078338575E-3</v>
      </c>
      <c r="K47" s="5"/>
      <c r="U47">
        <v>0.96829872502464298</v>
      </c>
      <c r="V47">
        <v>3.8737426502992401E-3</v>
      </c>
      <c r="W47">
        <v>0.973564438806376</v>
      </c>
      <c r="X47">
        <v>3.9822980821154303E-3</v>
      </c>
      <c r="Y47">
        <v>0.94213023510445904</v>
      </c>
      <c r="Z47">
        <v>5.9140122565715502E-3</v>
      </c>
    </row>
    <row r="48" spans="1:26" x14ac:dyDescent="0.3">
      <c r="A48">
        <v>5000</v>
      </c>
      <c r="B48">
        <v>0.95791634772760703</v>
      </c>
      <c r="C48">
        <v>2.1769127724600699E-3</v>
      </c>
      <c r="D48">
        <v>0.96207732299104598</v>
      </c>
      <c r="E48">
        <v>2.2545523095715602E-3</v>
      </c>
      <c r="F48">
        <v>0.93090905151192205</v>
      </c>
      <c r="G48">
        <v>3.04198954252103E-3</v>
      </c>
      <c r="H48" s="1">
        <f>Table2714[[#This Row],[eff_S]]/O$39-1</f>
        <v>5.7192329147914833E-5</v>
      </c>
      <c r="I48" s="1">
        <f>Table2714[[#This Row],[eff_D]]/O$40-1</f>
        <v>4.3036206245350428E-6</v>
      </c>
      <c r="J48" s="1">
        <f>Table2714[[#This Row],[eff_T]]/O$41-1</f>
        <v>-3.2558621620781825E-4</v>
      </c>
      <c r="K48" s="5"/>
      <c r="U48">
        <v>0.95493423643498399</v>
      </c>
      <c r="V48">
        <v>3.5886159503988298E-3</v>
      </c>
      <c r="W48">
        <v>0.959419700658387</v>
      </c>
      <c r="X48">
        <v>3.6914349154109202E-3</v>
      </c>
      <c r="Y48">
        <v>0.92677373686267694</v>
      </c>
      <c r="Z48">
        <v>4.9486828182576503E-3</v>
      </c>
    </row>
    <row r="49" spans="1:26" x14ac:dyDescent="0.3">
      <c r="A49">
        <v>10000</v>
      </c>
      <c r="B49">
        <v>0.95806420184442098</v>
      </c>
      <c r="C49">
        <v>1.56302157179711E-3</v>
      </c>
      <c r="D49">
        <v>0.96205716003839803</v>
      </c>
      <c r="E49">
        <v>1.6177140394686999E-3</v>
      </c>
      <c r="F49">
        <v>0.93244748877302797</v>
      </c>
      <c r="G49">
        <v>2.1362641180269E-3</v>
      </c>
      <c r="H49" s="1">
        <f>Table2714[[#This Row],[eff_S]]/O$39-1</f>
        <v>2.1155087338398104E-4</v>
      </c>
      <c r="I49" s="1">
        <f>Table2714[[#This Row],[eff_D]]/O$40-1</f>
        <v>-1.6654195280407791E-5</v>
      </c>
      <c r="J49" s="1">
        <f>Table2714[[#This Row],[eff_T]]/O$41-1</f>
        <v>1.3264939355979166E-3</v>
      </c>
      <c r="K49" s="4"/>
      <c r="U49">
        <v>0.95791634772760703</v>
      </c>
      <c r="V49">
        <v>2.1769127724600699E-3</v>
      </c>
      <c r="W49">
        <v>0.96207732299104598</v>
      </c>
      <c r="X49">
        <v>2.2545523095715602E-3</v>
      </c>
      <c r="Y49">
        <v>0.93090905151192205</v>
      </c>
      <c r="Z49">
        <v>3.04198954252103E-3</v>
      </c>
    </row>
    <row r="50" spans="1:26" x14ac:dyDescent="0.3">
      <c r="A50">
        <v>20000</v>
      </c>
      <c r="B50">
        <v>0.95821451824261605</v>
      </c>
      <c r="C50">
        <v>1.0873291495406799E-3</v>
      </c>
      <c r="D50">
        <v>0.96269027952407205</v>
      </c>
      <c r="E50">
        <v>1.1230495998953299E-3</v>
      </c>
      <c r="F50">
        <v>0.93138599507758502</v>
      </c>
      <c r="G50">
        <v>1.50627699243919E-3</v>
      </c>
      <c r="H50" s="1">
        <f>Table2714[[#This Row],[eff_S]]/O$39-1</f>
        <v>3.6848002016864889E-4</v>
      </c>
      <c r="I50" s="1">
        <f>Table2714[[#This Row],[eff_D]]/O$40-1</f>
        <v>6.4142410596446098E-4</v>
      </c>
      <c r="J50" s="1">
        <f>Table2714[[#This Row],[eff_T]]/O$41-1</f>
        <v>1.8658871499277474E-4</v>
      </c>
      <c r="K50" s="4"/>
      <c r="U50">
        <v>0.95806420184442098</v>
      </c>
      <c r="V50">
        <v>1.56302157179711E-3</v>
      </c>
      <c r="W50">
        <v>0.96205716003839803</v>
      </c>
      <c r="X50">
        <v>1.6177140394686999E-3</v>
      </c>
      <c r="Y50">
        <v>0.93244748877302797</v>
      </c>
      <c r="Z50">
        <v>2.1362641180269E-3</v>
      </c>
    </row>
    <row r="51" spans="1:26" x14ac:dyDescent="0.3">
      <c r="A51">
        <v>50000</v>
      </c>
      <c r="B51">
        <v>0.95795360526968798</v>
      </c>
      <c r="C51">
        <v>6.9277193609163196E-4</v>
      </c>
      <c r="D51">
        <v>0.96205908506938598</v>
      </c>
      <c r="E51">
        <v>7.1840668530980195E-4</v>
      </c>
      <c r="F51">
        <v>0.93147809389680902</v>
      </c>
      <c r="G51">
        <v>9.5816346567915696E-4</v>
      </c>
      <c r="H51" s="1">
        <f>Table2714[[#This Row],[eff_S]]/O$39-1</f>
        <v>9.6088912356684375E-5</v>
      </c>
      <c r="I51" s="1">
        <f>Table2714[[#This Row],[eff_D]]/O$40-1</f>
        <v>-1.4653275784093367E-5</v>
      </c>
      <c r="J51" s="1">
        <f>Table2714[[#This Row],[eff_T]]/O$41-1</f>
        <v>2.8549078600437205E-4</v>
      </c>
      <c r="K51" s="4"/>
      <c r="U51">
        <v>0.95821451824261605</v>
      </c>
      <c r="V51">
        <v>1.0873291495406799E-3</v>
      </c>
      <c r="W51">
        <v>0.96269027952407205</v>
      </c>
      <c r="X51">
        <v>1.1230495998953299E-3</v>
      </c>
      <c r="Y51">
        <v>0.93138599507758502</v>
      </c>
      <c r="Z51">
        <v>1.50627699243919E-3</v>
      </c>
    </row>
    <row r="52" spans="1:26" x14ac:dyDescent="0.3">
      <c r="A52">
        <v>100000</v>
      </c>
      <c r="B52">
        <v>0.95644007647427998</v>
      </c>
      <c r="C52">
        <v>5.0040375897756402E-4</v>
      </c>
      <c r="D52">
        <v>0.96061434302404802</v>
      </c>
      <c r="E52">
        <v>5.1933213744731E-4</v>
      </c>
      <c r="F52">
        <v>0.92941984661699695</v>
      </c>
      <c r="G52">
        <v>6.8770165445153396E-4</v>
      </c>
      <c r="H52" s="1">
        <f>Table2714[[#This Row],[eff_S]]/O$39-1</f>
        <v>-1.4840233398619729E-3</v>
      </c>
      <c r="I52" s="1">
        <f>Table2714[[#This Row],[eff_D]]/O$40-1</f>
        <v>-1.5163498945838239E-3</v>
      </c>
      <c r="J52" s="1">
        <f>Table2714[[#This Row],[eff_T]]/O$41-1</f>
        <v>-1.9247972539782054E-3</v>
      </c>
      <c r="U52">
        <v>0.95795360526968798</v>
      </c>
      <c r="V52">
        <v>6.9277193609163196E-4</v>
      </c>
      <c r="W52">
        <v>0.96205908506938598</v>
      </c>
      <c r="X52">
        <v>7.1840668530980195E-4</v>
      </c>
      <c r="Y52">
        <v>0.93147809389680902</v>
      </c>
      <c r="Z52">
        <v>9.5816346567915696E-4</v>
      </c>
    </row>
    <row r="53" spans="1:26" x14ac:dyDescent="0.3">
      <c r="B53" s="1"/>
      <c r="C53" s="1"/>
      <c r="D53" s="1"/>
      <c r="E53" s="1"/>
      <c r="F53" s="1"/>
      <c r="G53" s="1"/>
      <c r="H53" s="1">
        <f>Table2714[[#This Row],[eff_S]]/O$39-1</f>
        <v>-1</v>
      </c>
      <c r="I53" s="1">
        <f>Table2714[[#This Row],[eff_D]]/O$40-1</f>
        <v>-1</v>
      </c>
      <c r="J53" s="1">
        <f>Table2714[[#This Row],[eff_T]]/O$41-1</f>
        <v>-1</v>
      </c>
      <c r="U53">
        <v>0.95644007647427998</v>
      </c>
      <c r="V53">
        <v>5.0040375897756402E-4</v>
      </c>
      <c r="W53">
        <v>0.96061434302404802</v>
      </c>
      <c r="X53">
        <v>5.1933213744731E-4</v>
      </c>
      <c r="Y53">
        <v>0.92941984661699695</v>
      </c>
      <c r="Z53">
        <v>6.8770165445153396E-4</v>
      </c>
    </row>
    <row r="54" spans="1:26" x14ac:dyDescent="0.3">
      <c r="B54" s="1"/>
      <c r="C54" s="1"/>
      <c r="D54" s="1"/>
      <c r="E54" s="1"/>
      <c r="F54" s="1"/>
      <c r="G54" s="1"/>
      <c r="H54" s="1">
        <f>Table2714[[#This Row],[eff_S]]/O$39-1</f>
        <v>-1</v>
      </c>
      <c r="I54" s="1">
        <f>Table2714[[#This Row],[eff_D]]/O$40-1</f>
        <v>-1</v>
      </c>
      <c r="J54" s="1">
        <f>Table2714[[#This Row],[eff_T]]/O$41-1</f>
        <v>-1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0.3302/SQRT(B57)</f>
        <v>1.0441840833875988E-3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055-615F-4DEB-8BA7-BEDD01D55059}">
  <dimension ref="A3:Z63"/>
  <sheetViews>
    <sheetView topLeftCell="A33" workbookViewId="0">
      <selection activeCell="Q40" sqref="Q40:Q4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  <col min="15" max="15" width="9.44140625" customWidth="1"/>
    <col min="16" max="16" width="15.88671875" customWidth="1"/>
    <col min="17" max="17" width="10.7773437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33</v>
      </c>
      <c r="H8" s="9" t="s">
        <v>22</v>
      </c>
      <c r="I8" s="9">
        <v>293.8</v>
      </c>
      <c r="J8" s="9" t="s">
        <v>23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Table161317[[#This Row],[eff_D]]/B$31-1</f>
        <v>-1</v>
      </c>
      <c r="D10" s="7"/>
    </row>
    <row r="11" spans="1:10" x14ac:dyDescent="0.3">
      <c r="A11">
        <v>4</v>
      </c>
      <c r="B11" s="1"/>
      <c r="C11" s="3">
        <f>Table161317[[#This Row],[eff_D]]/B$31-1</f>
        <v>-1</v>
      </c>
      <c r="D11" s="7"/>
    </row>
    <row r="12" spans="1:10" x14ac:dyDescent="0.3">
      <c r="A12">
        <v>5</v>
      </c>
      <c r="B12" s="1"/>
      <c r="C12" s="3">
        <f>Table161317[[#This Row],[eff_D]]/B$31-1</f>
        <v>-1</v>
      </c>
      <c r="D12" s="7"/>
    </row>
    <row r="13" spans="1:10" x14ac:dyDescent="0.3">
      <c r="A13">
        <v>6</v>
      </c>
      <c r="B13" s="1"/>
      <c r="C13" s="3">
        <f>Table161317[[#This Row],[eff_D]]/B$31-1</f>
        <v>-1</v>
      </c>
      <c r="D13" s="7"/>
    </row>
    <row r="14" spans="1:10" x14ac:dyDescent="0.3">
      <c r="A14">
        <v>7</v>
      </c>
      <c r="B14" s="1"/>
      <c r="C14" s="3">
        <f>Table161317[[#This Row],[eff_D]]/B$31-1</f>
        <v>-1</v>
      </c>
      <c r="D14" s="6"/>
    </row>
    <row r="15" spans="1:10" x14ac:dyDescent="0.3">
      <c r="A15">
        <v>10</v>
      </c>
      <c r="B15" s="1">
        <v>0.97806206307106303</v>
      </c>
      <c r="C15" s="3">
        <f>Table161317[[#This Row],[eff_D]]/B$31-1</f>
        <v>3.7813108012609842E-3</v>
      </c>
      <c r="D15" s="6"/>
    </row>
    <row r="16" spans="1:10" x14ac:dyDescent="0.3">
      <c r="A16">
        <v>20</v>
      </c>
      <c r="B16" s="1">
        <v>0.97617436815377001</v>
      </c>
      <c r="C16" s="3">
        <f>Table161317[[#This Row],[eff_D]]/B$31-1</f>
        <v>1.843976811919168E-3</v>
      </c>
      <c r="D16" s="6"/>
    </row>
    <row r="17" spans="1:4" x14ac:dyDescent="0.3">
      <c r="A17">
        <v>50</v>
      </c>
      <c r="B17" s="1">
        <v>0.975013857785067</v>
      </c>
      <c r="C17" s="3">
        <f>Table161317[[#This Row],[eff_D]]/B$31-1</f>
        <v>6.5294951101613208E-4</v>
      </c>
      <c r="D17" s="5"/>
    </row>
    <row r="18" spans="1:4" x14ac:dyDescent="0.3">
      <c r="A18">
        <v>80</v>
      </c>
      <c r="B18" s="1">
        <v>0.97474813057697496</v>
      </c>
      <c r="C18" s="3">
        <f>Table161317[[#This Row],[eff_D]]/B$31-1</f>
        <v>3.802347055603672E-4</v>
      </c>
      <c r="D18" s="5"/>
    </row>
    <row r="19" spans="1:4" x14ac:dyDescent="0.3">
      <c r="A19">
        <v>100</v>
      </c>
      <c r="B19" s="1">
        <v>0.97466709215333003</v>
      </c>
      <c r="C19" s="3">
        <f>Table161317[[#This Row],[eff_D]]/B$31-1</f>
        <v>2.9706528494499729E-4</v>
      </c>
      <c r="D19" s="5"/>
    </row>
    <row r="20" spans="1:4" x14ac:dyDescent="0.3">
      <c r="A20">
        <v>200</v>
      </c>
      <c r="B20" s="1">
        <v>0.97451826948752596</v>
      </c>
      <c r="C20" s="3">
        <f>Table161317[[#This Row],[eff_D]]/B$31-1</f>
        <v>1.4432915888695774E-4</v>
      </c>
      <c r="D20" s="5"/>
    </row>
    <row r="21" spans="1:4" x14ac:dyDescent="0.3">
      <c r="A21">
        <v>500</v>
      </c>
      <c r="B21" s="1">
        <v>0.97443183170110004</v>
      </c>
      <c r="C21" s="3">
        <f>Table161317[[#This Row],[eff_D]]/B$31-1</f>
        <v>5.5618393141720901E-5</v>
      </c>
      <c r="D21" s="4"/>
    </row>
    <row r="22" spans="1:4" x14ac:dyDescent="0.3">
      <c r="A22">
        <v>1000</v>
      </c>
      <c r="B22" s="1">
        <v>0.97440306267195498</v>
      </c>
      <c r="C22" s="3">
        <f>Table161317[[#This Row],[eff_D]]/B$31-1</f>
        <v>2.6092849849446154E-5</v>
      </c>
      <c r="D22" s="4"/>
    </row>
    <row r="23" spans="1:4" x14ac:dyDescent="0.3">
      <c r="A23">
        <v>2000</v>
      </c>
      <c r="B23" s="1">
        <v>0.97438883967784495</v>
      </c>
      <c r="C23" s="3">
        <f>Table161317[[#This Row],[eff_D]]/B$31-1</f>
        <v>1.1495846029108137E-5</v>
      </c>
      <c r="D23" s="4"/>
    </row>
    <row r="24" spans="1:4" x14ac:dyDescent="0.3">
      <c r="A24">
        <v>5000</v>
      </c>
      <c r="B24" s="1">
        <v>0.974380463576907</v>
      </c>
      <c r="C24" s="3">
        <f>Table161317[[#This Row],[eff_D]]/B$31-1</f>
        <v>2.8994860470366035E-6</v>
      </c>
      <c r="D24" s="4"/>
    </row>
    <row r="25" spans="1:4" x14ac:dyDescent="0.3">
      <c r="A25">
        <v>7000</v>
      </c>
      <c r="B25" s="1">
        <v>0.97437880823727796</v>
      </c>
      <c r="C25" s="3">
        <f>Table161317[[#This Row],[eff_D]]/B$31-1</f>
        <v>1.2006173908396534E-6</v>
      </c>
      <c r="D25" s="4"/>
    </row>
    <row r="26" spans="1:4" x14ac:dyDescent="0.3">
      <c r="A26">
        <v>10000</v>
      </c>
      <c r="B26" s="1">
        <v>0.97437763838253999</v>
      </c>
      <c r="C26" s="3">
        <f>Table161317[[#This Row],[eff_D]]/B$31-1</f>
        <v>0</v>
      </c>
      <c r="D26" s="4"/>
    </row>
    <row r="27" spans="1:4" x14ac:dyDescent="0.3">
      <c r="A27">
        <v>20000</v>
      </c>
      <c r="B27" s="1"/>
      <c r="C27" s="3">
        <f>Table161317[[#This Row],[eff_D]]/B$31-1</f>
        <v>-1</v>
      </c>
      <c r="D27" s="4"/>
    </row>
    <row r="28" spans="1:4" x14ac:dyDescent="0.3">
      <c r="A28">
        <v>50000</v>
      </c>
      <c r="B28" s="1"/>
      <c r="C28" s="3">
        <f>Table161317[[#This Row],[eff_D]]/B$31-1</f>
        <v>-1</v>
      </c>
      <c r="D28" s="4"/>
    </row>
    <row r="29" spans="1:4" x14ac:dyDescent="0.3">
      <c r="A29">
        <v>70000</v>
      </c>
      <c r="B29" s="1"/>
      <c r="C29" s="3">
        <f>Table161317[[#This Row],[eff_D]]/B$31-1</f>
        <v>-1</v>
      </c>
      <c r="D29" s="4"/>
    </row>
    <row r="31" spans="1:4" x14ac:dyDescent="0.3">
      <c r="A31" t="s">
        <v>6</v>
      </c>
      <c r="B31" s="22">
        <v>0.97437763838253999</v>
      </c>
    </row>
    <row r="33" spans="1:26" x14ac:dyDescent="0.3">
      <c r="A33" t="s">
        <v>7</v>
      </c>
      <c r="C33">
        <v>500</v>
      </c>
    </row>
    <row r="36" spans="1:26" ht="15.6" x14ac:dyDescent="0.3">
      <c r="A36" s="10" t="s">
        <v>8</v>
      </c>
      <c r="N36" s="10" t="s">
        <v>45</v>
      </c>
    </row>
    <row r="38" spans="1:26" x14ac:dyDescent="0.3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0.97137778905519001</v>
      </c>
      <c r="Q39" t="e">
        <f t="shared" ref="Q39:Q42" si="0">O39/P39-1</f>
        <v>#DIV/0!</v>
      </c>
    </row>
    <row r="40" spans="1:26" x14ac:dyDescent="0.3">
      <c r="A40">
        <v>10</v>
      </c>
      <c r="B40" s="1">
        <v>0.89960149169134196</v>
      </c>
      <c r="C40" s="1">
        <v>8.4505657571247506E-2</v>
      </c>
      <c r="D40" s="1">
        <v>0.89978474917307905</v>
      </c>
      <c r="E40" s="1">
        <v>9.1730664335212195E-2</v>
      </c>
      <c r="F40" s="1">
        <v>0.87114998361662599</v>
      </c>
      <c r="G40" s="1">
        <v>9.5671383177868302E-2</v>
      </c>
      <c r="H40" s="1">
        <f>Table271418[[#This Row],[eff_S]]/O$39-1</f>
        <v>-7.3891227669165893E-2</v>
      </c>
      <c r="I40" s="1">
        <f>Table271418[[#This Row],[eff_D]]/O$40-1</f>
        <v>-7.6605751269133826E-2</v>
      </c>
      <c r="J40" s="1">
        <f>Table271418[[#This Row],[eff_T]]/O$41-1</f>
        <v>-8.5696271758238352E-2</v>
      </c>
      <c r="K40" s="8"/>
      <c r="N40" t="s">
        <v>3</v>
      </c>
      <c r="O40">
        <v>0.97443183170110004</v>
      </c>
      <c r="P40">
        <v>0.97240000000000004</v>
      </c>
      <c r="Q40" s="1">
        <f t="shared" si="0"/>
        <v>2.0895019550597471E-3</v>
      </c>
    </row>
    <row r="41" spans="1:26" x14ac:dyDescent="0.3">
      <c r="A41">
        <v>20</v>
      </c>
      <c r="B41" s="1">
        <v>0.96660539491654196</v>
      </c>
      <c r="C41" s="1">
        <v>3.1438173970020397E-2</v>
      </c>
      <c r="D41" s="1">
        <v>0.96431078882410604</v>
      </c>
      <c r="E41" s="1">
        <v>3.4733103319540201E-2</v>
      </c>
      <c r="F41" s="1">
        <v>0.94898435328767194</v>
      </c>
      <c r="G41" s="1">
        <v>4.6480693162846698E-2</v>
      </c>
      <c r="H41" s="1">
        <f>Table271418[[#This Row],[eff_S]]/O$39-1</f>
        <v>-4.91301550480161E-3</v>
      </c>
      <c r="I41" s="1">
        <f>Table271418[[#This Row],[eff_D]]/O$40-1</f>
        <v>-1.0386609455609985E-2</v>
      </c>
      <c r="J41" s="1">
        <f>Table271418[[#This Row],[eff_T]]/O$41-1</f>
        <v>-4.0062577377564246E-3</v>
      </c>
      <c r="K41" s="8"/>
      <c r="N41" t="s">
        <v>13</v>
      </c>
      <c r="O41">
        <v>0.95280152175675603</v>
      </c>
      <c r="P41">
        <v>0.94640000000000002</v>
      </c>
      <c r="Q41" s="1">
        <f t="shared" si="0"/>
        <v>6.7640762434024726E-3</v>
      </c>
    </row>
    <row r="42" spans="1:26" x14ac:dyDescent="0.3">
      <c r="A42">
        <v>50</v>
      </c>
      <c r="B42" s="1">
        <v>0.97436817181486801</v>
      </c>
      <c r="C42" s="1">
        <v>1.61687426313087E-2</v>
      </c>
      <c r="D42" s="1">
        <v>0.97806162394192397</v>
      </c>
      <c r="E42" s="1">
        <v>1.7478574220994799E-2</v>
      </c>
      <c r="F42" s="1">
        <v>0.954666307268623</v>
      </c>
      <c r="G42" s="1">
        <v>2.34492527607328E-2</v>
      </c>
      <c r="H42" s="1">
        <f>Table271418[[#This Row],[eff_S]]/O$39-1</f>
        <v>3.0784961251653087E-3</v>
      </c>
      <c r="I42" s="1">
        <f>Table271418[[#This Row],[eff_D]]/O$40-1</f>
        <v>3.7250345511468108E-3</v>
      </c>
      <c r="J42" s="1">
        <f>Table271418[[#This Row],[eff_T]]/O$41-1</f>
        <v>1.9571605095978217E-3</v>
      </c>
      <c r="K42" s="8"/>
      <c r="N42" t="s">
        <v>56</v>
      </c>
      <c r="O42">
        <f>O41/O40</f>
        <v>0.97780213121057102</v>
      </c>
      <c r="P42">
        <f>P41/P40</f>
        <v>0.9732620320855615</v>
      </c>
      <c r="Q42" s="1">
        <f t="shared" si="0"/>
        <v>4.6648271229492444E-3</v>
      </c>
    </row>
    <row r="43" spans="1:26" x14ac:dyDescent="0.3">
      <c r="A43">
        <v>100</v>
      </c>
      <c r="B43" s="1">
        <v>0.96808848449917995</v>
      </c>
      <c r="C43" s="1">
        <v>1.40754060169391E-2</v>
      </c>
      <c r="D43" s="1">
        <v>0.97339253434559903</v>
      </c>
      <c r="E43" s="1">
        <v>1.4120056594416499E-2</v>
      </c>
      <c r="F43" s="1">
        <v>0.94881426173833305</v>
      </c>
      <c r="G43" s="1">
        <v>1.7915753298471299E-2</v>
      </c>
      <c r="H43" s="1">
        <f>Table271418[[#This Row],[eff_S]]/O$39-1</f>
        <v>-3.3862258259058642E-3</v>
      </c>
      <c r="I43" s="1">
        <f>Table271418[[#This Row],[eff_D]]/O$40-1</f>
        <v>-1.0665675337049318E-3</v>
      </c>
      <c r="J43" s="1">
        <f>Table271418[[#This Row],[eff_T]]/O$41-1</f>
        <v>-4.1847750317099974E-3</v>
      </c>
      <c r="K43" s="7"/>
      <c r="U43">
        <v>0.89960149169134196</v>
      </c>
      <c r="V43">
        <v>8.4505657571247506E-2</v>
      </c>
      <c r="W43">
        <v>0.89978474917307905</v>
      </c>
      <c r="X43">
        <v>9.1730664335212195E-2</v>
      </c>
      <c r="Y43">
        <v>0.87114998361662599</v>
      </c>
      <c r="Z43">
        <v>9.5671383177868302E-2</v>
      </c>
    </row>
    <row r="44" spans="1:26" x14ac:dyDescent="0.3">
      <c r="A44">
        <v>200</v>
      </c>
      <c r="B44" s="1">
        <v>0.975745740333548</v>
      </c>
      <c r="C44" s="1">
        <v>8.12915756396238E-3</v>
      </c>
      <c r="D44" s="1">
        <v>0.97826483047606805</v>
      </c>
      <c r="E44" s="1">
        <v>8.3105662767085902E-3</v>
      </c>
      <c r="F44" s="1">
        <v>0.95881217024048104</v>
      </c>
      <c r="G44" s="1">
        <v>1.19144620763483E-2</v>
      </c>
      <c r="H44" s="1">
        <f>Table271418[[#This Row],[eff_S]]/O$39-1</f>
        <v>4.4966555006435982E-3</v>
      </c>
      <c r="I44" s="1">
        <f>Table271418[[#This Row],[eff_D]]/O$40-1</f>
        <v>3.9335730322731521E-3</v>
      </c>
      <c r="J44" s="1">
        <f>Table271418[[#This Row],[eff_T]]/O$41-1</f>
        <v>6.3083951342171041E-3</v>
      </c>
      <c r="K44" s="6"/>
      <c r="U44">
        <v>0.96660539491654196</v>
      </c>
      <c r="V44">
        <v>3.1438173970020397E-2</v>
      </c>
      <c r="W44">
        <v>0.96431078882410604</v>
      </c>
      <c r="X44">
        <v>3.4733103319540201E-2</v>
      </c>
      <c r="Y44">
        <v>0.94898435328767194</v>
      </c>
      <c r="Z44">
        <v>4.6480693162846698E-2</v>
      </c>
    </row>
    <row r="45" spans="1:26" x14ac:dyDescent="0.3">
      <c r="A45">
        <v>500</v>
      </c>
      <c r="B45" s="1">
        <v>0.96638613801365103</v>
      </c>
      <c r="C45" s="1">
        <v>6.1281862769012501E-3</v>
      </c>
      <c r="D45" s="1">
        <v>0.97035293354850305</v>
      </c>
      <c r="E45" s="1">
        <v>6.1851607827005297E-3</v>
      </c>
      <c r="F45" s="1">
        <v>0.94384278512645903</v>
      </c>
      <c r="G45" s="1">
        <v>8.7129821128957598E-3</v>
      </c>
      <c r="H45" s="1">
        <f>Table271418[[#This Row],[eff_S]]/O$39-1</f>
        <v>-5.138732939728996E-3</v>
      </c>
      <c r="I45" s="1">
        <f>Table271418[[#This Row],[eff_D]]/O$40-1</f>
        <v>-4.185924576659561E-3</v>
      </c>
      <c r="J45" s="1">
        <f>Table271418[[#This Row],[eff_T]]/O$41-1</f>
        <v>-9.4025213286593745E-3</v>
      </c>
      <c r="K45" s="6"/>
      <c r="U45">
        <v>0.97436817181486801</v>
      </c>
      <c r="V45">
        <v>1.61687426313087E-2</v>
      </c>
      <c r="W45">
        <v>0.97806162394192397</v>
      </c>
      <c r="X45">
        <v>1.7478574220994799E-2</v>
      </c>
      <c r="Y45">
        <v>0.954666307268623</v>
      </c>
      <c r="Z45">
        <v>2.34492527607328E-2</v>
      </c>
    </row>
    <row r="46" spans="1:26" x14ac:dyDescent="0.3">
      <c r="A46">
        <v>1000</v>
      </c>
      <c r="B46" s="1">
        <v>0.97228329350939402</v>
      </c>
      <c r="C46" s="1">
        <v>3.90361541663276E-3</v>
      </c>
      <c r="D46" s="1">
        <v>0.97590724724170896</v>
      </c>
      <c r="E46" s="1">
        <v>3.9936876284518003E-3</v>
      </c>
      <c r="F46" s="1">
        <v>0.95290590061681701</v>
      </c>
      <c r="G46" s="1">
        <v>5.5620757340265198E-3</v>
      </c>
      <c r="H46" s="1">
        <f>Table271418[[#This Row],[eff_S]]/O$39-1</f>
        <v>9.3218566906361211E-4</v>
      </c>
      <c r="I46" s="1">
        <f>Table271418[[#This Row],[eff_D]]/O$40-1</f>
        <v>1.5141290469065094E-3</v>
      </c>
      <c r="J46" s="1">
        <f>Table271418[[#This Row],[eff_T]]/O$41-1</f>
        <v>1.0954942627350306E-4</v>
      </c>
      <c r="K46" s="6"/>
      <c r="U46">
        <v>0.96808848449917995</v>
      </c>
      <c r="V46">
        <v>1.40754060169391E-2</v>
      </c>
      <c r="W46">
        <v>0.97339253434559903</v>
      </c>
      <c r="X46">
        <v>1.4120056594416499E-2</v>
      </c>
      <c r="Y46">
        <v>0.94881426173833305</v>
      </c>
      <c r="Z46">
        <v>1.7915753298471299E-2</v>
      </c>
    </row>
    <row r="47" spans="1:26" x14ac:dyDescent="0.3">
      <c r="A47">
        <v>2000</v>
      </c>
      <c r="B47" s="1">
        <v>0.97054851332435799</v>
      </c>
      <c r="C47" s="1">
        <v>2.93928143528691E-3</v>
      </c>
      <c r="D47" s="1">
        <v>0.97324445328073705</v>
      </c>
      <c r="E47" s="1">
        <v>3.0583931431254702E-3</v>
      </c>
      <c r="F47" s="1">
        <v>0.95224252450128</v>
      </c>
      <c r="G47" s="1">
        <v>4.0676764853000598E-3</v>
      </c>
      <c r="H47" s="1">
        <f>Table271418[[#This Row],[eff_S]]/O$39-1</f>
        <v>-8.5371082206708859E-4</v>
      </c>
      <c r="I47" s="1">
        <f>Table271418[[#This Row],[eff_D]]/O$40-1</f>
        <v>-1.2185341054490317E-3</v>
      </c>
      <c r="J47" s="1">
        <f>Table271418[[#This Row],[eff_T]]/O$41-1</f>
        <v>-5.8668803807682135E-4</v>
      </c>
      <c r="K47" s="5"/>
      <c r="U47">
        <v>0.975745740333548</v>
      </c>
      <c r="V47">
        <v>8.12915756396238E-3</v>
      </c>
      <c r="W47">
        <v>0.97826483047606805</v>
      </c>
      <c r="X47">
        <v>8.3105662767085902E-3</v>
      </c>
      <c r="Y47">
        <v>0.95881217024048104</v>
      </c>
      <c r="Z47">
        <v>1.19144620763483E-2</v>
      </c>
    </row>
    <row r="48" spans="1:26" x14ac:dyDescent="0.3">
      <c r="A48">
        <v>5000</v>
      </c>
      <c r="B48" s="1">
        <v>0.97061879005464502</v>
      </c>
      <c r="C48" s="1">
        <v>1.8308414057656599E-3</v>
      </c>
      <c r="D48" s="1">
        <v>0.973824766204618</v>
      </c>
      <c r="E48" s="1">
        <v>1.8801363760207199E-3</v>
      </c>
      <c r="F48" s="1">
        <v>0.95137872220640096</v>
      </c>
      <c r="G48" s="1">
        <v>2.5727250781993902E-3</v>
      </c>
      <c r="H48" s="1">
        <f>Table271418[[#This Row],[eff_S]]/O$39-1</f>
        <v>-7.8136334708989175E-4</v>
      </c>
      <c r="I48" s="1">
        <f>Table271418[[#This Row],[eff_D]]/O$40-1</f>
        <v>-6.2299432010781697E-4</v>
      </c>
      <c r="J48" s="1">
        <f>Table271418[[#This Row],[eff_T]]/O$41-1</f>
        <v>-1.4932800985999473E-3</v>
      </c>
      <c r="K48" s="5"/>
      <c r="U48">
        <v>0.96638613801365103</v>
      </c>
      <c r="V48">
        <v>6.1281862769012501E-3</v>
      </c>
      <c r="W48">
        <v>0.97035293354850305</v>
      </c>
      <c r="X48">
        <v>6.1851607827005297E-3</v>
      </c>
      <c r="Y48">
        <v>0.94384278512645903</v>
      </c>
      <c r="Z48">
        <v>8.7129821128957598E-3</v>
      </c>
    </row>
    <row r="49" spans="1:26" x14ac:dyDescent="0.3">
      <c r="A49">
        <v>10000</v>
      </c>
      <c r="B49" s="1">
        <v>0.97160110106383901</v>
      </c>
      <c r="C49" s="1">
        <v>1.2800908527134699E-3</v>
      </c>
      <c r="D49" s="1">
        <v>0.974553752132016</v>
      </c>
      <c r="E49" s="1">
        <v>1.3237316864734699E-3</v>
      </c>
      <c r="F49" s="1">
        <v>0.95331566218470098</v>
      </c>
      <c r="G49" s="1">
        <v>1.78562875595688E-3</v>
      </c>
      <c r="H49" s="1">
        <f>Table271418[[#This Row],[eff_S]]/O$39-1</f>
        <v>2.2989202673273645E-4</v>
      </c>
      <c r="I49" s="1">
        <f>Table271418[[#This Row],[eff_D]]/O$40-1</f>
        <v>1.2511950754223733E-4</v>
      </c>
      <c r="J49" s="1">
        <f>Table271418[[#This Row],[eff_T]]/O$41-1</f>
        <v>5.3960915910056251E-4</v>
      </c>
      <c r="K49" s="4"/>
      <c r="U49">
        <v>0.97228329350939402</v>
      </c>
      <c r="V49">
        <v>3.90361541663276E-3</v>
      </c>
      <c r="W49">
        <v>0.97590724724170896</v>
      </c>
      <c r="X49">
        <v>3.9936876284518003E-3</v>
      </c>
      <c r="Y49">
        <v>0.95290590061681701</v>
      </c>
      <c r="Z49">
        <v>5.5620757340265198E-3</v>
      </c>
    </row>
    <row r="50" spans="1:26" x14ac:dyDescent="0.3">
      <c r="A50">
        <v>20000</v>
      </c>
      <c r="B50" s="1">
        <v>0.96963612244987596</v>
      </c>
      <c r="C50" s="1">
        <v>9.2938225162097696E-4</v>
      </c>
      <c r="D50" s="1">
        <v>0.973024627757613</v>
      </c>
      <c r="E50" s="1">
        <v>9.5790590072671999E-4</v>
      </c>
      <c r="F50" s="1">
        <v>0.94969154214948204</v>
      </c>
      <c r="G50" s="1">
        <v>1.30175270245336E-3</v>
      </c>
      <c r="H50" s="1">
        <f>Table271418[[#This Row],[eff_S]]/O$39-1</f>
        <v>-1.7929858237833995E-3</v>
      </c>
      <c r="I50" s="1">
        <f>Table271418[[#This Row],[eff_D]]/O$40-1</f>
        <v>-1.4441276420849025E-3</v>
      </c>
      <c r="J50" s="1">
        <f>Table271418[[#This Row],[eff_T]]/O$41-1</f>
        <v>-3.2640371958473358E-3</v>
      </c>
      <c r="K50" s="4"/>
      <c r="U50">
        <v>0.97054851332435799</v>
      </c>
      <c r="V50">
        <v>2.93928143528691E-3</v>
      </c>
      <c r="W50">
        <v>0.97324445328073705</v>
      </c>
      <c r="X50">
        <v>3.0583931431254702E-3</v>
      </c>
      <c r="Y50">
        <v>0.95224252450128</v>
      </c>
      <c r="Z50">
        <v>4.0676764853000598E-3</v>
      </c>
    </row>
    <row r="51" spans="1:26" x14ac:dyDescent="0.3">
      <c r="A51">
        <v>50000</v>
      </c>
      <c r="B51" s="1">
        <v>0.96967745024445795</v>
      </c>
      <c r="C51" s="1">
        <v>5.9475328388173903E-4</v>
      </c>
      <c r="D51" s="1">
        <v>0.97270667489769602</v>
      </c>
      <c r="E51" s="1">
        <v>6.1429596345308798E-4</v>
      </c>
      <c r="F51" s="1">
        <v>0.950588058971651</v>
      </c>
      <c r="G51" s="1">
        <v>8.2408534579601705E-4</v>
      </c>
      <c r="H51" s="1">
        <f>Table271418[[#This Row],[eff_S]]/O$39-1</f>
        <v>-1.7504402817217768E-3</v>
      </c>
      <c r="I51" s="1">
        <f>Table271418[[#This Row],[eff_D]]/O$40-1</f>
        <v>-1.7704232838867684E-3</v>
      </c>
      <c r="J51" s="1">
        <f>Table271418[[#This Row],[eff_T]]/O$41-1</f>
        <v>-2.3231100439721208E-3</v>
      </c>
      <c r="K51" s="4"/>
      <c r="U51">
        <v>0.97061879005464502</v>
      </c>
      <c r="V51">
        <v>1.8308414057656599E-3</v>
      </c>
      <c r="W51">
        <v>0.973824766204618</v>
      </c>
      <c r="X51">
        <v>1.8801363760207199E-3</v>
      </c>
      <c r="Y51">
        <v>0.95137872220640096</v>
      </c>
      <c r="Z51">
        <v>2.5727250781993902E-3</v>
      </c>
    </row>
    <row r="52" spans="1:26" x14ac:dyDescent="0.3">
      <c r="A52">
        <v>100000</v>
      </c>
      <c r="B52" s="1">
        <v>0.97035846169529305</v>
      </c>
      <c r="C52" s="1">
        <v>4.1182231496749198E-4</v>
      </c>
      <c r="D52" s="1">
        <v>0.97352544368772098</v>
      </c>
      <c r="E52" s="1">
        <v>4.2494639802335602E-4</v>
      </c>
      <c r="F52" s="1">
        <v>0.95107023729740303</v>
      </c>
      <c r="G52" s="1">
        <v>5.7677358392978196E-4</v>
      </c>
      <c r="H52" s="1">
        <f>Table271418[[#This Row],[eff_S]]/O$39-1</f>
        <v>-1.0493624328062889E-3</v>
      </c>
      <c r="I52" s="1">
        <f>Table271418[[#This Row],[eff_D]]/O$40-1</f>
        <v>-9.3017077633505973E-4</v>
      </c>
      <c r="J52" s="1">
        <f>Table271418[[#This Row],[eff_T]]/O$41-1</f>
        <v>-1.8170462786004649E-3</v>
      </c>
      <c r="U52">
        <v>0.97160110106383901</v>
      </c>
      <c r="V52">
        <v>1.2800908527134699E-3</v>
      </c>
      <c r="W52">
        <v>0.974553752132016</v>
      </c>
      <c r="X52">
        <v>1.3237316864734699E-3</v>
      </c>
      <c r="Y52">
        <v>0.95331566218470098</v>
      </c>
      <c r="Z52">
        <v>1.78562875595688E-3</v>
      </c>
    </row>
    <row r="53" spans="1:26" x14ac:dyDescent="0.3">
      <c r="B53" s="1"/>
      <c r="C53" s="1"/>
      <c r="D53" s="1"/>
      <c r="E53" s="1"/>
      <c r="F53" s="1"/>
      <c r="G53" s="1"/>
      <c r="H53" s="1">
        <f>Table271418[[#This Row],[eff_S]]/O$39-1</f>
        <v>-1</v>
      </c>
      <c r="I53" s="1">
        <f>Table271418[[#This Row],[eff_D]]/O$40-1</f>
        <v>-1</v>
      </c>
      <c r="J53" s="1">
        <f>Table271418[[#This Row],[eff_T]]/O$41-1</f>
        <v>-1</v>
      </c>
      <c r="U53">
        <v>0.96963612244987596</v>
      </c>
      <c r="V53">
        <v>9.2938225162097696E-4</v>
      </c>
      <c r="W53">
        <v>0.973024627757613</v>
      </c>
      <c r="X53">
        <v>9.5790590072671999E-4</v>
      </c>
      <c r="Y53">
        <v>0.94969154214948204</v>
      </c>
      <c r="Z53">
        <v>1.30175270245336E-3</v>
      </c>
    </row>
    <row r="54" spans="1:26" x14ac:dyDescent="0.3">
      <c r="B54" s="1"/>
      <c r="C54" s="1"/>
      <c r="D54" s="1"/>
      <c r="E54" s="1"/>
      <c r="F54" s="1"/>
      <c r="G54" s="1"/>
      <c r="H54" s="1">
        <f>Table271418[[#This Row],[eff_S]]/O$39-1</f>
        <v>-1</v>
      </c>
      <c r="I54" s="1">
        <f>Table271418[[#This Row],[eff_D]]/O$40-1</f>
        <v>-1</v>
      </c>
      <c r="J54" s="1">
        <f>Table271418[[#This Row],[eff_T]]/O$41-1</f>
        <v>-1</v>
      </c>
      <c r="U54">
        <v>0.96967745024445795</v>
      </c>
      <c r="V54">
        <v>5.9475328388173903E-4</v>
      </c>
      <c r="W54">
        <v>0.97270667489769602</v>
      </c>
      <c r="X54">
        <v>6.1429596345308798E-4</v>
      </c>
      <c r="Y54">
        <v>0.950588058971651</v>
      </c>
      <c r="Z54">
        <v>8.2408534579601705E-4</v>
      </c>
    </row>
    <row r="55" spans="1:26" x14ac:dyDescent="0.3">
      <c r="U55">
        <v>0.97035846169529305</v>
      </c>
      <c r="V55">
        <v>4.1182231496749198E-4</v>
      </c>
      <c r="W55">
        <v>0.97352544368772098</v>
      </c>
      <c r="X55">
        <v>4.2494639802335602E-4</v>
      </c>
      <c r="Y55">
        <v>0.95107023729740303</v>
      </c>
      <c r="Z55">
        <v>5.7677358392978196E-4</v>
      </c>
    </row>
    <row r="56" spans="1:26" x14ac:dyDescent="0.3">
      <c r="A56" s="12" t="s">
        <v>19</v>
      </c>
      <c r="B56" s="13"/>
      <c r="C56" s="13"/>
      <c r="D56" s="14"/>
    </row>
    <row r="57" spans="1:26" x14ac:dyDescent="0.3">
      <c r="A57" s="15" t="s">
        <v>9</v>
      </c>
      <c r="B57" s="16">
        <v>100000</v>
      </c>
      <c r="C57" s="16"/>
      <c r="D57" s="17"/>
    </row>
    <row r="58" spans="1:26" x14ac:dyDescent="0.3">
      <c r="A58" s="18" t="s">
        <v>18</v>
      </c>
      <c r="B58" s="21">
        <f>0.3302/SQRT(B57)</f>
        <v>1.0441840833875988E-3</v>
      </c>
      <c r="C58" s="19"/>
      <c r="D58" s="20"/>
    </row>
    <row r="61" spans="1:26" x14ac:dyDescent="0.3">
      <c r="A61" t="s">
        <v>7</v>
      </c>
      <c r="C61">
        <v>10000</v>
      </c>
    </row>
    <row r="63" spans="1:26" x14ac:dyDescent="0.3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H-3</vt:lpstr>
      <vt:lpstr>Pu-241</vt:lpstr>
      <vt:lpstr>C-14</vt:lpstr>
      <vt:lpstr>S-35</vt:lpstr>
      <vt:lpstr>Pm-147</vt:lpstr>
      <vt:lpstr>Ni-63</vt:lpstr>
      <vt:lpstr>Ca-45</vt:lpstr>
      <vt:lpstr>Tc-99</vt:lpstr>
      <vt:lpstr>Sr-90</vt:lpstr>
      <vt:lpstr>Sr-89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2023-07-24T12:37:48Z</dcterms:modified>
</cp:coreProperties>
</file>