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sot\Downloads\"/>
    </mc:Choice>
  </mc:AlternateContent>
  <xr:revisionPtr revIDLastSave="0" documentId="13_ncr:1_{217DE7FE-C7A8-4182-A8BF-9B16C4C470DC}" xr6:coauthVersionLast="47" xr6:coauthVersionMax="47" xr10:uidLastSave="{00000000-0000-0000-0000-000000000000}"/>
  <bookViews>
    <workbookView xWindow="1905" yWindow="1905" windowWidth="21600" windowHeight="11385" firstSheet="3" activeTab="5" xr2:uid="{00000000-000D-0000-FFFF-FFFF00000000}"/>
  </bookViews>
  <sheets>
    <sheet name="Documentation" sheetId="12" r:id="rId1"/>
    <sheet name="Business Plan" sheetId="2" r:id="rId2"/>
    <sheet name="Loan Details" sheetId="7" r:id="rId3"/>
    <sheet name="Buy or Lease" sheetId="11" r:id="rId4"/>
    <sheet name="Depreciation" sheetId="8" r:id="rId5"/>
    <sheet name="Profit &amp; Loss" sheetId="3" r:id="rId6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File.Type2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Ownership" hidden="1">OFFSET([0]!Data.Top.Left,1,0)</definedName>
    <definedName name="s" hidden="1">#REF!</definedName>
    <definedName name="Show.Acct.Update.Warning" hidden="1">#REF!</definedName>
    <definedName name="Show.MDB.Update.Warnin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8" l="1"/>
  <c r="D15" i="8"/>
  <c r="E15" i="8"/>
  <c r="F15" i="8"/>
  <c r="B15" i="8"/>
  <c r="C9" i="8"/>
  <c r="D9" i="8"/>
  <c r="E9" i="8"/>
  <c r="F9" i="8"/>
  <c r="B9" i="8"/>
  <c r="B21" i="11"/>
  <c r="B20" i="11"/>
  <c r="E15" i="1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4" i="11"/>
  <c r="C10" i="7"/>
  <c r="D10" i="7"/>
  <c r="E10" i="7"/>
  <c r="F10" i="7"/>
  <c r="F24" i="3" s="1"/>
  <c r="B10" i="7"/>
  <c r="B24" i="3" s="1"/>
  <c r="C9" i="7"/>
  <c r="D9" i="7"/>
  <c r="E9" i="7"/>
  <c r="F9" i="7"/>
  <c r="B9" i="7"/>
  <c r="H4" i="2"/>
  <c r="G8" i="2"/>
  <c r="F5" i="2"/>
  <c r="E11" i="2"/>
  <c r="C24" i="3"/>
  <c r="D24" i="3"/>
  <c r="E24" i="3"/>
  <c r="C21" i="3" l="1"/>
  <c r="D21" i="3"/>
  <c r="E21" i="3"/>
  <c r="F21" i="3"/>
  <c r="B21" i="3"/>
  <c r="F40" i="11" l="1"/>
  <c r="G40" i="11"/>
  <c r="G34" i="11"/>
  <c r="G35" i="11"/>
  <c r="G36" i="11"/>
  <c r="G37" i="11"/>
  <c r="G38" i="11"/>
  <c r="G3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4" i="11"/>
  <c r="G3" i="11"/>
  <c r="E3" i="11"/>
  <c r="B22" i="11" l="1"/>
  <c r="B19" i="11"/>
  <c r="B10" i="11"/>
  <c r="F3" i="11" s="1"/>
  <c r="G6" i="2" l="1"/>
  <c r="F9" i="2"/>
  <c r="G9" i="2"/>
  <c r="G10" i="2" s="1"/>
  <c r="H9" i="2"/>
  <c r="H10" i="2" s="1"/>
  <c r="E9" i="2"/>
  <c r="E10" i="2" s="1"/>
  <c r="E8" i="2"/>
  <c r="F8" i="2"/>
  <c r="H8" i="2"/>
  <c r="F10" i="2"/>
  <c r="B10" i="8" l="1"/>
  <c r="C10" i="8" s="1"/>
  <c r="G9" i="7"/>
  <c r="G10" i="7"/>
  <c r="D10" i="8" l="1"/>
  <c r="E10" i="8" l="1"/>
  <c r="F10" i="8" l="1"/>
  <c r="B16" i="8" l="1"/>
  <c r="B3" i="8"/>
  <c r="C17" i="3"/>
  <c r="D17" i="3"/>
  <c r="E17" i="3"/>
  <c r="F17" i="3"/>
  <c r="C8" i="3"/>
  <c r="D8" i="3"/>
  <c r="E8" i="3"/>
  <c r="F8" i="3"/>
  <c r="C9" i="3"/>
  <c r="C10" i="3" s="1"/>
  <c r="D9" i="3"/>
  <c r="D10" i="3" s="1"/>
  <c r="D20" i="3" s="1"/>
  <c r="E9" i="3"/>
  <c r="E10" i="3" s="1"/>
  <c r="E20" i="3" s="1"/>
  <c r="E22" i="3" s="1"/>
  <c r="F9" i="3"/>
  <c r="B9" i="3"/>
  <c r="B8" i="3"/>
  <c r="B10" i="3" l="1"/>
  <c r="F10" i="3"/>
  <c r="F20" i="3" s="1"/>
  <c r="F22" i="3" s="1"/>
  <c r="F25" i="3" s="1"/>
  <c r="C11" i="8"/>
  <c r="B11" i="8"/>
  <c r="D11" i="8"/>
  <c r="E11" i="8"/>
  <c r="F11" i="8"/>
  <c r="B17" i="8"/>
  <c r="C20" i="3"/>
  <c r="C22" i="3" s="1"/>
  <c r="C25" i="3" s="1"/>
  <c r="D22" i="3"/>
  <c r="D25" i="3" s="1"/>
  <c r="E25" i="3"/>
  <c r="C16" i="8"/>
  <c r="E27" i="3" l="1"/>
  <c r="E28" i="3" s="1"/>
  <c r="D27" i="3"/>
  <c r="D28" i="3" s="1"/>
  <c r="C27" i="3"/>
  <c r="C28" i="3" s="1"/>
  <c r="F27" i="3"/>
  <c r="F28" i="3" s="1"/>
  <c r="D16" i="8"/>
  <c r="C17" i="8"/>
  <c r="D17" i="8" l="1"/>
  <c r="E16" i="8"/>
  <c r="E17" i="8" l="1"/>
  <c r="F16" i="8"/>
  <c r="F17" i="8" s="1"/>
  <c r="F3" i="7" l="1"/>
  <c r="D3" i="7"/>
  <c r="A3" i="7"/>
  <c r="G3" i="7" l="1"/>
  <c r="B11" i="7"/>
  <c r="C11" i="7" s="1"/>
  <c r="D11" i="7" s="1"/>
  <c r="E11" i="7" s="1"/>
  <c r="F11" i="7" s="1"/>
  <c r="B17" i="3"/>
  <c r="B20" i="3" s="1"/>
  <c r="B22" i="3" s="1"/>
  <c r="B25" i="3" s="1"/>
  <c r="B27" i="3" l="1"/>
  <c r="B28" i="3" s="1"/>
  <c r="B21" i="2"/>
  <c r="B17" i="2"/>
  <c r="B12" i="2"/>
  <c r="B6" i="2"/>
  <c r="B25" i="2" l="1"/>
  <c r="B13" i="2"/>
  <c r="B29" i="2"/>
  <c r="B24" i="2"/>
  <c r="B26" i="2" l="1"/>
  <c r="B27" i="2" s="1"/>
</calcChain>
</file>

<file path=xl/sharedStrings.xml><?xml version="1.0" encoding="utf-8"?>
<sst xmlns="http://schemas.openxmlformats.org/spreadsheetml/2006/main" count="146" uniqueCount="121">
  <si>
    <t>Cash</t>
  </si>
  <si>
    <t>Owners</t>
  </si>
  <si>
    <t>TOTAL FUNDING</t>
  </si>
  <si>
    <t>Income</t>
  </si>
  <si>
    <t>Year 1</t>
  </si>
  <si>
    <t>Year 2</t>
  </si>
  <si>
    <t>Year 3</t>
  </si>
  <si>
    <t>Year 4</t>
  </si>
  <si>
    <t>Year 5</t>
  </si>
  <si>
    <t>Expenses</t>
  </si>
  <si>
    <t>Payroll</t>
  </si>
  <si>
    <t>Insurance</t>
  </si>
  <si>
    <t>Earnings</t>
  </si>
  <si>
    <t>Depreciation</t>
  </si>
  <si>
    <t>Assets</t>
  </si>
  <si>
    <t>Initial Investment</t>
  </si>
  <si>
    <t>Years</t>
  </si>
  <si>
    <t>Year</t>
  </si>
  <si>
    <t>Cumulative Interest and Principal Payments per Year</t>
  </si>
  <si>
    <t>Quarters</t>
  </si>
  <si>
    <t>Total</t>
  </si>
  <si>
    <t>Payments</t>
  </si>
  <si>
    <t>Revenue</t>
  </si>
  <si>
    <t>Cost of R&amp;D</t>
  </si>
  <si>
    <t>Future value</t>
  </si>
  <si>
    <t>Months</t>
  </si>
  <si>
    <t>Asset Value</t>
  </si>
  <si>
    <t>End of Contract</t>
  </si>
  <si>
    <t>PERFORM FINANCIAL CALCULATIONS</t>
  </si>
  <si>
    <t>Author:</t>
  </si>
  <si>
    <t>Romain Roux</t>
  </si>
  <si>
    <t>Note: Do not edit this sheet. If your name does not appear in cell B6, please download a new copy of the file from the SAM website.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</si>
  <si>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9: End of Module Project 1</t>
    </r>
  </si>
  <si>
    <t>Canyon Transport</t>
  </si>
  <si>
    <t>Buses and vans</t>
  </si>
  <si>
    <t>Miscellaneous expenses</t>
  </si>
  <si>
    <t>Total expenses</t>
  </si>
  <si>
    <t>Shuttle stop construction</t>
  </si>
  <si>
    <t xml:space="preserve">Total assets </t>
  </si>
  <si>
    <t>Miscellaneous assets</t>
  </si>
  <si>
    <t>Total expenses and assets</t>
  </si>
  <si>
    <t>Long-term assets</t>
  </si>
  <si>
    <t>Non-cash assets</t>
  </si>
  <si>
    <t>Liabilities</t>
  </si>
  <si>
    <t>Long-term loan</t>
  </si>
  <si>
    <t>Outstanding debts</t>
  </si>
  <si>
    <t>Total liabilities</t>
  </si>
  <si>
    <t>Capital</t>
  </si>
  <si>
    <t>Small business grant</t>
  </si>
  <si>
    <t>Total available capital</t>
  </si>
  <si>
    <t>Summary</t>
  </si>
  <si>
    <t>New division investment</t>
  </si>
  <si>
    <t>New division expenses</t>
  </si>
  <si>
    <t>Initial equity</t>
  </si>
  <si>
    <t>Total liabilities and equity</t>
  </si>
  <si>
    <t>Airport Shuttles 
Business Plan</t>
  </si>
  <si>
    <t>Payments / year</t>
  </si>
  <si>
    <t>Annual rate</t>
  </si>
  <si>
    <t>Payment amount</t>
  </si>
  <si>
    <t>Loan amount</t>
  </si>
  <si>
    <t>Annual interest rate</t>
  </si>
  <si>
    <t>Airport Shuttles 
Loan Details</t>
  </si>
  <si>
    <t>Principal remaining</t>
  </si>
  <si>
    <t>Annual  rate</t>
  </si>
  <si>
    <t>Payments
 per year</t>
  </si>
  <si>
    <t>Airport Shuttles 
Buy or Lease Scenarios</t>
  </si>
  <si>
    <t>Service contract</t>
  </si>
  <si>
    <t>Sales tax rate</t>
  </si>
  <si>
    <t>Tax on sale</t>
  </si>
  <si>
    <t>Resale percent</t>
  </si>
  <si>
    <t>Buy Scenario</t>
  </si>
  <si>
    <t>Lease Scenario</t>
  </si>
  <si>
    <t>Security deposit</t>
  </si>
  <si>
    <t>Monthly payment</t>
  </si>
  <si>
    <t>Buy or Lease</t>
  </si>
  <si>
    <t>Annual discount rate</t>
  </si>
  <si>
    <t>Monthly discount rate</t>
  </si>
  <si>
    <t>Buy: Net present value</t>
  </si>
  <si>
    <t>Lease: Net present value</t>
  </si>
  <si>
    <t>Recommendation</t>
  </si>
  <si>
    <t>Profit &amp; Loss Statement</t>
  </si>
  <si>
    <t>Percent cost of marketing</t>
  </si>
  <si>
    <t>Percent cost of R&amp;D</t>
  </si>
  <si>
    <t>Tax rate</t>
  </si>
  <si>
    <t>Cost of marketing</t>
  </si>
  <si>
    <t>Gross profit</t>
  </si>
  <si>
    <t>Rent</t>
  </si>
  <si>
    <t>Miscellaneous</t>
  </si>
  <si>
    <t>Initial earnings</t>
  </si>
  <si>
    <t>Operating profit</t>
  </si>
  <si>
    <t>Interest expense</t>
  </si>
  <si>
    <t>Pretax profit</t>
  </si>
  <si>
    <t>Tax liability</t>
  </si>
  <si>
    <t>After-tax profit</t>
  </si>
  <si>
    <t>Airport Shuttles 
Depreciation</t>
  </si>
  <si>
    <t>Yearly depreciation</t>
  </si>
  <si>
    <t>Cumulative depreciation</t>
  </si>
  <si>
    <t>Depreciated asset value</t>
  </si>
  <si>
    <t>(pmt)</t>
  </si>
  <si>
    <t>(fv)</t>
  </si>
  <si>
    <t>(nper)</t>
  </si>
  <si>
    <t>(pv)</t>
  </si>
  <si>
    <t>Business loan (pv)</t>
  </si>
  <si>
    <t>Future value (fv)</t>
  </si>
  <si>
    <t>Total payments (nper)</t>
  </si>
  <si>
    <t>Rate / quarter (rate)</t>
  </si>
  <si>
    <t>Quarterly payments (pmt)</t>
  </si>
  <si>
    <t>Loan 
(pv)</t>
  </si>
  <si>
    <t>Rate per period 
(rate)</t>
  </si>
  <si>
    <t>Payments
(nper)</t>
  </si>
  <si>
    <t>Payment
(pmt)</t>
  </si>
  <si>
    <t>Principal paid</t>
  </si>
  <si>
    <t>Interest paid</t>
  </si>
  <si>
    <t>Long-term assets (cost)</t>
  </si>
  <si>
    <t>Salvage value (salvage)</t>
  </si>
  <si>
    <t>Life of asset (life)</t>
  </si>
  <si>
    <t>Straight-Line</t>
  </si>
  <si>
    <t>Declining Balance</t>
  </si>
  <si>
    <t>Shuttle Bus</t>
  </si>
  <si>
    <t>Current price (cost)</t>
  </si>
  <si>
    <t>Salvage months (life)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</si>
</sst>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000"/>
    <numFmt numFmtId="167" formatCode="0.0%"/>
  </numFmts>
  <fonts count="28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Impact"/>
      <family val="2"/>
      <scheme val="maj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name val="Gill Sans MT"/>
      <family val="2"/>
      <scheme val="minor"/>
    </font>
    <font>
      <sz val="11"/>
      <color theme="9" tint="-0.249977111117893"/>
      <name val="Gill Sans MT"/>
      <family val="2"/>
      <scheme val="minor"/>
    </font>
    <font>
      <sz val="18"/>
      <color theme="9" tint="-0.249977111117893"/>
      <name val="Impact"/>
      <family val="2"/>
      <scheme val="major"/>
    </font>
    <font>
      <sz val="11"/>
      <color theme="5" tint="-0.249977111117893"/>
      <name val="Gill Sans MT"/>
      <family val="2"/>
      <scheme val="minor"/>
    </font>
    <font>
      <b/>
      <sz val="15"/>
      <color theme="3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b/>
      <sz val="15"/>
      <color theme="5" tint="-0.249977111117893"/>
      <name val="Gill Sans MT"/>
      <family val="2"/>
      <scheme val="minor"/>
    </font>
    <font>
      <b/>
      <sz val="11"/>
      <color theme="5" tint="-0.249977111117893"/>
      <name val="Gill Sans MT"/>
      <family val="2"/>
      <scheme val="minor"/>
    </font>
    <font>
      <b/>
      <sz val="12"/>
      <color theme="5" tint="-0.249977111117893"/>
      <name val="Gill Sans MT"/>
      <family val="2"/>
      <scheme val="minor"/>
    </font>
    <font>
      <sz val="11"/>
      <color theme="4" tint="-0.249977111117893"/>
      <name val="Gill Sans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4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14548173467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double">
        <color theme="4" tint="0.39991454817346722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medium">
        <color theme="4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double">
        <color theme="4" tint="0.39994506668294322"/>
      </bottom>
      <diagonal/>
    </border>
    <border>
      <left style="thin">
        <color theme="4" tint="0.39994506668294322"/>
      </left>
      <right/>
      <top style="medium">
        <color theme="4"/>
      </top>
      <bottom/>
      <diagonal/>
    </border>
    <border>
      <left/>
      <right style="thin">
        <color theme="4" tint="0.39994506668294322"/>
      </right>
      <top style="medium">
        <color theme="4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/>
      <diagonal/>
    </border>
    <border>
      <left/>
      <right style="thin">
        <color theme="4" tint="0.39991454817346722"/>
      </right>
      <top/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double">
        <color theme="4" tint="0.399945066682943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double">
        <color theme="4" tint="0.39994506668294322"/>
      </bottom>
      <diagonal/>
    </border>
    <border>
      <left style="thin">
        <color theme="4" tint="0.39991454817346722"/>
      </left>
      <right/>
      <top/>
      <bottom style="double">
        <color theme="4" tint="0.39994506668294322"/>
      </bottom>
      <diagonal/>
    </border>
    <border>
      <left/>
      <right/>
      <top/>
      <bottom style="double">
        <color theme="4" tint="0.39994506668294322"/>
      </bottom>
      <diagonal/>
    </border>
    <border>
      <left/>
      <right style="thin">
        <color theme="4" tint="0.39991454817346722"/>
      </right>
      <top/>
      <bottom style="double">
        <color theme="4" tint="0.39994506668294322"/>
      </bottom>
      <diagonal/>
    </border>
    <border>
      <left style="thin">
        <color theme="4" tint="0.39991454817346722"/>
      </left>
      <right/>
      <top/>
      <bottom style="thin">
        <color theme="4" tint="0.39988402966399123"/>
      </bottom>
      <diagonal/>
    </border>
    <border>
      <left/>
      <right/>
      <top/>
      <bottom style="thin">
        <color theme="4" tint="0.39988402966399123"/>
      </bottom>
      <diagonal/>
    </border>
    <border>
      <left/>
      <right style="thin">
        <color theme="4" tint="0.39991454817346722"/>
      </right>
      <top/>
      <bottom style="thin">
        <color theme="4" tint="0.39988402966399123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1" fillId="0" borderId="4" applyNumberFormat="0" applyFill="0" applyAlignment="0" applyProtection="0"/>
    <xf numFmtId="0" fontId="12" fillId="5" borderId="5" applyNumberFormat="0" applyAlignment="0" applyProtection="0"/>
    <xf numFmtId="0" fontId="13" fillId="6" borderId="5" applyNumberFormat="0" applyAlignment="0" applyProtection="0"/>
    <xf numFmtId="0" fontId="1" fillId="7" borderId="0" applyNumberFormat="0" applyBorder="0" applyAlignment="0" applyProtection="0"/>
    <xf numFmtId="0" fontId="14" fillId="0" borderId="0"/>
    <xf numFmtId="0" fontId="1" fillId="0" borderId="0"/>
    <xf numFmtId="0" fontId="18" fillId="10" borderId="0">
      <alignment vertical="top" wrapText="1"/>
    </xf>
    <xf numFmtId="0" fontId="20" fillId="10" borderId="0">
      <alignment vertical="top" wrapText="1"/>
    </xf>
  </cellStyleXfs>
  <cellXfs count="163">
    <xf numFmtId="0" fontId="0" fillId="0" borderId="0" xfId="0"/>
    <xf numFmtId="0" fontId="8" fillId="0" borderId="0" xfId="0" applyFont="1" applyFill="1" applyBorder="1" applyAlignment="1"/>
    <xf numFmtId="0" fontId="9" fillId="0" borderId="0" xfId="4" applyFont="1" applyFill="1" applyBorder="1" applyAlignment="1"/>
    <xf numFmtId="0" fontId="0" fillId="0" borderId="0" xfId="0" applyFont="1" applyAlignment="1"/>
    <xf numFmtId="164" fontId="0" fillId="0" borderId="0" xfId="1" applyNumberFormat="1" applyFont="1" applyAlignment="1"/>
    <xf numFmtId="164" fontId="0" fillId="0" borderId="0" xfId="1" applyNumberFormat="1" applyFont="1" applyBorder="1" applyAlignment="1"/>
    <xf numFmtId="0" fontId="0" fillId="0" borderId="0" xfId="0" applyFont="1" applyFill="1" applyAlignment="1"/>
    <xf numFmtId="164" fontId="0" fillId="0" borderId="0" xfId="1" applyNumberFormat="1" applyFont="1" applyFill="1" applyAlignment="1"/>
    <xf numFmtId="6" fontId="0" fillId="0" borderId="0" xfId="0" applyNumberFormat="1" applyFont="1" applyFill="1" applyAlignment="1"/>
    <xf numFmtId="0" fontId="0" fillId="0" borderId="0" xfId="0" applyFont="1" applyFill="1" applyBorder="1" applyAlignment="1"/>
    <xf numFmtId="164" fontId="5" fillId="0" borderId="0" xfId="1" applyNumberFormat="1" applyFont="1" applyFill="1" applyBorder="1" applyAlignment="1"/>
    <xf numFmtId="0" fontId="1" fillId="0" borderId="3" xfId="8" applyFont="1" applyAlignment="1"/>
    <xf numFmtId="165" fontId="1" fillId="0" borderId="3" xfId="8" applyNumberFormat="1" applyFont="1" applyAlignment="1"/>
    <xf numFmtId="0" fontId="1" fillId="0" borderId="0" xfId="0" applyFont="1" applyAlignment="1"/>
    <xf numFmtId="164" fontId="1" fillId="0" borderId="0" xfId="1" applyNumberFormat="1" applyFont="1" applyFill="1" applyBorder="1" applyAlignment="1"/>
    <xf numFmtId="6" fontId="0" fillId="0" borderId="0" xfId="0" applyNumberFormat="1" applyFont="1" applyFill="1" applyBorder="1" applyAlignment="1"/>
    <xf numFmtId="0" fontId="0" fillId="0" borderId="0" xfId="0" applyFont="1" applyBorder="1" applyAlignment="1"/>
    <xf numFmtId="164" fontId="1" fillId="0" borderId="0" xfId="1" applyNumberFormat="1" applyFont="1" applyBorder="1" applyAlignment="1"/>
    <xf numFmtId="164" fontId="0" fillId="0" borderId="0" xfId="1" applyNumberFormat="1" applyFont="1" applyFill="1" applyBorder="1"/>
    <xf numFmtId="164" fontId="0" fillId="0" borderId="0" xfId="1" applyNumberFormat="1" applyFont="1"/>
    <xf numFmtId="0" fontId="0" fillId="0" borderId="0" xfId="0" applyBorder="1"/>
    <xf numFmtId="0" fontId="7" fillId="0" borderId="0" xfId="6" applyFont="1" applyBorder="1" applyAlignment="1">
      <alignment horizontal="center"/>
    </xf>
    <xf numFmtId="0" fontId="0" fillId="0" borderId="0" xfId="0" applyFill="1" applyBorder="1"/>
    <xf numFmtId="166" fontId="0" fillId="0" borderId="0" xfId="0" applyNumberFormat="1"/>
    <xf numFmtId="165" fontId="0" fillId="8" borderId="6" xfId="2" applyNumberFormat="1" applyFont="1" applyFill="1" applyBorder="1"/>
    <xf numFmtId="0" fontId="3" fillId="0" borderId="1" xfId="5" applyAlignment="1">
      <alignment horizontal="left"/>
    </xf>
    <xf numFmtId="0" fontId="0" fillId="0" borderId="7" xfId="0" applyBorder="1"/>
    <xf numFmtId="164" fontId="0" fillId="8" borderId="6" xfId="1" applyNumberFormat="1" applyFont="1" applyFill="1" applyBorder="1" applyAlignment="1">
      <alignment horizontal="center" vertical="center" wrapText="1"/>
    </xf>
    <xf numFmtId="0" fontId="15" fillId="9" borderId="8" xfId="15" applyFont="1" applyFill="1" applyBorder="1" applyAlignment="1">
      <alignment vertical="center"/>
    </xf>
    <xf numFmtId="0" fontId="17" fillId="9" borderId="9" xfId="15" applyFont="1" applyFill="1" applyBorder="1" applyAlignment="1">
      <alignment horizontal="left"/>
    </xf>
    <xf numFmtId="0" fontId="14" fillId="0" borderId="0" xfId="15" applyFill="1"/>
    <xf numFmtId="0" fontId="17" fillId="0" borderId="0" xfId="15" applyFont="1" applyFill="1" applyBorder="1" applyAlignment="1">
      <alignment vertical="center"/>
    </xf>
    <xf numFmtId="0" fontId="1" fillId="0" borderId="0" xfId="16"/>
    <xf numFmtId="0" fontId="17" fillId="10" borderId="10" xfId="15" applyFont="1" applyFill="1" applyBorder="1" applyAlignment="1">
      <alignment horizontal="left"/>
    </xf>
    <xf numFmtId="0" fontId="17" fillId="10" borderId="0" xfId="15" applyFont="1" applyFill="1" applyBorder="1" applyAlignment="1">
      <alignment horizontal="left"/>
    </xf>
    <xf numFmtId="0" fontId="18" fillId="10" borderId="0" xfId="17" applyBorder="1" applyAlignment="1">
      <alignment horizontal="left" vertical="top" wrapText="1"/>
    </xf>
    <xf numFmtId="0" fontId="19" fillId="10" borderId="10" xfId="15" applyFont="1" applyFill="1" applyBorder="1" applyAlignment="1">
      <alignment horizontal="left" wrapText="1"/>
    </xf>
    <xf numFmtId="0" fontId="14" fillId="0" borderId="0" xfId="15" applyFill="1" applyAlignment="1">
      <alignment wrapText="1"/>
    </xf>
    <xf numFmtId="0" fontId="21" fillId="10" borderId="0" xfId="18" applyFont="1" applyBorder="1" applyAlignment="1">
      <alignment horizontal="left" vertical="top" wrapText="1"/>
    </xf>
    <xf numFmtId="0" fontId="17" fillId="10" borderId="0" xfId="15" applyFont="1" applyFill="1" applyBorder="1" applyAlignment="1">
      <alignment horizontal="right"/>
    </xf>
    <xf numFmtId="0" fontId="22" fillId="11" borderId="11" xfId="15" applyFont="1" applyFill="1" applyBorder="1" applyAlignment="1">
      <alignment horizontal="left"/>
    </xf>
    <xf numFmtId="0" fontId="0" fillId="12" borderId="14" xfId="0" applyFont="1" applyFill="1" applyBorder="1" applyAlignment="1"/>
    <xf numFmtId="165" fontId="0" fillId="12" borderId="14" xfId="1" applyNumberFormat="1" applyFont="1" applyFill="1" applyBorder="1" applyAlignment="1"/>
    <xf numFmtId="164" fontId="1" fillId="0" borderId="0" xfId="10" applyNumberFormat="1" applyFill="1" applyBorder="1" applyAlignment="1"/>
    <xf numFmtId="0" fontId="0" fillId="12" borderId="15" xfId="0" applyFont="1" applyFill="1" applyBorder="1" applyAlignment="1"/>
    <xf numFmtId="165" fontId="0" fillId="12" borderId="15" xfId="1" applyNumberFormat="1" applyFont="1" applyFill="1" applyBorder="1" applyAlignment="1"/>
    <xf numFmtId="0" fontId="0" fillId="4" borderId="16" xfId="0" applyFont="1" applyFill="1" applyBorder="1" applyAlignment="1"/>
    <xf numFmtId="165" fontId="0" fillId="4" borderId="16" xfId="0" applyNumberFormat="1" applyFont="1" applyFill="1" applyBorder="1" applyAlignment="1"/>
    <xf numFmtId="164" fontId="0" fillId="0" borderId="0" xfId="1" applyNumberFormat="1" applyFont="1" applyFill="1" applyBorder="1" applyAlignment="1"/>
    <xf numFmtId="0" fontId="1" fillId="7" borderId="0" xfId="14" applyBorder="1" applyAlignment="1">
      <alignment horizontal="left" vertical="top" wrapText="1"/>
    </xf>
    <xf numFmtId="0" fontId="1" fillId="7" borderId="0" xfId="14" applyBorder="1" applyAlignment="1">
      <alignment horizontal="center"/>
    </xf>
    <xf numFmtId="10" fontId="10" fillId="0" borderId="0" xfId="3" applyNumberFormat="1" applyFont="1" applyFill="1" applyBorder="1" applyAlignment="1"/>
    <xf numFmtId="0" fontId="10" fillId="0" borderId="0" xfId="0" applyFont="1" applyFill="1" applyBorder="1" applyAlignment="1">
      <alignment horizontal="right"/>
    </xf>
    <xf numFmtId="0" fontId="1" fillId="7" borderId="20" xfId="14" applyBorder="1" applyAlignment="1">
      <alignment horizontal="left" vertical="top" wrapText="1"/>
    </xf>
    <xf numFmtId="165" fontId="7" fillId="0" borderId="19" xfId="12" applyNumberFormat="1" applyFont="1" applyFill="1" applyBorder="1"/>
    <xf numFmtId="165" fontId="7" fillId="0" borderId="0" xfId="2" applyNumberFormat="1" applyFont="1" applyFill="1" applyBorder="1"/>
    <xf numFmtId="164" fontId="7" fillId="0" borderId="0" xfId="1" applyNumberFormat="1" applyFont="1" applyFill="1" applyBorder="1"/>
    <xf numFmtId="165" fontId="7" fillId="0" borderId="19" xfId="2" applyNumberFormat="1" applyFont="1" applyFill="1" applyBorder="1"/>
    <xf numFmtId="10" fontId="7" fillId="0" borderId="0" xfId="12" applyNumberFormat="1" applyFont="1" applyFill="1" applyBorder="1"/>
    <xf numFmtId="165" fontId="7" fillId="0" borderId="0" xfId="13" applyNumberFormat="1" applyFont="1" applyFill="1" applyBorder="1"/>
    <xf numFmtId="167" fontId="7" fillId="0" borderId="0" xfId="12" applyNumberFormat="1" applyFont="1" applyFill="1" applyBorder="1"/>
    <xf numFmtId="0" fontId="1" fillId="7" borderId="6" xfId="14" applyBorder="1" applyAlignment="1">
      <alignment horizontal="center" vertical="center" wrapText="1"/>
    </xf>
    <xf numFmtId="165" fontId="1" fillId="7" borderId="6" xfId="14" applyNumberForma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5" fillId="0" borderId="2" xfId="6" applyFont="1" applyAlignment="1">
      <alignment horizontal="center" vertical="center"/>
    </xf>
    <xf numFmtId="0" fontId="26" fillId="0" borderId="1" xfId="5" applyFont="1" applyAlignment="1">
      <alignment horizontal="left" vertical="center"/>
    </xf>
    <xf numFmtId="44" fontId="7" fillId="0" borderId="19" xfId="2" applyFont="1" applyFill="1" applyBorder="1"/>
    <xf numFmtId="10" fontId="7" fillId="0" borderId="19" xfId="12" applyNumberFormat="1" applyFont="1" applyFill="1" applyBorder="1"/>
    <xf numFmtId="10" fontId="7" fillId="0" borderId="0" xfId="13" applyNumberFormat="1" applyFont="1" applyFill="1" applyBorder="1"/>
    <xf numFmtId="44" fontId="7" fillId="0" borderId="0" xfId="13" applyNumberFormat="1" applyFont="1" applyFill="1" applyBorder="1"/>
    <xf numFmtId="0" fontId="27" fillId="0" borderId="0" xfId="13" applyFont="1" applyFill="1" applyBorder="1" applyAlignment="1">
      <alignment horizontal="center"/>
    </xf>
    <xf numFmtId="0" fontId="26" fillId="0" borderId="0" xfId="5" applyFont="1" applyBorder="1" applyAlignment="1">
      <alignment horizontal="left" vertical="center"/>
    </xf>
    <xf numFmtId="0" fontId="0" fillId="8" borderId="21" xfId="0" applyFill="1" applyBorder="1" applyAlignment="1">
      <alignment horizontal="center" vertical="center" wrapText="1"/>
    </xf>
    <xf numFmtId="0" fontId="7" fillId="0" borderId="0" xfId="7" applyFont="1" applyBorder="1" applyAlignment="1">
      <alignment horizontal="center"/>
    </xf>
    <xf numFmtId="0" fontId="1" fillId="7" borderId="23" xfId="14" applyBorder="1" applyAlignment="1">
      <alignment horizontal="center" vertical="center"/>
    </xf>
    <xf numFmtId="0" fontId="1" fillId="7" borderId="26" xfId="14" applyBorder="1" applyAlignment="1">
      <alignment horizontal="center" vertical="center"/>
    </xf>
    <xf numFmtId="0" fontId="0" fillId="0" borderId="27" xfId="0" applyBorder="1" applyAlignment="1">
      <alignment horizontal="right" indent="1"/>
    </xf>
    <xf numFmtId="0" fontId="7" fillId="0" borderId="23" xfId="9" applyFont="1" applyFill="1" applyBorder="1" applyAlignment="1">
      <alignment horizontal="right" indent="1"/>
    </xf>
    <xf numFmtId="6" fontId="0" fillId="0" borderId="23" xfId="0" applyNumberFormat="1" applyBorder="1"/>
    <xf numFmtId="0" fontId="7" fillId="0" borderId="24" xfId="9" applyFont="1" applyFill="1" applyBorder="1" applyAlignment="1">
      <alignment horizontal="right" indent="1"/>
    </xf>
    <xf numFmtId="6" fontId="0" fillId="0" borderId="24" xfId="0" applyNumberFormat="1" applyBorder="1"/>
    <xf numFmtId="6" fontId="1" fillId="7" borderId="23" xfId="14" applyNumberFormat="1" applyBorder="1"/>
    <xf numFmtId="6" fontId="1" fillId="7" borderId="24" xfId="14" applyNumberFormat="1" applyBorder="1"/>
    <xf numFmtId="6" fontId="1" fillId="7" borderId="27" xfId="14" applyNumberFormat="1" applyBorder="1"/>
    <xf numFmtId="165" fontId="0" fillId="0" borderId="28" xfId="1" applyNumberFormat="1" applyFont="1" applyBorder="1"/>
    <xf numFmtId="165" fontId="1" fillId="0" borderId="28" xfId="10" applyNumberFormat="1" applyFill="1" applyBorder="1"/>
    <xf numFmtId="0" fontId="1" fillId="7" borderId="29" xfId="14" applyBorder="1" applyAlignment="1">
      <alignment horizontal="left" vertical="top" wrapText="1"/>
    </xf>
    <xf numFmtId="44" fontId="0" fillId="0" borderId="29" xfId="0" applyNumberFormat="1" applyFont="1" applyBorder="1"/>
    <xf numFmtId="165" fontId="1" fillId="0" borderId="29" xfId="10" applyNumberFormat="1" applyFill="1" applyBorder="1"/>
    <xf numFmtId="164" fontId="0" fillId="0" borderId="29" xfId="1" applyNumberFormat="1" applyFont="1" applyBorder="1" applyAlignment="1"/>
    <xf numFmtId="43" fontId="1" fillId="0" borderId="29" xfId="10" applyNumberFormat="1" applyFill="1" applyBorder="1"/>
    <xf numFmtId="164" fontId="0" fillId="0" borderId="29" xfId="1" applyNumberFormat="1" applyFont="1" applyFill="1" applyBorder="1"/>
    <xf numFmtId="10" fontId="0" fillId="0" borderId="29" xfId="0" applyNumberFormat="1" applyFont="1" applyBorder="1"/>
    <xf numFmtId="10" fontId="1" fillId="0" borderId="29" xfId="3" applyNumberFormat="1" applyFont="1" applyBorder="1"/>
    <xf numFmtId="165" fontId="0" fillId="0" borderId="29" xfId="0" applyNumberFormat="1" applyFont="1" applyBorder="1"/>
    <xf numFmtId="0" fontId="0" fillId="7" borderId="30" xfId="14" applyFont="1" applyBorder="1" applyAlignment="1">
      <alignment horizontal="center" vertical="top" wrapText="1"/>
    </xf>
    <xf numFmtId="0" fontId="1" fillId="7" borderId="30" xfId="14" applyBorder="1" applyAlignment="1">
      <alignment horizontal="center" vertical="top" wrapText="1"/>
    </xf>
    <xf numFmtId="6" fontId="0" fillId="0" borderId="14" xfId="0" applyNumberFormat="1" applyFill="1" applyBorder="1"/>
    <xf numFmtId="10" fontId="0" fillId="0" borderId="14" xfId="0" applyNumberFormat="1" applyBorder="1"/>
    <xf numFmtId="0" fontId="0" fillId="0" borderId="14" xfId="0" applyBorder="1"/>
    <xf numFmtId="10" fontId="0" fillId="0" borderId="14" xfId="3" applyNumberFormat="1" applyFont="1" applyBorder="1"/>
    <xf numFmtId="6" fontId="7" fillId="0" borderId="14" xfId="0" applyNumberFormat="1" applyFont="1" applyFill="1" applyBorder="1"/>
    <xf numFmtId="165" fontId="1" fillId="7" borderId="6" xfId="14" applyNumberFormat="1" applyBorder="1" applyAlignment="1">
      <alignment horizontal="left" vertical="center"/>
    </xf>
    <xf numFmtId="165" fontId="1" fillId="7" borderId="6" xfId="14" applyNumberFormat="1" applyBorder="1" applyAlignment="1">
      <alignment vertical="center"/>
    </xf>
    <xf numFmtId="165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/>
    </xf>
    <xf numFmtId="164" fontId="1" fillId="4" borderId="31" xfId="8" applyNumberFormat="1" applyFont="1" applyFill="1" applyBorder="1" applyAlignment="1">
      <alignment vertical="center"/>
    </xf>
    <xf numFmtId="0" fontId="7" fillId="0" borderId="32" xfId="0" applyFont="1" applyFill="1" applyBorder="1" applyAlignment="1">
      <alignment horizontal="left" indent="1"/>
    </xf>
    <xf numFmtId="9" fontId="1" fillId="7" borderId="33" xfId="14" applyNumberFormat="1" applyBorder="1" applyAlignment="1">
      <alignment horizontal="center"/>
    </xf>
    <xf numFmtId="0" fontId="7" fillId="0" borderId="34" xfId="0" applyFont="1" applyFill="1" applyBorder="1" applyAlignment="1">
      <alignment horizontal="left" indent="1"/>
    </xf>
    <xf numFmtId="10" fontId="1" fillId="7" borderId="35" xfId="14" applyNumberFormat="1" applyBorder="1" applyAlignment="1">
      <alignment horizontal="center"/>
    </xf>
    <xf numFmtId="0" fontId="7" fillId="0" borderId="36" xfId="0" applyFont="1" applyFill="1" applyBorder="1" applyAlignment="1">
      <alignment horizontal="left" indent="1"/>
    </xf>
    <xf numFmtId="9" fontId="1" fillId="7" borderId="37" xfId="14" applyNumberFormat="1" applyBorder="1" applyAlignment="1">
      <alignment horizontal="center"/>
    </xf>
    <xf numFmtId="0" fontId="26" fillId="0" borderId="38" xfId="5" applyFont="1" applyBorder="1" applyAlignment="1">
      <alignment horizontal="left" vertical="center"/>
    </xf>
    <xf numFmtId="0" fontId="1" fillId="7" borderId="39" xfId="14" applyBorder="1" applyAlignment="1">
      <alignment horizontal="center"/>
    </xf>
    <xf numFmtId="0" fontId="1" fillId="7" borderId="40" xfId="14" applyBorder="1" applyAlignment="1">
      <alignment horizontal="center"/>
    </xf>
    <xf numFmtId="0" fontId="0" fillId="0" borderId="41" xfId="0" applyFont="1" applyFill="1" applyBorder="1" applyAlignment="1">
      <alignment vertical="center"/>
    </xf>
    <xf numFmtId="165" fontId="1" fillId="0" borderId="42" xfId="1" applyNumberFormat="1" applyFont="1" applyFill="1" applyBorder="1" applyAlignment="1">
      <alignment vertical="center"/>
    </xf>
    <xf numFmtId="164" fontId="1" fillId="0" borderId="42" xfId="1" applyNumberFormat="1" applyFont="1" applyFill="1" applyBorder="1" applyAlignment="1">
      <alignment vertical="center"/>
    </xf>
    <xf numFmtId="0" fontId="0" fillId="4" borderId="43" xfId="8" applyFont="1" applyFill="1" applyBorder="1" applyAlignment="1">
      <alignment vertical="center"/>
    </xf>
    <xf numFmtId="164" fontId="1" fillId="4" borderId="44" xfId="8" applyNumberFormat="1" applyFont="1" applyFill="1" applyBorder="1" applyAlignment="1">
      <alignment vertical="center"/>
    </xf>
    <xf numFmtId="0" fontId="0" fillId="0" borderId="41" xfId="0" applyFont="1" applyFill="1" applyBorder="1" applyAlignment="1">
      <alignment vertical="center" wrapText="1"/>
    </xf>
    <xf numFmtId="0" fontId="0" fillId="4" borderId="43" xfId="0" applyFont="1" applyFill="1" applyBorder="1" applyAlignment="1">
      <alignment vertical="center"/>
    </xf>
    <xf numFmtId="164" fontId="1" fillId="4" borderId="31" xfId="1" applyNumberFormat="1" applyFont="1" applyFill="1" applyBorder="1" applyAlignment="1">
      <alignment vertical="center"/>
    </xf>
    <xf numFmtId="164" fontId="1" fillId="4" borderId="44" xfId="1" applyNumberFormat="1" applyFont="1" applyFill="1" applyBorder="1" applyAlignment="1">
      <alignment vertical="center"/>
    </xf>
    <xf numFmtId="0" fontId="0" fillId="4" borderId="45" xfId="0" applyFont="1" applyFill="1" applyBorder="1" applyAlignment="1"/>
    <xf numFmtId="164" fontId="1" fillId="4" borderId="46" xfId="1" applyNumberFormat="1" applyFont="1" applyFill="1" applyBorder="1" applyAlignment="1"/>
    <xf numFmtId="164" fontId="1" fillId="4" borderId="47" xfId="1" applyNumberFormat="1" applyFont="1" applyFill="1" applyBorder="1" applyAlignment="1"/>
    <xf numFmtId="0" fontId="0" fillId="0" borderId="38" xfId="0" applyFont="1" applyFill="1" applyBorder="1" applyAlignment="1"/>
    <xf numFmtId="164" fontId="1" fillId="0" borderId="39" xfId="1" applyNumberFormat="1" applyFont="1" applyFill="1" applyBorder="1" applyAlignment="1"/>
    <xf numFmtId="164" fontId="1" fillId="0" borderId="40" xfId="1" applyNumberFormat="1" applyFont="1" applyFill="1" applyBorder="1" applyAlignment="1"/>
    <xf numFmtId="0" fontId="1" fillId="7" borderId="48" xfId="14" applyBorder="1" applyAlignment="1">
      <alignment vertical="center"/>
    </xf>
    <xf numFmtId="165" fontId="1" fillId="7" borderId="49" xfId="14" applyNumberFormat="1" applyBorder="1" applyAlignment="1">
      <alignment vertical="center"/>
    </xf>
    <xf numFmtId="165" fontId="1" fillId="7" borderId="50" xfId="14" applyNumberFormat="1" applyBorder="1" applyAlignment="1">
      <alignment vertical="center"/>
    </xf>
    <xf numFmtId="165" fontId="1" fillId="7" borderId="52" xfId="14" applyNumberFormat="1" applyBorder="1"/>
    <xf numFmtId="165" fontId="1" fillId="7" borderId="35" xfId="14" applyNumberFormat="1" applyBorder="1"/>
    <xf numFmtId="0" fontId="1" fillId="7" borderId="37" xfId="14" applyBorder="1"/>
    <xf numFmtId="0" fontId="0" fillId="0" borderId="0" xfId="9" applyFont="1" applyFill="1" applyBorder="1"/>
    <xf numFmtId="0" fontId="0" fillId="0" borderId="53" xfId="0" applyBorder="1"/>
    <xf numFmtId="0" fontId="0" fillId="4" borderId="18" xfId="8" applyFont="1" applyFill="1" applyBorder="1"/>
    <xf numFmtId="165" fontId="1" fillId="4" borderId="18" xfId="8" applyNumberFormat="1" applyFont="1" applyFill="1" applyBorder="1"/>
    <xf numFmtId="0" fontId="0" fillId="0" borderId="51" xfId="9" applyFont="1" applyFill="1" applyBorder="1" applyAlignment="1">
      <alignment horizontal="left" indent="1"/>
    </xf>
    <xf numFmtId="0" fontId="0" fillId="0" borderId="34" xfId="9" applyFont="1" applyFill="1" applyBorder="1" applyAlignment="1">
      <alignment horizontal="left" indent="1"/>
    </xf>
    <xf numFmtId="0" fontId="0" fillId="0" borderId="36" xfId="9" applyFont="1" applyFill="1" applyBorder="1" applyAlignment="1">
      <alignment horizontal="left" indent="1"/>
    </xf>
    <xf numFmtId="0" fontId="0" fillId="7" borderId="20" xfId="14" applyFont="1" applyBorder="1" applyAlignment="1">
      <alignment horizontal="center"/>
    </xf>
    <xf numFmtId="0" fontId="0" fillId="7" borderId="28" xfId="14" applyFont="1" applyBorder="1" applyAlignment="1">
      <alignment horizontal="left" vertical="top" wrapText="1"/>
    </xf>
    <xf numFmtId="0" fontId="0" fillId="7" borderId="29" xfId="14" applyFont="1" applyBorder="1" applyAlignment="1">
      <alignment horizontal="left" vertical="top" wrapText="1"/>
    </xf>
    <xf numFmtId="0" fontId="23" fillId="10" borderId="0" xfId="15" applyFont="1" applyFill="1" applyBorder="1" applyAlignment="1">
      <alignment horizontal="center" vertical="center" wrapText="1"/>
    </xf>
    <xf numFmtId="0" fontId="23" fillId="10" borderId="10" xfId="15" applyFont="1" applyFill="1" applyBorder="1" applyAlignment="1">
      <alignment horizontal="center" vertical="center" wrapText="1"/>
    </xf>
    <xf numFmtId="0" fontId="23" fillId="10" borderId="12" xfId="15" applyFont="1" applyFill="1" applyBorder="1" applyAlignment="1">
      <alignment horizontal="center" vertical="center" wrapText="1"/>
    </xf>
    <xf numFmtId="0" fontId="23" fillId="10" borderId="13" xfId="15" applyFont="1" applyFill="1" applyBorder="1" applyAlignment="1">
      <alignment horizontal="center" vertical="center" wrapText="1"/>
    </xf>
    <xf numFmtId="0" fontId="26" fillId="0" borderId="0" xfId="4" applyFont="1" applyFill="1" applyBorder="1" applyAlignment="1">
      <alignment horizontal="center"/>
    </xf>
    <xf numFmtId="0" fontId="24" fillId="0" borderId="4" xfId="11" applyFont="1" applyAlignment="1">
      <alignment horizontal="center" vertical="center" wrapText="1"/>
    </xf>
    <xf numFmtId="0" fontId="24" fillId="0" borderId="4" xfId="11" applyFont="1" applyAlignment="1">
      <alignment horizontal="center" vertical="center"/>
    </xf>
    <xf numFmtId="0" fontId="26" fillId="0" borderId="17" xfId="5" applyFont="1" applyBorder="1" applyAlignment="1">
      <alignment horizontal="center" vertical="center"/>
    </xf>
    <xf numFmtId="0" fontId="26" fillId="0" borderId="18" xfId="5" applyFont="1" applyBorder="1" applyAlignment="1">
      <alignment horizontal="center" vertical="center"/>
    </xf>
    <xf numFmtId="0" fontId="26" fillId="0" borderId="0" xfId="5" applyFont="1" applyBorder="1" applyAlignment="1">
      <alignment horizontal="center" vertical="center"/>
    </xf>
    <xf numFmtId="0" fontId="7" fillId="0" borderId="22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24" fillId="0" borderId="7" xfId="11" applyFont="1" applyBorder="1" applyAlignment="1">
      <alignment horizontal="center" vertical="center" wrapText="1"/>
    </xf>
    <xf numFmtId="0" fontId="26" fillId="0" borderId="0" xfId="5" applyFont="1" applyBorder="1" applyAlignment="1">
      <alignment horizontal="left" vertical="center"/>
    </xf>
    <xf numFmtId="0" fontId="26" fillId="0" borderId="1" xfId="5" applyFont="1" applyAlignment="1">
      <alignment horizontal="left" vertical="center"/>
    </xf>
    <xf numFmtId="0" fontId="7" fillId="0" borderId="53" xfId="7" applyFont="1" applyBorder="1" applyAlignment="1">
      <alignment horizontal="center"/>
    </xf>
  </cellXfs>
  <cellStyles count="19">
    <cellStyle name="20% - Accent2" xfId="14" builtinId="34"/>
    <cellStyle name="20% - Accent3" xfId="9" builtinId="38"/>
    <cellStyle name="40% - Accent6" xfId="10" builtinId="51"/>
    <cellStyle name="Calculation" xfId="13" builtinId="22"/>
    <cellStyle name="Comma" xfId="1" builtinId="3"/>
    <cellStyle name="Currency" xfId="2" builtinId="4"/>
    <cellStyle name="Heading 1" xfId="11" builtinId="16"/>
    <cellStyle name="Heading 2" xfId="5" builtinId="17"/>
    <cellStyle name="Heading 3" xfId="6" builtinId="18"/>
    <cellStyle name="Heading 4" xfId="7" builtinId="19"/>
    <cellStyle name="Input" xfId="12" builtinId="20"/>
    <cellStyle name="Normal" xfId="0" builtinId="0"/>
    <cellStyle name="Normal 2 2" xfId="15" xr:uid="{00000000-0005-0000-0000-00000C000000}"/>
    <cellStyle name="Normal 2 3" xfId="16" xr:uid="{00000000-0005-0000-0000-00000D000000}"/>
    <cellStyle name="Percent" xfId="3" builtinId="5"/>
    <cellStyle name="Student Name" xfId="17" xr:uid="{00000000-0005-0000-0000-00000F000000}"/>
    <cellStyle name="Submission" xfId="18" xr:uid="{00000000-0005-0000-0000-000010000000}"/>
    <cellStyle name="Title" xfId="4" builtinId="15"/>
    <cellStyle name="Total" xfId="8" builtinId="25"/>
  </cellStyles>
  <dxfs count="1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4627245</xdr:colOff>
      <xdr:row>0</xdr:row>
      <xdr:rowOff>9525</xdr:rowOff>
    </xdr:from>
    <xdr:to>
      <xdr:col>2</xdr:col>
      <xdr:colOff>270943</xdr:colOff>
      <xdr:row>1</xdr:row>
      <xdr:rowOff>11450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4470" y="9525"/>
          <a:ext cx="1787323" cy="41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683172</xdr:colOff>
      <xdr:row>0</xdr:row>
      <xdr:rowOff>685799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3172" cy="685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1581</xdr:colOff>
      <xdr:row>0</xdr:row>
      <xdr:rowOff>0</xdr:rowOff>
    </xdr:from>
    <xdr:to>
      <xdr:col>0</xdr:col>
      <xdr:colOff>681590</xdr:colOff>
      <xdr:row>0</xdr:row>
      <xdr:rowOff>682625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" y="0"/>
          <a:ext cx="680009" cy="682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1581</xdr:colOff>
      <xdr:row>0</xdr:row>
      <xdr:rowOff>0</xdr:rowOff>
    </xdr:from>
    <xdr:to>
      <xdr:col>0</xdr:col>
      <xdr:colOff>681590</xdr:colOff>
      <xdr:row>0</xdr:row>
      <xdr:rowOff>682625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" y="0"/>
          <a:ext cx="680009" cy="682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1581</xdr:colOff>
      <xdr:row>0</xdr:row>
      <xdr:rowOff>0</xdr:rowOff>
    </xdr:from>
    <xdr:to>
      <xdr:col>0</xdr:col>
      <xdr:colOff>681590</xdr:colOff>
      <xdr:row>0</xdr:row>
      <xdr:rowOff>682625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" y="0"/>
          <a:ext cx="680009" cy="682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1581</xdr:colOff>
      <xdr:row>0</xdr:row>
      <xdr:rowOff>0</xdr:rowOff>
    </xdr:from>
    <xdr:to>
      <xdr:col>0</xdr:col>
      <xdr:colOff>681590</xdr:colOff>
      <xdr:row>0</xdr:row>
      <xdr:rowOff>682625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" y="0"/>
          <a:ext cx="680009" cy="68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showGridLines="0" zoomScaleNormal="100" workbookViewId="0">
      <selection activeCell="B5" sqref="B5"/>
    </sheetView>
  </sheetViews>
  <sheetFormatPr defaultColWidth="7.625" defaultRowHeight="12.75" x14ac:dyDescent="0.2"/>
  <cols>
    <col min="1" max="1" width="8.625" style="30" customWidth="1"/>
    <col min="2" max="2" width="80.625" style="30" customWidth="1"/>
    <col min="3" max="3" width="3.625" style="30" customWidth="1"/>
    <col min="4" max="16384" width="7.625" style="30"/>
  </cols>
  <sheetData>
    <row r="1" spans="1:3" ht="32.25" customHeight="1" x14ac:dyDescent="0.25">
      <c r="A1" s="28"/>
      <c r="B1" s="28" t="s">
        <v>32</v>
      </c>
      <c r="C1" s="29"/>
    </row>
    <row r="2" spans="1:3" ht="5.0999999999999996" customHeight="1" x14ac:dyDescent="0.35">
      <c r="A2" s="31"/>
      <c r="B2" s="32"/>
      <c r="C2" s="33"/>
    </row>
    <row r="3" spans="1:3" s="37" customFormat="1" ht="34.5" x14ac:dyDescent="0.25">
      <c r="A3" s="34"/>
      <c r="B3" s="35" t="s">
        <v>33</v>
      </c>
      <c r="C3" s="36"/>
    </row>
    <row r="4" spans="1:3" ht="16.5" x14ac:dyDescent="0.25">
      <c r="A4" s="34"/>
      <c r="B4" s="38" t="s">
        <v>28</v>
      </c>
      <c r="C4" s="33"/>
    </row>
    <row r="5" spans="1:3" ht="15.75" customHeight="1" x14ac:dyDescent="0.25">
      <c r="A5" s="34"/>
      <c r="B5" s="34"/>
      <c r="C5" s="33"/>
    </row>
    <row r="6" spans="1:3" ht="13.5" x14ac:dyDescent="0.25">
      <c r="A6" s="39" t="s">
        <v>29</v>
      </c>
      <c r="B6" s="40" t="s">
        <v>30</v>
      </c>
      <c r="C6" s="33"/>
    </row>
    <row r="7" spans="1:3" ht="13.5" x14ac:dyDescent="0.25">
      <c r="A7" s="34"/>
      <c r="B7" s="34"/>
      <c r="C7" s="33"/>
    </row>
    <row r="8" spans="1:3" x14ac:dyDescent="0.2">
      <c r="A8" s="147" t="s">
        <v>31</v>
      </c>
      <c r="B8" s="147"/>
      <c r="C8" s="148"/>
    </row>
    <row r="9" spans="1:3" x14ac:dyDescent="0.2">
      <c r="A9" s="147"/>
      <c r="B9" s="147"/>
      <c r="C9" s="148"/>
    </row>
    <row r="10" spans="1:3" ht="13.5" thickBot="1" x14ac:dyDescent="0.25">
      <c r="A10" s="149"/>
      <c r="B10" s="149"/>
      <c r="C10" s="150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allowBlank="1" error="pavI8MeUFtEyxX2I4tky20e93262-0f54-4867-b72b-7ee35b46fae7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H141"/>
  <sheetViews>
    <sheetView topLeftCell="A2" zoomScale="90" zoomScaleNormal="90" workbookViewId="0">
      <selection activeCell="H5" sqref="H5"/>
    </sheetView>
  </sheetViews>
  <sheetFormatPr defaultColWidth="9.125" defaultRowHeight="17.25" x14ac:dyDescent="0.35"/>
  <cols>
    <col min="1" max="1" width="41.5" style="13" customWidth="1"/>
    <col min="2" max="2" width="13.25" style="13" customWidth="1"/>
    <col min="3" max="3" width="3.75" style="13" customWidth="1"/>
    <col min="4" max="4" width="21.875" style="13" bestFit="1" customWidth="1"/>
    <col min="5" max="5" width="14" style="13" bestFit="1" customWidth="1"/>
    <col min="6" max="6" width="10.5" style="13" bestFit="1" customWidth="1"/>
    <col min="7" max="7" width="9.5" style="13" bestFit="1" customWidth="1"/>
    <col min="8" max="8" width="11.125" style="13" bestFit="1" customWidth="1"/>
    <col min="9" max="16384" width="9.125" style="13"/>
  </cols>
  <sheetData>
    <row r="1" spans="1:8" s="1" customFormat="1" ht="54.75" customHeight="1" thickBot="1" x14ac:dyDescent="0.4">
      <c r="A1" s="152" t="s">
        <v>55</v>
      </c>
      <c r="B1" s="153"/>
      <c r="D1" s="52" t="s">
        <v>60</v>
      </c>
      <c r="E1" s="51">
        <v>5.6000000000000001E-2</v>
      </c>
    </row>
    <row r="2" spans="1:8" s="3" customFormat="1" ht="18" customHeight="1" thickTop="1" x14ac:dyDescent="0.35">
      <c r="A2" s="154" t="s">
        <v>9</v>
      </c>
      <c r="B2" s="154"/>
      <c r="D2" s="49"/>
      <c r="E2" s="50" t="s">
        <v>58</v>
      </c>
      <c r="F2" s="50" t="s">
        <v>24</v>
      </c>
      <c r="G2" s="50" t="s">
        <v>21</v>
      </c>
      <c r="H2" s="50" t="s">
        <v>59</v>
      </c>
    </row>
    <row r="3" spans="1:8" s="3" customFormat="1" ht="18.2" customHeight="1" thickBot="1" x14ac:dyDescent="0.4">
      <c r="A3" s="3" t="s">
        <v>34</v>
      </c>
      <c r="B3" s="4">
        <v>320000</v>
      </c>
      <c r="D3" s="53"/>
      <c r="E3" s="144" t="s">
        <v>98</v>
      </c>
      <c r="F3" s="144" t="s">
        <v>99</v>
      </c>
      <c r="G3" s="144" t="s">
        <v>100</v>
      </c>
      <c r="H3" s="144" t="s">
        <v>101</v>
      </c>
    </row>
    <row r="4" spans="1:8" s="3" customFormat="1" ht="18.2" customHeight="1" x14ac:dyDescent="0.35">
      <c r="A4" s="3" t="s">
        <v>37</v>
      </c>
      <c r="B4" s="4">
        <v>150000</v>
      </c>
      <c r="D4" s="145" t="s">
        <v>102</v>
      </c>
      <c r="E4" s="84">
        <v>490000</v>
      </c>
      <c r="F4" s="84">
        <v>490000</v>
      </c>
      <c r="G4" s="84">
        <v>490000</v>
      </c>
      <c r="H4" s="85">
        <f>PV(H10,H8,H11)</f>
        <v>457037.31926970114</v>
      </c>
    </row>
    <row r="5" spans="1:8" s="3" customFormat="1" ht="18.2" customHeight="1" x14ac:dyDescent="0.35">
      <c r="A5" s="16" t="s">
        <v>35</v>
      </c>
      <c r="B5" s="5">
        <v>20000</v>
      </c>
      <c r="D5" s="146" t="s">
        <v>103</v>
      </c>
      <c r="E5" s="87">
        <v>0</v>
      </c>
      <c r="F5" s="88">
        <f>FV(F10,F8,F11,F4)</f>
        <v>-57483.171840779833</v>
      </c>
      <c r="G5" s="87">
        <v>0</v>
      </c>
      <c r="H5" s="87">
        <v>0</v>
      </c>
    </row>
    <row r="6" spans="1:8" s="3" customFormat="1" ht="18.2" customHeight="1" x14ac:dyDescent="0.35">
      <c r="A6" s="41" t="s">
        <v>36</v>
      </c>
      <c r="B6" s="42">
        <f>SUM(B3:B5)</f>
        <v>490000</v>
      </c>
      <c r="D6" s="86" t="s">
        <v>16</v>
      </c>
      <c r="E6" s="89">
        <v>10</v>
      </c>
      <c r="F6" s="89">
        <v>10</v>
      </c>
      <c r="G6" s="90">
        <f>G8/G7</f>
        <v>10.991587974920067</v>
      </c>
      <c r="H6" s="89">
        <v>10</v>
      </c>
    </row>
    <row r="7" spans="1:8" s="3" customFormat="1" ht="18.2" customHeight="1" x14ac:dyDescent="0.35">
      <c r="A7" s="155" t="s">
        <v>14</v>
      </c>
      <c r="B7" s="155"/>
      <c r="D7" s="86" t="s">
        <v>56</v>
      </c>
      <c r="E7" s="91">
        <v>4</v>
      </c>
      <c r="F7" s="91">
        <v>4</v>
      </c>
      <c r="G7" s="91">
        <v>4</v>
      </c>
      <c r="H7" s="91">
        <v>4</v>
      </c>
    </row>
    <row r="8" spans="1:8" s="3" customFormat="1" ht="18.2" customHeight="1" x14ac:dyDescent="0.35">
      <c r="A8" s="3" t="s">
        <v>0</v>
      </c>
      <c r="B8" s="4">
        <v>35000</v>
      </c>
      <c r="D8" s="146" t="s">
        <v>104</v>
      </c>
      <c r="E8" s="91">
        <f>E6*E7</f>
        <v>40</v>
      </c>
      <c r="F8" s="91">
        <f>F6*F7</f>
        <v>40</v>
      </c>
      <c r="G8" s="90">
        <f>NPER(G10,G11,G4,G5)</f>
        <v>43.966351899680269</v>
      </c>
      <c r="H8" s="91">
        <f>H6*H7</f>
        <v>40</v>
      </c>
    </row>
    <row r="9" spans="1:8" s="3" customFormat="1" ht="18.2" customHeight="1" x14ac:dyDescent="0.35">
      <c r="A9" s="3" t="s">
        <v>42</v>
      </c>
      <c r="B9" s="4">
        <v>112000</v>
      </c>
      <c r="D9" s="86" t="s">
        <v>57</v>
      </c>
      <c r="E9" s="92">
        <f>$E$1</f>
        <v>5.6000000000000001E-2</v>
      </c>
      <c r="F9" s="92">
        <f t="shared" ref="F9:H9" si="0">$E$1</f>
        <v>5.6000000000000001E-2</v>
      </c>
      <c r="G9" s="92">
        <f t="shared" si="0"/>
        <v>5.6000000000000001E-2</v>
      </c>
      <c r="H9" s="92">
        <f t="shared" si="0"/>
        <v>5.6000000000000001E-2</v>
      </c>
    </row>
    <row r="10" spans="1:8" s="3" customFormat="1" ht="18.2" customHeight="1" x14ac:dyDescent="0.35">
      <c r="A10" s="3" t="s">
        <v>39</v>
      </c>
      <c r="B10" s="5">
        <v>80000</v>
      </c>
      <c r="D10" s="146" t="s">
        <v>105</v>
      </c>
      <c r="E10" s="93">
        <f>E9/E7</f>
        <v>1.4E-2</v>
      </c>
      <c r="F10" s="93">
        <f>F9/F7</f>
        <v>1.4E-2</v>
      </c>
      <c r="G10" s="93">
        <f>G9/G7</f>
        <v>1.4E-2</v>
      </c>
      <c r="H10" s="93">
        <f>H9/H7</f>
        <v>1.4E-2</v>
      </c>
    </row>
    <row r="11" spans="1:8" s="3" customFormat="1" ht="18.2" customHeight="1" x14ac:dyDescent="0.35">
      <c r="A11" s="16" t="s">
        <v>41</v>
      </c>
      <c r="B11" s="43">
        <v>115000</v>
      </c>
      <c r="D11" s="146" t="s">
        <v>106</v>
      </c>
      <c r="E11" s="88">
        <f>PMT(E10,E8,E4)</f>
        <v>-16081.837718951652</v>
      </c>
      <c r="F11" s="94">
        <v>-15000</v>
      </c>
      <c r="G11" s="94">
        <v>-15000</v>
      </c>
      <c r="H11" s="94">
        <v>-15000</v>
      </c>
    </row>
    <row r="12" spans="1:8" s="3" customFormat="1" ht="18.2" customHeight="1" x14ac:dyDescent="0.35">
      <c r="A12" s="44" t="s">
        <v>38</v>
      </c>
      <c r="B12" s="45">
        <f>SUM(B8:B11)</f>
        <v>342000</v>
      </c>
    </row>
    <row r="13" spans="1:8" s="3" customFormat="1" ht="18.2" customHeight="1" thickBot="1" x14ac:dyDescent="0.4">
      <c r="A13" s="46" t="s">
        <v>40</v>
      </c>
      <c r="B13" s="47">
        <f>B6+B12</f>
        <v>832000</v>
      </c>
    </row>
    <row r="14" spans="1:8" s="3" customFormat="1" ht="20.25" thickTop="1" x14ac:dyDescent="0.35">
      <c r="A14" s="156" t="s">
        <v>43</v>
      </c>
      <c r="B14" s="156"/>
    </row>
    <row r="15" spans="1:8" s="3" customFormat="1" x14ac:dyDescent="0.35">
      <c r="A15" s="3" t="s">
        <v>44</v>
      </c>
      <c r="B15" s="43">
        <v>490000</v>
      </c>
    </row>
    <row r="16" spans="1:8" s="3" customFormat="1" x14ac:dyDescent="0.35">
      <c r="A16" s="16" t="s">
        <v>45</v>
      </c>
      <c r="B16" s="5">
        <v>0</v>
      </c>
    </row>
    <row r="17" spans="1:2" s="3" customFormat="1" x14ac:dyDescent="0.35">
      <c r="A17" s="41" t="s">
        <v>46</v>
      </c>
      <c r="B17" s="42">
        <f>SUM(B15:B16)</f>
        <v>490000</v>
      </c>
    </row>
    <row r="18" spans="1:2" s="3" customFormat="1" ht="19.5" x14ac:dyDescent="0.35">
      <c r="A18" s="155" t="s">
        <v>47</v>
      </c>
      <c r="B18" s="155"/>
    </row>
    <row r="19" spans="1:2" s="3" customFormat="1" x14ac:dyDescent="0.35">
      <c r="A19" s="3" t="s">
        <v>1</v>
      </c>
      <c r="B19" s="4">
        <v>210000</v>
      </c>
    </row>
    <row r="20" spans="1:2" s="3" customFormat="1" x14ac:dyDescent="0.35">
      <c r="A20" s="16" t="s">
        <v>48</v>
      </c>
      <c r="B20" s="5">
        <v>25000</v>
      </c>
    </row>
    <row r="21" spans="1:2" s="3" customFormat="1" x14ac:dyDescent="0.35">
      <c r="A21" s="41" t="s">
        <v>49</v>
      </c>
      <c r="B21" s="42">
        <f>SUM(B19:B20)</f>
        <v>235000</v>
      </c>
    </row>
    <row r="22" spans="1:2" s="6" customFormat="1" x14ac:dyDescent="0.35">
      <c r="B22" s="8"/>
    </row>
    <row r="23" spans="1:2" s="6" customFormat="1" ht="19.5" x14ac:dyDescent="0.4">
      <c r="A23" s="151" t="s">
        <v>50</v>
      </c>
      <c r="B23" s="151"/>
    </row>
    <row r="24" spans="1:2" s="6" customFormat="1" x14ac:dyDescent="0.35">
      <c r="A24" s="6" t="s">
        <v>51</v>
      </c>
      <c r="B24" s="7">
        <f>B21</f>
        <v>235000</v>
      </c>
    </row>
    <row r="25" spans="1:2" s="6" customFormat="1" x14ac:dyDescent="0.35">
      <c r="A25" s="9" t="s">
        <v>52</v>
      </c>
      <c r="B25" s="10">
        <f>-B6</f>
        <v>-490000</v>
      </c>
    </row>
    <row r="26" spans="1:2" s="6" customFormat="1" x14ac:dyDescent="0.35">
      <c r="A26" s="9" t="s">
        <v>53</v>
      </c>
      <c r="B26" s="48">
        <f>B24+B25</f>
        <v>-255000</v>
      </c>
    </row>
    <row r="27" spans="1:2" s="6" customFormat="1" x14ac:dyDescent="0.35">
      <c r="A27" s="41" t="s">
        <v>54</v>
      </c>
      <c r="B27" s="42">
        <f>B17+B26</f>
        <v>235000</v>
      </c>
    </row>
    <row r="28" spans="1:2" s="3" customFormat="1" x14ac:dyDescent="0.35"/>
    <row r="29" spans="1:2" s="3" customFormat="1" ht="18" thickBot="1" x14ac:dyDescent="0.4">
      <c r="A29" s="11" t="s">
        <v>2</v>
      </c>
      <c r="B29" s="12">
        <f>B17+B21</f>
        <v>725000</v>
      </c>
    </row>
    <row r="30" spans="1:2" s="3" customFormat="1" ht="18" thickTop="1" x14ac:dyDescent="0.35"/>
    <row r="31" spans="1:2" s="3" customFormat="1" x14ac:dyDescent="0.35"/>
    <row r="32" spans="1:2" s="3" customFormat="1" x14ac:dyDescent="0.35"/>
    <row r="33" s="3" customFormat="1" x14ac:dyDescent="0.35"/>
    <row r="34" s="3" customFormat="1" x14ac:dyDescent="0.35"/>
    <row r="35" s="3" customFormat="1" x14ac:dyDescent="0.35"/>
    <row r="36" s="3" customFormat="1" x14ac:dyDescent="0.35"/>
    <row r="37" s="3" customFormat="1" x14ac:dyDescent="0.35"/>
    <row r="38" s="3" customFormat="1" x14ac:dyDescent="0.35"/>
    <row r="39" s="3" customFormat="1" x14ac:dyDescent="0.35"/>
    <row r="40" s="3" customFormat="1" x14ac:dyDescent="0.35"/>
    <row r="41" s="3" customFormat="1" x14ac:dyDescent="0.35"/>
    <row r="42" s="3" customFormat="1" x14ac:dyDescent="0.35"/>
    <row r="43" s="3" customFormat="1" x14ac:dyDescent="0.35"/>
    <row r="44" s="3" customFormat="1" x14ac:dyDescent="0.35"/>
    <row r="45" s="3" customFormat="1" x14ac:dyDescent="0.35"/>
    <row r="46" s="3" customFormat="1" x14ac:dyDescent="0.35"/>
    <row r="47" s="3" customFormat="1" x14ac:dyDescent="0.35"/>
    <row r="48" s="3" customFormat="1" x14ac:dyDescent="0.35"/>
    <row r="49" s="3" customFormat="1" x14ac:dyDescent="0.35"/>
    <row r="50" s="3" customFormat="1" x14ac:dyDescent="0.35"/>
    <row r="51" s="3" customFormat="1" x14ac:dyDescent="0.35"/>
    <row r="52" s="3" customFormat="1" x14ac:dyDescent="0.35"/>
    <row r="53" s="3" customFormat="1" x14ac:dyDescent="0.35"/>
    <row r="54" s="3" customFormat="1" x14ac:dyDescent="0.35"/>
    <row r="55" s="3" customFormat="1" x14ac:dyDescent="0.35"/>
    <row r="56" s="3" customFormat="1" x14ac:dyDescent="0.35"/>
    <row r="57" s="3" customFormat="1" x14ac:dyDescent="0.35"/>
    <row r="58" s="3" customFormat="1" x14ac:dyDescent="0.35"/>
    <row r="59" s="3" customFormat="1" x14ac:dyDescent="0.35"/>
    <row r="60" s="3" customFormat="1" x14ac:dyDescent="0.35"/>
    <row r="61" s="3" customFormat="1" x14ac:dyDescent="0.35"/>
    <row r="62" s="3" customFormat="1" x14ac:dyDescent="0.35"/>
    <row r="63" s="3" customFormat="1" x14ac:dyDescent="0.35"/>
    <row r="64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</sheetData>
  <mergeCells count="6">
    <mergeCell ref="A23:B23"/>
    <mergeCell ref="A1:B1"/>
    <mergeCell ref="A2:B2"/>
    <mergeCell ref="A7:B7"/>
    <mergeCell ref="A14:B14"/>
    <mergeCell ref="A18:B18"/>
  </mergeCells>
  <conditionalFormatting sqref="B25">
    <cfRule type="cellIs" dxfId="14" priority="14" operator="lessThan">
      <formula>0</formula>
    </cfRule>
  </conditionalFormatting>
  <conditionalFormatting sqref="H11">
    <cfRule type="cellIs" dxfId="13" priority="1" operator="lessThan">
      <formula>0</formula>
    </cfRule>
  </conditionalFormatting>
  <conditionalFormatting sqref="E5:F5 E10:F11 E6:E8 G7:G8 E4:G4">
    <cfRule type="cellIs" dxfId="12" priority="13" operator="lessThan">
      <formula>0</formula>
    </cfRule>
  </conditionalFormatting>
  <conditionalFormatting sqref="G6">
    <cfRule type="cellIs" dxfId="11" priority="12" operator="lessThan">
      <formula>0</formula>
    </cfRule>
  </conditionalFormatting>
  <conditionalFormatting sqref="G5">
    <cfRule type="cellIs" dxfId="10" priority="11" operator="lessThan">
      <formula>0</formula>
    </cfRule>
  </conditionalFormatting>
  <conditionalFormatting sqref="F6:F8">
    <cfRule type="cellIs" dxfId="9" priority="10" operator="lessThan">
      <formula>0</formula>
    </cfRule>
  </conditionalFormatting>
  <conditionalFormatting sqref="G10">
    <cfRule type="cellIs" dxfId="8" priority="8" operator="lessThan">
      <formula>0</formula>
    </cfRule>
  </conditionalFormatting>
  <conditionalFormatting sqref="H4:H8">
    <cfRule type="cellIs" dxfId="7" priority="7" operator="lessThan">
      <formula>0</formula>
    </cfRule>
  </conditionalFormatting>
  <conditionalFormatting sqref="H10">
    <cfRule type="cellIs" dxfId="6" priority="6" operator="lessThan">
      <formula>0</formula>
    </cfRule>
  </conditionalFormatting>
  <conditionalFormatting sqref="G7">
    <cfRule type="cellIs" dxfId="5" priority="5" operator="lessThan">
      <formula>0</formula>
    </cfRule>
  </conditionalFormatting>
  <conditionalFormatting sqref="G6">
    <cfRule type="cellIs" dxfId="4" priority="4" operator="lessThan">
      <formula>0</formula>
    </cfRule>
  </conditionalFormatting>
  <conditionalFormatting sqref="G5">
    <cfRule type="cellIs" dxfId="3" priority="3" operator="lessThan">
      <formula>0</formula>
    </cfRule>
  </conditionalFormatting>
  <conditionalFormatting sqref="G11">
    <cfRule type="cellIs" dxfId="2" priority="2" operator="lessThan">
      <formula>0</formula>
    </cfRule>
  </conditionalFormatting>
  <dataValidations count="1">
    <dataValidation allowBlank="1" error="pavI8MeUFtEyxX2I4tky20e93262-0f54-4867-b72b-7ee35b46fae7" sqref="A1:H141" xr:uid="{00000000-0002-0000-0100-000000000000}"/>
  </dataValidations>
  <pageMargins left="0.7" right="0.7" top="0.75" bottom="0.75" header="0.3" footer="0.3"/>
  <pageSetup orientation="portrait" r:id="rId1"/>
  <headerFooter>
    <oddFooter>&amp;R&amp;F &amp;A 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G11"/>
  <sheetViews>
    <sheetView zoomScale="110" zoomScaleNormal="110" workbookViewId="0">
      <selection activeCell="G11" sqref="G11"/>
    </sheetView>
  </sheetViews>
  <sheetFormatPr defaultRowHeight="17.25" x14ac:dyDescent="0.35"/>
  <cols>
    <col min="1" max="1" width="17.125" bestFit="1" customWidth="1"/>
    <col min="2" max="7" width="11.625" customWidth="1"/>
    <col min="8" max="8" width="10.75" customWidth="1"/>
    <col min="9" max="9" width="10.5" customWidth="1"/>
  </cols>
  <sheetData>
    <row r="1" spans="1:7" ht="57.75" customHeight="1" thickBot="1" x14ac:dyDescent="0.4">
      <c r="A1" s="159" t="s">
        <v>61</v>
      </c>
      <c r="B1" s="159"/>
      <c r="C1" s="159"/>
      <c r="D1" s="159"/>
      <c r="E1" s="159"/>
      <c r="F1" s="159"/>
      <c r="G1" s="159"/>
    </row>
    <row r="2" spans="1:7" ht="51.75" x14ac:dyDescent="0.35">
      <c r="A2" s="95" t="s">
        <v>107</v>
      </c>
      <c r="B2" s="95" t="s">
        <v>63</v>
      </c>
      <c r="C2" s="95" t="s">
        <v>64</v>
      </c>
      <c r="D2" s="95" t="s">
        <v>108</v>
      </c>
      <c r="E2" s="96" t="s">
        <v>16</v>
      </c>
      <c r="F2" s="95" t="s">
        <v>109</v>
      </c>
      <c r="G2" s="95" t="s">
        <v>110</v>
      </c>
    </row>
    <row r="3" spans="1:7" ht="15.75" customHeight="1" x14ac:dyDescent="0.35">
      <c r="A3" s="97">
        <f>'Business Plan'!B15</f>
        <v>490000</v>
      </c>
      <c r="B3" s="98">
        <v>5.6000000000000001E-2</v>
      </c>
      <c r="C3" s="99">
        <v>4</v>
      </c>
      <c r="D3" s="100">
        <f>B3/4</f>
        <v>1.4E-2</v>
      </c>
      <c r="E3" s="99">
        <v>10</v>
      </c>
      <c r="F3" s="99">
        <f>C3*E3</f>
        <v>40</v>
      </c>
      <c r="G3" s="101">
        <f>PMT(D3,F3,A3)</f>
        <v>-16081.837718951652</v>
      </c>
    </row>
    <row r="4" spans="1:7" ht="15.75" customHeight="1" x14ac:dyDescent="0.35"/>
    <row r="5" spans="1:7" ht="19.5" x14ac:dyDescent="0.35">
      <c r="A5" s="160" t="s">
        <v>18</v>
      </c>
      <c r="B5" s="160"/>
      <c r="C5" s="160"/>
      <c r="D5" s="160"/>
      <c r="E5" s="160"/>
      <c r="F5" s="160"/>
    </row>
    <row r="6" spans="1:7" x14ac:dyDescent="0.35">
      <c r="A6" s="20"/>
      <c r="B6" s="73" t="s">
        <v>4</v>
      </c>
      <c r="C6" s="73" t="s">
        <v>5</v>
      </c>
      <c r="D6" s="73" t="s">
        <v>6</v>
      </c>
      <c r="E6" s="73" t="s">
        <v>7</v>
      </c>
      <c r="F6" s="73" t="s">
        <v>8</v>
      </c>
    </row>
    <row r="7" spans="1:7" ht="24" customHeight="1" x14ac:dyDescent="0.35">
      <c r="A7" s="157" t="s">
        <v>19</v>
      </c>
      <c r="B7" s="74">
        <v>1</v>
      </c>
      <c r="C7" s="74">
        <v>5</v>
      </c>
      <c r="D7" s="74">
        <v>9</v>
      </c>
      <c r="E7" s="74">
        <v>13</v>
      </c>
      <c r="F7" s="74">
        <v>17</v>
      </c>
    </row>
    <row r="8" spans="1:7" ht="24" customHeight="1" x14ac:dyDescent="0.35">
      <c r="A8" s="158"/>
      <c r="B8" s="75">
        <v>4</v>
      </c>
      <c r="C8" s="75">
        <v>8</v>
      </c>
      <c r="D8" s="75">
        <v>12</v>
      </c>
      <c r="E8" s="75">
        <v>16</v>
      </c>
      <c r="F8" s="75">
        <v>20</v>
      </c>
      <c r="G8" s="21" t="s">
        <v>20</v>
      </c>
    </row>
    <row r="9" spans="1:7" x14ac:dyDescent="0.35">
      <c r="A9" s="77" t="s">
        <v>111</v>
      </c>
      <c r="B9" s="78">
        <f>CUMPRINC($D$3,$F$3,$A$3,B7,B8,0)</f>
        <v>-37669.240469692908</v>
      </c>
      <c r="C9" s="78">
        <f t="shared" ref="C9:F9" si="0">CUMPRINC($D$3,$F$3,$A$3,C7,C8,0)</f>
        <v>-39823.431867473009</v>
      </c>
      <c r="D9" s="78">
        <f t="shared" si="0"/>
        <v>-42100.81503977278</v>
      </c>
      <c r="E9" s="78">
        <f t="shared" si="0"/>
        <v>-44508.434956377605</v>
      </c>
      <c r="F9" s="78">
        <f t="shared" si="0"/>
        <v>-47053.739467861582</v>
      </c>
      <c r="G9" s="81">
        <f>SUM(B9:F9)</f>
        <v>-211155.66180117789</v>
      </c>
    </row>
    <row r="10" spans="1:7" x14ac:dyDescent="0.35">
      <c r="A10" s="79" t="s">
        <v>112</v>
      </c>
      <c r="B10" s="80">
        <f>CUMIPMT($D$3,$F$3,$A$3,B7,B8,0)</f>
        <v>-26658.110406113701</v>
      </c>
      <c r="C10" s="80">
        <f t="shared" ref="C10:F10" si="1">CUMIPMT($D$3,$F$3,$A$3,C7,C8,0)</f>
        <v>-24503.9190083336</v>
      </c>
      <c r="D10" s="80">
        <f t="shared" si="1"/>
        <v>-22226.535836033829</v>
      </c>
      <c r="E10" s="80">
        <f t="shared" si="1"/>
        <v>-19818.915919429004</v>
      </c>
      <c r="F10" s="80">
        <f t="shared" si="1"/>
        <v>-17273.611407945027</v>
      </c>
      <c r="G10" s="82">
        <f>SUM(B10:F10)</f>
        <v>-110481.09257785516</v>
      </c>
    </row>
    <row r="11" spans="1:7" x14ac:dyDescent="0.35">
      <c r="A11" s="76" t="s">
        <v>62</v>
      </c>
      <c r="B11" s="83">
        <f>A3+B9</f>
        <v>452330.75953030708</v>
      </c>
      <c r="C11" s="83">
        <f>B11+C9</f>
        <v>412507.32766283408</v>
      </c>
      <c r="D11" s="83">
        <f t="shared" ref="D11:F11" si="2">C11+D9</f>
        <v>370406.51262306131</v>
      </c>
      <c r="E11" s="83">
        <f t="shared" si="2"/>
        <v>325898.0776666837</v>
      </c>
      <c r="F11" s="83">
        <f t="shared" si="2"/>
        <v>278844.33819882211</v>
      </c>
      <c r="G11" s="22"/>
    </row>
  </sheetData>
  <mergeCells count="3">
    <mergeCell ref="A7:A8"/>
    <mergeCell ref="A1:G1"/>
    <mergeCell ref="A5:F5"/>
  </mergeCells>
  <conditionalFormatting sqref="B9:G10">
    <cfRule type="cellIs" dxfId="1" priority="8" operator="lessThan">
      <formula>0</formula>
    </cfRule>
  </conditionalFormatting>
  <conditionalFormatting sqref="G3">
    <cfRule type="cellIs" dxfId="0" priority="7" operator="lessThan">
      <formula>0</formula>
    </cfRule>
  </conditionalFormatting>
  <dataValidations count="1">
    <dataValidation allowBlank="1" error="pavI8MeUFtEyxX2I4tky20e93262-0f54-4867-b72b-7ee35b46fae7" sqref="A1:G11" xr:uid="{00000000-0002-0000-0200-000000000000}"/>
  </dataValidations>
  <pageMargins left="0.7" right="0.7" top="0.75" bottom="0.75" header="0.3" footer="0.3"/>
  <pageSetup scale="80" orientation="portrait" r:id="rId1"/>
  <headerFooter>
    <oddFooter>&amp;R&amp;F &amp;A 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40"/>
  <sheetViews>
    <sheetView zoomScale="80" zoomScaleNormal="80" workbookViewId="0">
      <selection activeCell="B22" sqref="B22"/>
    </sheetView>
  </sheetViews>
  <sheetFormatPr defaultRowHeight="17.25" x14ac:dyDescent="0.35"/>
  <cols>
    <col min="1" max="1" width="32.5" customWidth="1"/>
    <col min="2" max="2" width="15.25" customWidth="1"/>
    <col min="3" max="3" width="2.75" customWidth="1"/>
    <col min="4" max="4" width="19" customWidth="1"/>
    <col min="5" max="5" width="21.125" customWidth="1"/>
    <col min="6" max="6" width="19.125" customWidth="1"/>
    <col min="7" max="7" width="20.125" customWidth="1"/>
  </cols>
  <sheetData>
    <row r="1" spans="1:7" ht="57.75" customHeight="1" thickBot="1" x14ac:dyDescent="0.4">
      <c r="A1" s="159" t="s">
        <v>65</v>
      </c>
      <c r="B1" s="159"/>
      <c r="C1" s="159"/>
      <c r="D1" s="159"/>
      <c r="E1" s="159"/>
      <c r="F1" s="159"/>
      <c r="G1" s="159"/>
    </row>
    <row r="2" spans="1:7" ht="17.100000000000001" customHeight="1" thickBot="1" x14ac:dyDescent="0.4">
      <c r="A2" s="161" t="s">
        <v>118</v>
      </c>
      <c r="B2" s="161"/>
      <c r="C2" s="63"/>
      <c r="D2" s="64" t="s">
        <v>25</v>
      </c>
      <c r="E2" s="64" t="s">
        <v>26</v>
      </c>
      <c r="F2" s="64" t="s">
        <v>70</v>
      </c>
      <c r="G2" s="64" t="s">
        <v>71</v>
      </c>
    </row>
    <row r="3" spans="1:7" ht="17.100000000000001" customHeight="1" thickTop="1" thickBot="1" x14ac:dyDescent="0.4">
      <c r="A3" t="s">
        <v>119</v>
      </c>
      <c r="B3" s="54">
        <v>40000</v>
      </c>
      <c r="D3" s="61" t="s">
        <v>15</v>
      </c>
      <c r="E3" s="62">
        <f>B3</f>
        <v>40000</v>
      </c>
      <c r="F3" s="102">
        <f>-(B3+B8+B10)</f>
        <v>-42145</v>
      </c>
      <c r="G3" s="103">
        <f>-B14</f>
        <v>-4000</v>
      </c>
    </row>
    <row r="4" spans="1:7" ht="17.100000000000001" customHeight="1" x14ac:dyDescent="0.35">
      <c r="A4" t="s">
        <v>114</v>
      </c>
      <c r="B4" s="55">
        <v>18000</v>
      </c>
      <c r="D4">
        <v>1</v>
      </c>
      <c r="E4" s="19">
        <f>E3-DB($B$3,$B$4,$B$5,D4)</f>
        <v>39720</v>
      </c>
      <c r="F4" s="19">
        <v>0</v>
      </c>
      <c r="G4" s="19">
        <f>-$B$15</f>
        <v>-700</v>
      </c>
    </row>
    <row r="5" spans="1:7" ht="17.100000000000001" customHeight="1" x14ac:dyDescent="0.35">
      <c r="A5" t="s">
        <v>120</v>
      </c>
      <c r="B5" s="56">
        <v>120</v>
      </c>
      <c r="D5">
        <v>2</v>
      </c>
      <c r="E5" s="19">
        <f t="shared" ref="E5:E39" si="0">E4-DB($B$3,$B$4,$B$5,D5)</f>
        <v>39441.96</v>
      </c>
      <c r="F5" s="19">
        <v>0</v>
      </c>
      <c r="G5" s="19">
        <f t="shared" ref="G5:G39" si="1">-$B$15</f>
        <v>-700</v>
      </c>
    </row>
    <row r="6" spans="1:7" ht="17.100000000000001" customHeight="1" x14ac:dyDescent="0.35">
      <c r="D6">
        <v>3</v>
      </c>
      <c r="E6" s="19">
        <f t="shared" si="0"/>
        <v>39165.866280000002</v>
      </c>
      <c r="F6" s="19">
        <v>0</v>
      </c>
      <c r="G6" s="19">
        <f t="shared" si="1"/>
        <v>-700</v>
      </c>
    </row>
    <row r="7" spans="1:7" ht="17.100000000000001" customHeight="1" thickBot="1" x14ac:dyDescent="0.5">
      <c r="A7" s="65" t="s">
        <v>70</v>
      </c>
      <c r="B7" s="25"/>
      <c r="D7">
        <v>4</v>
      </c>
      <c r="E7" s="19">
        <f t="shared" si="0"/>
        <v>38891.705216040005</v>
      </c>
      <c r="F7" s="19">
        <v>0</v>
      </c>
      <c r="G7" s="19">
        <f t="shared" si="1"/>
        <v>-700</v>
      </c>
    </row>
    <row r="8" spans="1:7" ht="17.100000000000001" customHeight="1" thickTop="1" x14ac:dyDescent="0.35">
      <c r="A8" t="s">
        <v>66</v>
      </c>
      <c r="B8" s="57">
        <v>825</v>
      </c>
      <c r="D8">
        <v>5</v>
      </c>
      <c r="E8" s="19">
        <f t="shared" si="0"/>
        <v>38619.463279527728</v>
      </c>
      <c r="F8" s="19">
        <v>0</v>
      </c>
      <c r="G8" s="19">
        <f t="shared" si="1"/>
        <v>-700</v>
      </c>
    </row>
    <row r="9" spans="1:7" ht="17.100000000000001" customHeight="1" x14ac:dyDescent="0.35">
      <c r="A9" t="s">
        <v>67</v>
      </c>
      <c r="B9" s="58">
        <v>3.3000000000000002E-2</v>
      </c>
      <c r="D9">
        <v>6</v>
      </c>
      <c r="E9" s="19">
        <f t="shared" si="0"/>
        <v>38349.127036571037</v>
      </c>
      <c r="F9" s="19">
        <v>0</v>
      </c>
      <c r="G9" s="19">
        <f t="shared" si="1"/>
        <v>-700</v>
      </c>
    </row>
    <row r="10" spans="1:7" ht="17.100000000000001" customHeight="1" x14ac:dyDescent="0.35">
      <c r="A10" t="s">
        <v>68</v>
      </c>
      <c r="B10" s="59">
        <f>B3*B9</f>
        <v>1320</v>
      </c>
      <c r="D10">
        <v>7</v>
      </c>
      <c r="E10" s="19">
        <f t="shared" si="0"/>
        <v>38080.683147315038</v>
      </c>
      <c r="F10" s="19">
        <v>0</v>
      </c>
      <c r="G10" s="19">
        <f t="shared" si="1"/>
        <v>-700</v>
      </c>
    </row>
    <row r="11" spans="1:7" ht="17.100000000000001" customHeight="1" x14ac:dyDescent="0.35">
      <c r="A11" t="s">
        <v>69</v>
      </c>
      <c r="B11" s="60">
        <v>0.75</v>
      </c>
      <c r="D11">
        <v>8</v>
      </c>
      <c r="E11" s="19">
        <f t="shared" si="0"/>
        <v>37814.11836528383</v>
      </c>
      <c r="F11" s="19">
        <v>0</v>
      </c>
      <c r="G11" s="19">
        <f t="shared" si="1"/>
        <v>-700</v>
      </c>
    </row>
    <row r="12" spans="1:7" ht="17.100000000000001" customHeight="1" x14ac:dyDescent="0.35">
      <c r="D12">
        <v>9</v>
      </c>
      <c r="E12" s="19">
        <f t="shared" si="0"/>
        <v>37549.41953672684</v>
      </c>
      <c r="F12" s="19">
        <v>0</v>
      </c>
      <c r="G12" s="19">
        <f t="shared" si="1"/>
        <v>-700</v>
      </c>
    </row>
    <row r="13" spans="1:7" ht="17.100000000000001" customHeight="1" thickBot="1" x14ac:dyDescent="0.5">
      <c r="A13" s="65" t="s">
        <v>71</v>
      </c>
      <c r="B13" s="25"/>
      <c r="D13">
        <v>10</v>
      </c>
      <c r="E13" s="19">
        <f t="shared" si="0"/>
        <v>37286.57359996975</v>
      </c>
      <c r="F13" s="19">
        <v>0</v>
      </c>
      <c r="G13" s="19">
        <f t="shared" si="1"/>
        <v>-700</v>
      </c>
    </row>
    <row r="14" spans="1:7" ht="17.100000000000001" customHeight="1" thickTop="1" x14ac:dyDescent="0.35">
      <c r="A14" t="s">
        <v>72</v>
      </c>
      <c r="B14" s="66">
        <v>4000</v>
      </c>
      <c r="D14">
        <v>11</v>
      </c>
      <c r="E14" s="19">
        <f t="shared" si="0"/>
        <v>37025.56758476996</v>
      </c>
      <c r="F14" s="19">
        <v>0</v>
      </c>
      <c r="G14" s="19">
        <f t="shared" si="1"/>
        <v>-700</v>
      </c>
    </row>
    <row r="15" spans="1:7" ht="17.100000000000001" customHeight="1" thickBot="1" x14ac:dyDescent="0.4">
      <c r="A15" t="s">
        <v>73</v>
      </c>
      <c r="B15" s="55">
        <v>700</v>
      </c>
      <c r="D15" s="26">
        <v>12</v>
      </c>
      <c r="E15" s="19">
        <f t="shared" si="0"/>
        <v>36766.388611676572</v>
      </c>
      <c r="F15" s="19">
        <v>0</v>
      </c>
      <c r="G15" s="19">
        <f t="shared" si="1"/>
        <v>-700</v>
      </c>
    </row>
    <row r="16" spans="1:7" ht="17.100000000000001" customHeight="1" x14ac:dyDescent="0.35">
      <c r="D16">
        <v>13</v>
      </c>
      <c r="E16" s="19">
        <f t="shared" si="0"/>
        <v>36509.023891394834</v>
      </c>
      <c r="F16" s="19">
        <v>0</v>
      </c>
      <c r="G16" s="19">
        <f t="shared" si="1"/>
        <v>-700</v>
      </c>
    </row>
    <row r="17" spans="1:7" ht="17.100000000000001" customHeight="1" thickBot="1" x14ac:dyDescent="0.5">
      <c r="A17" s="65" t="s">
        <v>74</v>
      </c>
      <c r="B17" s="25"/>
      <c r="D17">
        <v>14</v>
      </c>
      <c r="E17" s="19">
        <f t="shared" si="0"/>
        <v>36253.460724155069</v>
      </c>
      <c r="F17" s="19">
        <v>0</v>
      </c>
      <c r="G17" s="19">
        <f t="shared" si="1"/>
        <v>-700</v>
      </c>
    </row>
    <row r="18" spans="1:7" ht="17.100000000000001" customHeight="1" thickTop="1" x14ac:dyDescent="0.35">
      <c r="A18" t="s">
        <v>75</v>
      </c>
      <c r="B18" s="67">
        <v>7.0000000000000007E-2</v>
      </c>
      <c r="D18">
        <v>15</v>
      </c>
      <c r="E18" s="19">
        <f t="shared" si="0"/>
        <v>35999.686499085983</v>
      </c>
      <c r="F18" s="19">
        <v>0</v>
      </c>
      <c r="G18" s="19">
        <f t="shared" si="1"/>
        <v>-700</v>
      </c>
    </row>
    <row r="19" spans="1:7" ht="17.100000000000001" customHeight="1" x14ac:dyDescent="0.35">
      <c r="A19" t="s">
        <v>76</v>
      </c>
      <c r="B19" s="68">
        <f>B18/12</f>
        <v>5.8333333333333336E-3</v>
      </c>
      <c r="D19">
        <v>16</v>
      </c>
      <c r="E19" s="19">
        <f t="shared" si="0"/>
        <v>35747.688693592383</v>
      </c>
      <c r="F19" s="19">
        <v>0</v>
      </c>
      <c r="G19" s="19">
        <f t="shared" si="1"/>
        <v>-700</v>
      </c>
    </row>
    <row r="20" spans="1:7" ht="17.100000000000001" customHeight="1" x14ac:dyDescent="0.35">
      <c r="A20" t="s">
        <v>77</v>
      </c>
      <c r="B20" s="69">
        <f>F3+NPV(B19,F4:F40)</f>
        <v>-23359.130083848406</v>
      </c>
      <c r="D20">
        <v>17</v>
      </c>
      <c r="E20" s="19">
        <f t="shared" si="0"/>
        <v>35497.454872737238</v>
      </c>
      <c r="F20" s="19">
        <v>0</v>
      </c>
      <c r="G20" s="19">
        <f t="shared" si="1"/>
        <v>-700</v>
      </c>
    </row>
    <row r="21" spans="1:7" ht="17.100000000000001" customHeight="1" x14ac:dyDescent="0.35">
      <c r="A21" t="s">
        <v>78</v>
      </c>
      <c r="B21" s="69">
        <f>G3+NPV(B19,G4:G40)</f>
        <v>-23445.024705741922</v>
      </c>
      <c r="D21">
        <v>18</v>
      </c>
      <c r="E21" s="19">
        <f t="shared" si="0"/>
        <v>35248.972688628077</v>
      </c>
      <c r="F21" s="19">
        <v>0</v>
      </c>
      <c r="G21" s="19">
        <f t="shared" si="1"/>
        <v>-700</v>
      </c>
    </row>
    <row r="22" spans="1:7" ht="17.100000000000001" customHeight="1" x14ac:dyDescent="0.35">
      <c r="A22" t="s">
        <v>79</v>
      </c>
      <c r="B22" s="70" t="str">
        <f>IF(B20&gt;B21,"BUY","LEASE")</f>
        <v>BUY</v>
      </c>
      <c r="D22">
        <v>19</v>
      </c>
      <c r="E22" s="19">
        <f t="shared" si="0"/>
        <v>35002.229879807681</v>
      </c>
      <c r="F22" s="19">
        <v>0</v>
      </c>
      <c r="G22" s="19">
        <f t="shared" si="1"/>
        <v>-700</v>
      </c>
    </row>
    <row r="23" spans="1:7" ht="17.100000000000001" customHeight="1" x14ac:dyDescent="0.35">
      <c r="D23">
        <v>20</v>
      </c>
      <c r="E23" s="19">
        <f t="shared" si="0"/>
        <v>34757.214270649027</v>
      </c>
      <c r="F23" s="19">
        <v>0</v>
      </c>
      <c r="G23" s="19">
        <f t="shared" si="1"/>
        <v>-700</v>
      </c>
    </row>
    <row r="24" spans="1:7" ht="17.100000000000001" customHeight="1" x14ac:dyDescent="0.35">
      <c r="D24">
        <v>21</v>
      </c>
      <c r="E24" s="19">
        <f t="shared" si="0"/>
        <v>34513.913770754487</v>
      </c>
      <c r="F24" s="19">
        <v>0</v>
      </c>
      <c r="G24" s="19">
        <f t="shared" si="1"/>
        <v>-700</v>
      </c>
    </row>
    <row r="25" spans="1:7" ht="17.100000000000001" customHeight="1" x14ac:dyDescent="0.35">
      <c r="D25">
        <v>22</v>
      </c>
      <c r="E25" s="19">
        <f t="shared" si="0"/>
        <v>34272.316374359209</v>
      </c>
      <c r="F25" s="19">
        <v>0</v>
      </c>
      <c r="G25" s="19">
        <f t="shared" si="1"/>
        <v>-700</v>
      </c>
    </row>
    <row r="26" spans="1:7" ht="17.100000000000001" customHeight="1" x14ac:dyDescent="0.35">
      <c r="D26">
        <v>23</v>
      </c>
      <c r="E26" s="19">
        <f t="shared" si="0"/>
        <v>34032.410159738691</v>
      </c>
      <c r="F26" s="19">
        <v>0</v>
      </c>
      <c r="G26" s="19">
        <f t="shared" si="1"/>
        <v>-700</v>
      </c>
    </row>
    <row r="27" spans="1:7" ht="17.100000000000001" customHeight="1" thickBot="1" x14ac:dyDescent="0.4">
      <c r="D27" s="26">
        <v>24</v>
      </c>
      <c r="E27" s="19">
        <f t="shared" si="0"/>
        <v>33794.183288620523</v>
      </c>
      <c r="F27" s="19">
        <v>0</v>
      </c>
      <c r="G27" s="19">
        <f t="shared" si="1"/>
        <v>-700</v>
      </c>
    </row>
    <row r="28" spans="1:7" ht="17.100000000000001" customHeight="1" x14ac:dyDescent="0.35">
      <c r="D28">
        <v>25</v>
      </c>
      <c r="E28" s="19">
        <f t="shared" si="0"/>
        <v>33557.624005600177</v>
      </c>
      <c r="F28" s="19">
        <v>0</v>
      </c>
      <c r="G28" s="19">
        <f t="shared" si="1"/>
        <v>-700</v>
      </c>
    </row>
    <row r="29" spans="1:7" ht="17.100000000000001" customHeight="1" x14ac:dyDescent="0.35">
      <c r="D29">
        <v>26</v>
      </c>
      <c r="E29" s="19">
        <f t="shared" si="0"/>
        <v>33322.720637560975</v>
      </c>
      <c r="F29" s="19">
        <v>0</v>
      </c>
      <c r="G29" s="19">
        <f t="shared" si="1"/>
        <v>-700</v>
      </c>
    </row>
    <row r="30" spans="1:7" ht="17.100000000000001" customHeight="1" x14ac:dyDescent="0.35">
      <c r="D30">
        <v>27</v>
      </c>
      <c r="E30" s="19">
        <f t="shared" si="0"/>
        <v>33089.461593098051</v>
      </c>
      <c r="F30" s="19">
        <v>0</v>
      </c>
      <c r="G30" s="19">
        <f t="shared" si="1"/>
        <v>-700</v>
      </c>
    </row>
    <row r="31" spans="1:7" ht="17.100000000000001" customHeight="1" x14ac:dyDescent="0.35">
      <c r="D31">
        <v>28</v>
      </c>
      <c r="E31" s="19">
        <f t="shared" si="0"/>
        <v>32857.835361946367</v>
      </c>
      <c r="F31" s="19">
        <v>0</v>
      </c>
      <c r="G31" s="19">
        <f t="shared" si="1"/>
        <v>-700</v>
      </c>
    </row>
    <row r="32" spans="1:7" ht="17.100000000000001" customHeight="1" x14ac:dyDescent="0.35">
      <c r="D32">
        <v>29</v>
      </c>
      <c r="E32" s="19">
        <f t="shared" si="0"/>
        <v>32627.830514412741</v>
      </c>
      <c r="F32" s="19">
        <v>0</v>
      </c>
      <c r="G32" s="19">
        <f t="shared" si="1"/>
        <v>-700</v>
      </c>
    </row>
    <row r="33" spans="4:7" ht="17.100000000000001" customHeight="1" x14ac:dyDescent="0.35">
      <c r="D33">
        <v>30</v>
      </c>
      <c r="E33" s="19">
        <f t="shared" si="0"/>
        <v>32399.435700811853</v>
      </c>
      <c r="F33" s="19">
        <v>0</v>
      </c>
      <c r="G33" s="19">
        <f t="shared" si="1"/>
        <v>-700</v>
      </c>
    </row>
    <row r="34" spans="4:7" ht="17.100000000000001" customHeight="1" x14ac:dyDescent="0.35">
      <c r="D34">
        <v>31</v>
      </c>
      <c r="E34" s="19">
        <f t="shared" si="0"/>
        <v>32172.639650906171</v>
      </c>
      <c r="F34" s="19">
        <v>0</v>
      </c>
      <c r="G34" s="19">
        <f>-$B$15</f>
        <v>-700</v>
      </c>
    </row>
    <row r="35" spans="4:7" ht="17.100000000000001" customHeight="1" x14ac:dyDescent="0.35">
      <c r="D35">
        <v>32</v>
      </c>
      <c r="E35" s="19">
        <f t="shared" si="0"/>
        <v>31947.431173349829</v>
      </c>
      <c r="F35" s="19">
        <v>0</v>
      </c>
      <c r="G35" s="19">
        <f t="shared" si="1"/>
        <v>-700</v>
      </c>
    </row>
    <row r="36" spans="4:7" ht="17.100000000000001" customHeight="1" x14ac:dyDescent="0.35">
      <c r="D36">
        <v>33</v>
      </c>
      <c r="E36" s="19">
        <f t="shared" si="0"/>
        <v>31723.799155136381</v>
      </c>
      <c r="F36" s="19">
        <v>0</v>
      </c>
      <c r="G36" s="19">
        <f t="shared" si="1"/>
        <v>-700</v>
      </c>
    </row>
    <row r="37" spans="4:7" ht="17.100000000000001" customHeight="1" x14ac:dyDescent="0.35">
      <c r="D37">
        <v>34</v>
      </c>
      <c r="E37" s="19">
        <f t="shared" si="0"/>
        <v>31501.732561050427</v>
      </c>
      <c r="F37" s="19">
        <v>0</v>
      </c>
      <c r="G37" s="19">
        <f t="shared" si="1"/>
        <v>-700</v>
      </c>
    </row>
    <row r="38" spans="4:7" ht="17.100000000000001" customHeight="1" x14ac:dyDescent="0.35">
      <c r="D38">
        <v>35</v>
      </c>
      <c r="E38" s="19">
        <f t="shared" si="0"/>
        <v>31281.220433123075</v>
      </c>
      <c r="F38" s="19">
        <v>0</v>
      </c>
      <c r="G38" s="19">
        <f t="shared" si="1"/>
        <v>-700</v>
      </c>
    </row>
    <row r="39" spans="4:7" ht="17.100000000000001" customHeight="1" thickBot="1" x14ac:dyDescent="0.4">
      <c r="D39" s="20">
        <v>36</v>
      </c>
      <c r="E39" s="19">
        <f t="shared" si="0"/>
        <v>31062.251890091215</v>
      </c>
      <c r="F39" s="19">
        <v>0</v>
      </c>
      <c r="G39" s="19">
        <f t="shared" si="1"/>
        <v>-700</v>
      </c>
    </row>
    <row r="40" spans="4:7" ht="17.100000000000001" customHeight="1" thickBot="1" x14ac:dyDescent="0.4">
      <c r="D40" s="72" t="s">
        <v>27</v>
      </c>
      <c r="E40" s="27"/>
      <c r="F40" s="24">
        <f>E39*B11</f>
        <v>23296.688917568412</v>
      </c>
      <c r="G40" s="24">
        <f>B14</f>
        <v>4000</v>
      </c>
    </row>
  </sheetData>
  <mergeCells count="2">
    <mergeCell ref="A2:B2"/>
    <mergeCell ref="A1:G1"/>
  </mergeCells>
  <dataValidations count="1">
    <dataValidation allowBlank="1" error="pavI8MeUFtEyxX2I4tky20e93262-0f54-4867-b72b-7ee35b46fae7" sqref="A1:G40" xr:uid="{00000000-0002-0000-0300-000000000000}"/>
  </dataValidations>
  <pageMargins left="0.7" right="0.7" top="0.75" bottom="0.75" header="0.3" footer="0.3"/>
  <pageSetup scale="74" orientation="portrait" r:id="rId1"/>
  <headerFooter>
    <oddFooter>&amp;R&amp;F &amp;A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18"/>
  <sheetViews>
    <sheetView zoomScaleNormal="100" workbookViewId="0">
      <selection activeCell="G17" sqref="G17"/>
    </sheetView>
  </sheetViews>
  <sheetFormatPr defaultRowHeight="17.25" x14ac:dyDescent="0.35"/>
  <cols>
    <col min="1" max="1" width="25.75" customWidth="1"/>
    <col min="2" max="2" width="15" customWidth="1"/>
    <col min="3" max="4" width="13.5" customWidth="1"/>
    <col min="5" max="5" width="12.125" customWidth="1"/>
    <col min="6" max="6" width="12.5" customWidth="1"/>
    <col min="7" max="7" width="14.125" customWidth="1"/>
    <col min="8" max="9" width="12.5" customWidth="1"/>
    <col min="10" max="10" width="14.875" customWidth="1"/>
  </cols>
  <sheetData>
    <row r="1" spans="1:6" ht="57.75" customHeight="1" thickBot="1" x14ac:dyDescent="0.4">
      <c r="A1" s="159" t="s">
        <v>94</v>
      </c>
      <c r="B1" s="159"/>
      <c r="C1" s="159"/>
      <c r="D1" s="159"/>
      <c r="E1" s="159"/>
      <c r="F1" s="159"/>
    </row>
    <row r="2" spans="1:6" ht="15" customHeight="1" x14ac:dyDescent="0.35">
      <c r="A2" s="2"/>
    </row>
    <row r="3" spans="1:6" x14ac:dyDescent="0.35">
      <c r="A3" s="141" t="s">
        <v>113</v>
      </c>
      <c r="B3" s="134">
        <f>'Business Plan'!B11</f>
        <v>115000</v>
      </c>
    </row>
    <row r="4" spans="1:6" x14ac:dyDescent="0.35">
      <c r="A4" s="142" t="s">
        <v>114</v>
      </c>
      <c r="B4" s="135">
        <v>15000</v>
      </c>
    </row>
    <row r="5" spans="1:6" x14ac:dyDescent="0.35">
      <c r="A5" s="143" t="s">
        <v>115</v>
      </c>
      <c r="B5" s="136">
        <v>10</v>
      </c>
    </row>
    <row r="6" spans="1:6" ht="18" thickBot="1" x14ac:dyDescent="0.4"/>
    <row r="7" spans="1:6" x14ac:dyDescent="0.35">
      <c r="A7" s="138"/>
      <c r="B7" s="162" t="s">
        <v>17</v>
      </c>
      <c r="C7" s="162"/>
      <c r="D7" s="162"/>
      <c r="E7" s="162"/>
      <c r="F7" s="162"/>
    </row>
    <row r="8" spans="1:6" ht="19.5" x14ac:dyDescent="0.35">
      <c r="A8" s="71" t="s">
        <v>116</v>
      </c>
      <c r="B8" s="50">
        <v>1</v>
      </c>
      <c r="C8" s="50">
        <v>2</v>
      </c>
      <c r="D8" s="50">
        <v>3</v>
      </c>
      <c r="E8" s="50">
        <v>4</v>
      </c>
      <c r="F8" s="50">
        <v>5</v>
      </c>
    </row>
    <row r="9" spans="1:6" x14ac:dyDescent="0.35">
      <c r="A9" s="137" t="s">
        <v>95</v>
      </c>
      <c r="B9" s="18">
        <f>SLN($B$3,$B$4,$B$5)</f>
        <v>10000</v>
      </c>
      <c r="C9" s="18">
        <f t="shared" ref="C9:F9" si="0">SLN($B$3,$B$4,$B$5)</f>
        <v>10000</v>
      </c>
      <c r="D9" s="18">
        <f t="shared" si="0"/>
        <v>10000</v>
      </c>
      <c r="E9" s="18">
        <f t="shared" si="0"/>
        <v>10000</v>
      </c>
      <c r="F9" s="18">
        <f t="shared" si="0"/>
        <v>10000</v>
      </c>
    </row>
    <row r="10" spans="1:6" x14ac:dyDescent="0.35">
      <c r="A10" s="137" t="s">
        <v>96</v>
      </c>
      <c r="B10" s="18">
        <f>B9</f>
        <v>10000</v>
      </c>
      <c r="C10" s="18">
        <f>B10+C9</f>
        <v>20000</v>
      </c>
      <c r="D10" s="18">
        <f t="shared" ref="D10:F10" si="1">C10+D9</f>
        <v>30000</v>
      </c>
      <c r="E10" s="18">
        <f t="shared" si="1"/>
        <v>40000</v>
      </c>
      <c r="F10" s="18">
        <f t="shared" si="1"/>
        <v>50000</v>
      </c>
    </row>
    <row r="11" spans="1:6" x14ac:dyDescent="0.35">
      <c r="A11" s="139" t="s">
        <v>97</v>
      </c>
      <c r="B11" s="140">
        <f>$B$3-B10</f>
        <v>105000</v>
      </c>
      <c r="C11" s="140">
        <f t="shared" ref="C11:F11" si="2">$B$3-C10</f>
        <v>95000</v>
      </c>
      <c r="D11" s="140">
        <f t="shared" si="2"/>
        <v>85000</v>
      </c>
      <c r="E11" s="140">
        <f t="shared" si="2"/>
        <v>75000</v>
      </c>
      <c r="F11" s="140">
        <f t="shared" si="2"/>
        <v>65000</v>
      </c>
    </row>
    <row r="12" spans="1:6" ht="18" thickBot="1" x14ac:dyDescent="0.4"/>
    <row r="13" spans="1:6" x14ac:dyDescent="0.35">
      <c r="A13" s="138"/>
      <c r="B13" s="162" t="s">
        <v>17</v>
      </c>
      <c r="C13" s="162"/>
      <c r="D13" s="162"/>
      <c r="E13" s="162"/>
      <c r="F13" s="162"/>
    </row>
    <row r="14" spans="1:6" ht="19.5" x14ac:dyDescent="0.35">
      <c r="A14" s="71" t="s">
        <v>117</v>
      </c>
      <c r="B14" s="50">
        <v>1</v>
      </c>
      <c r="C14" s="50">
        <v>2</v>
      </c>
      <c r="D14" s="50">
        <v>3</v>
      </c>
      <c r="E14" s="50">
        <v>4</v>
      </c>
      <c r="F14" s="50">
        <v>5</v>
      </c>
    </row>
    <row r="15" spans="1:6" x14ac:dyDescent="0.35">
      <c r="A15" s="137" t="s">
        <v>95</v>
      </c>
      <c r="B15" s="18">
        <f>DB($B$3,$B$4,$B$5,B14)</f>
        <v>21160</v>
      </c>
      <c r="C15" s="18">
        <f t="shared" ref="C15:F15" si="3">DB($B$3,$B$4,$B$5,C14)</f>
        <v>17266.560000000001</v>
      </c>
      <c r="D15" s="18">
        <f t="shared" si="3"/>
        <v>14089.51296</v>
      </c>
      <c r="E15" s="18">
        <f t="shared" si="3"/>
        <v>11497.042575360001</v>
      </c>
      <c r="F15" s="18">
        <f t="shared" si="3"/>
        <v>9381.5867414937602</v>
      </c>
    </row>
    <row r="16" spans="1:6" x14ac:dyDescent="0.35">
      <c r="A16" s="137" t="s">
        <v>96</v>
      </c>
      <c r="B16" s="18">
        <f>B15</f>
        <v>21160</v>
      </c>
      <c r="C16" s="18">
        <f>B16+C15</f>
        <v>38426.559999999998</v>
      </c>
      <c r="D16" s="18">
        <f t="shared" ref="D16" si="4">C16+D15</f>
        <v>52516.072959999998</v>
      </c>
      <c r="E16" s="18">
        <f t="shared" ref="E16" si="5">D16+E15</f>
        <v>64013.115535359997</v>
      </c>
      <c r="F16" s="18">
        <f t="shared" ref="F16" si="6">E16+F15</f>
        <v>73394.702276853757</v>
      </c>
    </row>
    <row r="17" spans="1:6" x14ac:dyDescent="0.35">
      <c r="A17" s="139" t="s">
        <v>97</v>
      </c>
      <c r="B17" s="140">
        <f>$B$3-B16</f>
        <v>93840</v>
      </c>
      <c r="C17" s="140">
        <f t="shared" ref="C17" si="7">$B$3-C16</f>
        <v>76573.440000000002</v>
      </c>
      <c r="D17" s="140">
        <f t="shared" ref="D17" si="8">$B$3-D16</f>
        <v>62483.927040000002</v>
      </c>
      <c r="E17" s="140">
        <f t="shared" ref="E17" si="9">$B$3-E16</f>
        <v>50986.884464640003</v>
      </c>
      <c r="F17" s="140">
        <f t="shared" ref="F17" si="10">$B$3-F16</f>
        <v>41605.297723146243</v>
      </c>
    </row>
    <row r="18" spans="1:6" x14ac:dyDescent="0.35">
      <c r="C18" s="23"/>
      <c r="D18" s="23"/>
      <c r="E18" s="23"/>
      <c r="F18" s="23"/>
    </row>
  </sheetData>
  <mergeCells count="3">
    <mergeCell ref="B7:F7"/>
    <mergeCell ref="B13:F13"/>
    <mergeCell ref="A1:F1"/>
  </mergeCells>
  <dataValidations count="1">
    <dataValidation allowBlank="1" error="pavI8MeUFtEyxX2I4tky20e93262-0f54-4867-b72b-7ee35b46fae7" sqref="A1:F18" xr:uid="{00000000-0002-0000-0400-000000000000}"/>
  </dataValidations>
  <pageMargins left="0.7" right="0.7" top="0.75" bottom="0.75" header="0.3" footer="0.3"/>
  <pageSetup scale="97" orientation="portrait" r:id="rId1"/>
  <headerFooter>
    <oddFooter>&amp;R&amp;F &amp;A 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G148"/>
  <sheetViews>
    <sheetView tabSelected="1" zoomScaleNormal="100" workbookViewId="0">
      <selection sqref="A1:F1"/>
    </sheetView>
  </sheetViews>
  <sheetFormatPr defaultColWidth="9.125" defaultRowHeight="17.25" x14ac:dyDescent="0.35"/>
  <cols>
    <col min="1" max="1" width="32.75" style="13" customWidth="1"/>
    <col min="2" max="6" width="14.125" style="13" customWidth="1"/>
    <col min="7" max="7" width="12.75" style="13" customWidth="1"/>
    <col min="8" max="9" width="9.125" style="13"/>
    <col min="10" max="10" width="11.25" style="13" customWidth="1"/>
    <col min="11" max="11" width="10.125" style="13" customWidth="1"/>
    <col min="12" max="16384" width="9.125" style="13"/>
  </cols>
  <sheetData>
    <row r="1" spans="1:7" s="1" customFormat="1" ht="57" customHeight="1" thickBot="1" x14ac:dyDescent="0.4">
      <c r="A1" s="159" t="s">
        <v>80</v>
      </c>
      <c r="B1" s="159"/>
      <c r="C1" s="159"/>
      <c r="D1" s="159"/>
      <c r="E1" s="159"/>
      <c r="F1" s="159"/>
      <c r="G1"/>
    </row>
    <row r="2" spans="1:7" s="1" customFormat="1" ht="15" customHeight="1" x14ac:dyDescent="0.35">
      <c r="A2" s="107" t="s">
        <v>81</v>
      </c>
      <c r="B2" s="108">
        <v>0.25</v>
      </c>
    </row>
    <row r="3" spans="1:7" s="1" customFormat="1" ht="15" customHeight="1" x14ac:dyDescent="0.35">
      <c r="A3" s="109" t="s">
        <v>82</v>
      </c>
      <c r="B3" s="110">
        <v>7.2499999999999995E-2</v>
      </c>
    </row>
    <row r="4" spans="1:7" s="1" customFormat="1" ht="15" customHeight="1" x14ac:dyDescent="0.35">
      <c r="A4" s="111" t="s">
        <v>83</v>
      </c>
      <c r="B4" s="112">
        <v>0.33</v>
      </c>
    </row>
    <row r="5" spans="1:7" s="3" customFormat="1" ht="15" customHeight="1" x14ac:dyDescent="0.35"/>
    <row r="6" spans="1:7" s="6" customFormat="1" ht="15" customHeight="1" x14ac:dyDescent="0.35">
      <c r="A6" s="113" t="s">
        <v>3</v>
      </c>
      <c r="B6" s="114" t="s">
        <v>4</v>
      </c>
      <c r="C6" s="114" t="s">
        <v>5</v>
      </c>
      <c r="D6" s="114" t="s">
        <v>6</v>
      </c>
      <c r="E6" s="114" t="s">
        <v>7</v>
      </c>
      <c r="F6" s="115" t="s">
        <v>8</v>
      </c>
    </row>
    <row r="7" spans="1:7" s="9" customFormat="1" ht="15" customHeight="1" x14ac:dyDescent="0.35">
      <c r="A7" s="116" t="s">
        <v>22</v>
      </c>
      <c r="B7" s="104">
        <v>825000</v>
      </c>
      <c r="C7" s="104">
        <v>968750</v>
      </c>
      <c r="D7" s="104">
        <v>1112500</v>
      </c>
      <c r="E7" s="104">
        <v>1256250</v>
      </c>
      <c r="F7" s="104">
        <v>1400000</v>
      </c>
    </row>
    <row r="8" spans="1:7" s="9" customFormat="1" ht="15" customHeight="1" x14ac:dyDescent="0.35">
      <c r="A8" s="116" t="s">
        <v>84</v>
      </c>
      <c r="B8" s="105">
        <f>B7*$B$2</f>
        <v>206250</v>
      </c>
      <c r="C8" s="105">
        <f>C7*$B$2</f>
        <v>242187.5</v>
      </c>
      <c r="D8" s="105">
        <f>D7*$B$2</f>
        <v>278125</v>
      </c>
      <c r="E8" s="105">
        <f>E7*$B$2</f>
        <v>314062.5</v>
      </c>
      <c r="F8" s="118">
        <f>F7*$B$2</f>
        <v>350000</v>
      </c>
    </row>
    <row r="9" spans="1:7" s="9" customFormat="1" ht="15" customHeight="1" x14ac:dyDescent="0.35">
      <c r="A9" s="116" t="s">
        <v>23</v>
      </c>
      <c r="B9" s="105">
        <f>B7*$B$3</f>
        <v>59812.499999999993</v>
      </c>
      <c r="C9" s="105">
        <f>C7*$B$3</f>
        <v>70234.375</v>
      </c>
      <c r="D9" s="105">
        <f>D7*$B$3</f>
        <v>80656.25</v>
      </c>
      <c r="E9" s="105">
        <f>E7*$B$3</f>
        <v>91078.125</v>
      </c>
      <c r="F9" s="118">
        <f>F7*$B$3</f>
        <v>101500</v>
      </c>
    </row>
    <row r="10" spans="1:7" s="9" customFormat="1" ht="15" customHeight="1" thickBot="1" x14ac:dyDescent="0.4">
      <c r="A10" s="119" t="s">
        <v>85</v>
      </c>
      <c r="B10" s="106">
        <f>B7-(B8+B9)</f>
        <v>558937.5</v>
      </c>
      <c r="C10" s="106">
        <f t="shared" ref="C10:F10" si="0">C7-(C8+C9)</f>
        <v>656328.125</v>
      </c>
      <c r="D10" s="106">
        <f t="shared" si="0"/>
        <v>753718.75</v>
      </c>
      <c r="E10" s="106">
        <f t="shared" si="0"/>
        <v>851109.375</v>
      </c>
      <c r="F10" s="120">
        <f t="shared" si="0"/>
        <v>948500</v>
      </c>
    </row>
    <row r="11" spans="1:7" s="9" customFormat="1" ht="15" customHeight="1" thickTop="1" x14ac:dyDescent="0.35">
      <c r="B11" s="14"/>
      <c r="C11" s="14"/>
      <c r="D11" s="14"/>
      <c r="E11" s="14"/>
      <c r="F11" s="14"/>
    </row>
    <row r="12" spans="1:7" s="9" customFormat="1" ht="15" customHeight="1" x14ac:dyDescent="0.35">
      <c r="A12" s="113" t="s">
        <v>9</v>
      </c>
      <c r="B12" s="114" t="s">
        <v>4</v>
      </c>
      <c r="C12" s="114" t="s">
        <v>5</v>
      </c>
      <c r="D12" s="114" t="s">
        <v>6</v>
      </c>
      <c r="E12" s="114" t="s">
        <v>7</v>
      </c>
      <c r="F12" s="115" t="s">
        <v>8</v>
      </c>
    </row>
    <row r="13" spans="1:7" s="9" customFormat="1" ht="15" customHeight="1" x14ac:dyDescent="0.35">
      <c r="A13" s="116" t="s">
        <v>10</v>
      </c>
      <c r="B13" s="104">
        <v>588000</v>
      </c>
      <c r="C13" s="104">
        <v>623280</v>
      </c>
      <c r="D13" s="104">
        <v>660676.80000000005</v>
      </c>
      <c r="E13" s="104">
        <v>700317.40800000017</v>
      </c>
      <c r="F13" s="104">
        <v>742336.45248000021</v>
      </c>
    </row>
    <row r="14" spans="1:7" s="9" customFormat="1" ht="15" customHeight="1" x14ac:dyDescent="0.35">
      <c r="A14" s="116" t="s">
        <v>86</v>
      </c>
      <c r="B14" s="105">
        <v>60000.000000000022</v>
      </c>
      <c r="C14" s="105">
        <v>60975.929778553786</v>
      </c>
      <c r="D14" s="105">
        <v>61967.73353931868</v>
      </c>
      <c r="E14" s="105">
        <v>62975.66948049378</v>
      </c>
      <c r="F14" s="105">
        <v>64000.000000000007</v>
      </c>
    </row>
    <row r="15" spans="1:7" s="9" customFormat="1" ht="15" customHeight="1" x14ac:dyDescent="0.35">
      <c r="A15" s="116" t="s">
        <v>11</v>
      </c>
      <c r="B15" s="105">
        <v>30000</v>
      </c>
      <c r="C15" s="105">
        <v>30000</v>
      </c>
      <c r="D15" s="105">
        <v>32000</v>
      </c>
      <c r="E15" s="105">
        <v>32000</v>
      </c>
      <c r="F15" s="118">
        <v>34000</v>
      </c>
    </row>
    <row r="16" spans="1:7" s="9" customFormat="1" ht="15" customHeight="1" x14ac:dyDescent="0.35">
      <c r="A16" s="116" t="s">
        <v>87</v>
      </c>
      <c r="B16" s="105">
        <v>15000</v>
      </c>
      <c r="C16" s="105">
        <v>15000</v>
      </c>
      <c r="D16" s="105">
        <v>15000</v>
      </c>
      <c r="E16" s="105">
        <v>15000</v>
      </c>
      <c r="F16" s="118">
        <v>15000</v>
      </c>
    </row>
    <row r="17" spans="1:7" s="9" customFormat="1" ht="15" customHeight="1" thickBot="1" x14ac:dyDescent="0.4">
      <c r="A17" s="119" t="s">
        <v>36</v>
      </c>
      <c r="B17" s="106">
        <f>SUM(B13:B16)</f>
        <v>693000</v>
      </c>
      <c r="C17" s="106">
        <f t="shared" ref="C17:F17" si="1">SUM(C13:C16)</f>
        <v>729255.92977855378</v>
      </c>
      <c r="D17" s="106">
        <f t="shared" si="1"/>
        <v>769644.53353931871</v>
      </c>
      <c r="E17" s="106">
        <f t="shared" si="1"/>
        <v>810293.07748049393</v>
      </c>
      <c r="F17" s="120">
        <f t="shared" si="1"/>
        <v>855336.45248000021</v>
      </c>
    </row>
    <row r="18" spans="1:7" s="9" customFormat="1" ht="15" customHeight="1" thickTop="1" x14ac:dyDescent="0.35">
      <c r="B18" s="14"/>
      <c r="C18" s="14"/>
      <c r="D18" s="14"/>
      <c r="E18" s="14"/>
      <c r="F18" s="14"/>
    </row>
    <row r="19" spans="1:7" s="9" customFormat="1" ht="19.5" x14ac:dyDescent="0.35">
      <c r="A19" s="113" t="s">
        <v>12</v>
      </c>
      <c r="B19" s="114" t="s">
        <v>4</v>
      </c>
      <c r="C19" s="114" t="s">
        <v>5</v>
      </c>
      <c r="D19" s="114" t="s">
        <v>6</v>
      </c>
      <c r="E19" s="114" t="s">
        <v>7</v>
      </c>
      <c r="F19" s="115" t="s">
        <v>8</v>
      </c>
    </row>
    <row r="20" spans="1:7" s="9" customFormat="1" ht="15" customHeight="1" x14ac:dyDescent="0.35">
      <c r="A20" s="121" t="s">
        <v>88</v>
      </c>
      <c r="B20" s="104">
        <f>B10-B17</f>
        <v>-134062.5</v>
      </c>
      <c r="C20" s="104">
        <f t="shared" ref="C20:F20" si="2">C10-C17</f>
        <v>-72927.804778553778</v>
      </c>
      <c r="D20" s="104">
        <f t="shared" si="2"/>
        <v>-15925.783539318712</v>
      </c>
      <c r="E20" s="104">
        <f t="shared" si="2"/>
        <v>40816.297519506072</v>
      </c>
      <c r="F20" s="117">
        <f t="shared" si="2"/>
        <v>93163.547519999789</v>
      </c>
    </row>
    <row r="21" spans="1:7" s="9" customFormat="1" ht="15" customHeight="1" x14ac:dyDescent="0.35">
      <c r="A21" s="116" t="s">
        <v>13</v>
      </c>
      <c r="B21" s="105">
        <f>Depreciation!B15</f>
        <v>21160</v>
      </c>
      <c r="C21" s="105">
        <f>Depreciation!C15</f>
        <v>17266.560000000001</v>
      </c>
      <c r="D21" s="105">
        <f>Depreciation!D15</f>
        <v>14089.51296</v>
      </c>
      <c r="E21" s="105">
        <f>Depreciation!E15</f>
        <v>11497.042575360001</v>
      </c>
      <c r="F21" s="105">
        <f>Depreciation!F15</f>
        <v>9381.5867414937602</v>
      </c>
    </row>
    <row r="22" spans="1:7" s="9" customFormat="1" ht="15" customHeight="1" thickBot="1" x14ac:dyDescent="0.4">
      <c r="A22" s="122" t="s">
        <v>89</v>
      </c>
      <c r="B22" s="123">
        <f>B20-B21</f>
        <v>-155222.5</v>
      </c>
      <c r="C22" s="123">
        <f t="shared" ref="C22:F22" si="3">C20-C21</f>
        <v>-90194.364778553776</v>
      </c>
      <c r="D22" s="123">
        <f t="shared" si="3"/>
        <v>-30015.296499318712</v>
      </c>
      <c r="E22" s="123">
        <f t="shared" si="3"/>
        <v>29319.254944146072</v>
      </c>
      <c r="F22" s="124">
        <f t="shared" si="3"/>
        <v>83781.960778506036</v>
      </c>
    </row>
    <row r="23" spans="1:7" s="9" customFormat="1" ht="15" customHeight="1" thickTop="1" x14ac:dyDescent="0.35">
      <c r="B23" s="14"/>
      <c r="C23" s="14"/>
      <c r="D23" s="14"/>
      <c r="E23" s="14"/>
      <c r="F23" s="14"/>
      <c r="G23" s="15"/>
    </row>
    <row r="24" spans="1:7" s="9" customFormat="1" ht="15" customHeight="1" x14ac:dyDescent="0.35">
      <c r="A24" s="128" t="s">
        <v>90</v>
      </c>
      <c r="B24" s="129">
        <f>'Loan Details'!B10</f>
        <v>-26658.110406113701</v>
      </c>
      <c r="C24" s="129">
        <f>'Loan Details'!C10</f>
        <v>-24503.9190083336</v>
      </c>
      <c r="D24" s="129">
        <f>'Loan Details'!D10</f>
        <v>-22226.535836033829</v>
      </c>
      <c r="E24" s="129">
        <f>'Loan Details'!E10</f>
        <v>-19818.915919429004</v>
      </c>
      <c r="F24" s="129">
        <f>'Loan Details'!F10</f>
        <v>-17273.611407945027</v>
      </c>
      <c r="G24" s="15"/>
    </row>
    <row r="25" spans="1:7" s="9" customFormat="1" ht="15" customHeight="1" thickBot="1" x14ac:dyDescent="0.4">
      <c r="A25" s="125" t="s">
        <v>91</v>
      </c>
      <c r="B25" s="126">
        <f>B22-B24</f>
        <v>-128564.3895938863</v>
      </c>
      <c r="C25" s="126">
        <f t="shared" ref="C25:F25" si="4">C22-C24</f>
        <v>-65690.445770220176</v>
      </c>
      <c r="D25" s="126">
        <f t="shared" si="4"/>
        <v>-7788.7606632848838</v>
      </c>
      <c r="E25" s="126">
        <f t="shared" si="4"/>
        <v>49138.170863575077</v>
      </c>
      <c r="F25" s="127">
        <f t="shared" si="4"/>
        <v>101055.57218645106</v>
      </c>
      <c r="G25" s="15"/>
    </row>
    <row r="26" spans="1:7" s="9" customFormat="1" ht="15" customHeight="1" thickTop="1" x14ac:dyDescent="0.35">
      <c r="B26" s="14"/>
      <c r="C26" s="14"/>
      <c r="D26" s="14"/>
      <c r="E26" s="14"/>
      <c r="F26" s="14"/>
    </row>
    <row r="27" spans="1:7" s="9" customFormat="1" ht="15" customHeight="1" x14ac:dyDescent="0.35">
      <c r="A27" s="128" t="s">
        <v>92</v>
      </c>
      <c r="B27" s="129">
        <f>IF(B25&lt;0,0,B25*$B$4)</f>
        <v>0</v>
      </c>
      <c r="C27" s="129">
        <f t="shared" ref="C27:F27" si="5">IF(C25&lt;0,0,C25*$B$4)</f>
        <v>0</v>
      </c>
      <c r="D27" s="129">
        <f t="shared" si="5"/>
        <v>0</v>
      </c>
      <c r="E27" s="129">
        <f t="shared" si="5"/>
        <v>16215.596384979775</v>
      </c>
      <c r="F27" s="130">
        <f t="shared" si="5"/>
        <v>33348.338821528851</v>
      </c>
    </row>
    <row r="28" spans="1:7" s="9" customFormat="1" ht="15" customHeight="1" x14ac:dyDescent="0.35">
      <c r="A28" s="131" t="s">
        <v>93</v>
      </c>
      <c r="B28" s="132">
        <f>B25-B27</f>
        <v>-128564.3895938863</v>
      </c>
      <c r="C28" s="132">
        <f t="shared" ref="C28:F28" si="6">C25-C27</f>
        <v>-65690.445770220176</v>
      </c>
      <c r="D28" s="132">
        <f t="shared" si="6"/>
        <v>-7788.7606632848838</v>
      </c>
      <c r="E28" s="132">
        <f t="shared" si="6"/>
        <v>32922.574478595299</v>
      </c>
      <c r="F28" s="133">
        <f t="shared" si="6"/>
        <v>67707.233364922198</v>
      </c>
    </row>
    <row r="29" spans="1:7" s="9" customFormat="1" ht="15" customHeight="1" x14ac:dyDescent="0.35"/>
    <row r="30" spans="1:7" s="16" customFormat="1" ht="15" customHeight="1" x14ac:dyDescent="0.35">
      <c r="B30" s="17"/>
      <c r="C30" s="17"/>
      <c r="D30" s="17"/>
      <c r="E30" s="17"/>
      <c r="F30" s="17"/>
    </row>
    <row r="31" spans="1:7" s="16" customFormat="1" ht="15" customHeight="1" x14ac:dyDescent="0.35">
      <c r="B31" s="5"/>
      <c r="C31" s="5"/>
      <c r="D31" s="5"/>
      <c r="E31" s="5"/>
      <c r="F31" s="5"/>
    </row>
    <row r="32" spans="1:7" s="16" customFormat="1" ht="15" customHeight="1" x14ac:dyDescent="0.35">
      <c r="B32" s="5"/>
      <c r="C32" s="5"/>
      <c r="D32" s="5"/>
      <c r="E32" s="5"/>
      <c r="F32" s="5"/>
    </row>
    <row r="33" spans="2:6" s="16" customFormat="1" ht="15" customHeight="1" x14ac:dyDescent="0.35">
      <c r="B33" s="5"/>
      <c r="C33" s="5"/>
      <c r="D33" s="5"/>
      <c r="E33" s="5"/>
      <c r="F33" s="5"/>
    </row>
    <row r="34" spans="2:6" s="16" customFormat="1" ht="15" customHeight="1" x14ac:dyDescent="0.35">
      <c r="B34" s="5"/>
      <c r="C34" s="5"/>
      <c r="D34" s="5"/>
      <c r="E34" s="5"/>
      <c r="F34" s="5"/>
    </row>
    <row r="35" spans="2:6" s="16" customFormat="1" ht="15" customHeight="1" x14ac:dyDescent="0.35">
      <c r="B35" s="5"/>
      <c r="C35" s="5"/>
      <c r="D35" s="5"/>
      <c r="E35" s="5"/>
      <c r="F35" s="5"/>
    </row>
    <row r="36" spans="2:6" s="16" customFormat="1" ht="15" customHeight="1" x14ac:dyDescent="0.35">
      <c r="B36" s="5"/>
      <c r="C36" s="5"/>
      <c r="D36" s="5"/>
      <c r="E36" s="5"/>
      <c r="F36" s="5"/>
    </row>
    <row r="37" spans="2:6" s="16" customFormat="1" ht="15" customHeight="1" x14ac:dyDescent="0.35">
      <c r="B37" s="5"/>
      <c r="C37" s="5"/>
      <c r="D37" s="5"/>
      <c r="E37" s="5"/>
      <c r="F37" s="5"/>
    </row>
    <row r="38" spans="2:6" s="3" customFormat="1" ht="15" customHeight="1" x14ac:dyDescent="0.35">
      <c r="B38" s="4"/>
      <c r="C38" s="4"/>
      <c r="D38" s="4"/>
      <c r="E38" s="4"/>
      <c r="F38" s="4"/>
    </row>
    <row r="39" spans="2:6" s="3" customFormat="1" ht="15" customHeight="1" x14ac:dyDescent="0.35">
      <c r="B39" s="4"/>
      <c r="C39" s="4"/>
      <c r="D39" s="4"/>
      <c r="E39" s="4"/>
      <c r="F39" s="4"/>
    </row>
    <row r="40" spans="2:6" s="3" customFormat="1" ht="15" customHeight="1" x14ac:dyDescent="0.35">
      <c r="B40" s="4"/>
      <c r="C40" s="4"/>
      <c r="D40" s="4"/>
      <c r="E40" s="4"/>
      <c r="F40" s="4"/>
    </row>
    <row r="41" spans="2:6" s="3" customFormat="1" ht="15" customHeight="1" x14ac:dyDescent="0.35">
      <c r="B41" s="4"/>
      <c r="C41" s="4"/>
      <c r="D41" s="4"/>
      <c r="E41" s="4"/>
      <c r="F41" s="4"/>
    </row>
    <row r="42" spans="2:6" s="3" customFormat="1" ht="15" customHeight="1" x14ac:dyDescent="0.35">
      <c r="B42" s="4"/>
      <c r="C42" s="4"/>
      <c r="D42" s="4"/>
      <c r="E42" s="4"/>
      <c r="F42" s="4"/>
    </row>
    <row r="43" spans="2:6" s="3" customFormat="1" ht="15" customHeight="1" x14ac:dyDescent="0.35">
      <c r="B43" s="4"/>
      <c r="C43" s="4"/>
      <c r="D43" s="4"/>
      <c r="E43" s="4"/>
      <c r="F43" s="4"/>
    </row>
    <row r="44" spans="2:6" s="3" customFormat="1" ht="15" customHeight="1" x14ac:dyDescent="0.35"/>
    <row r="45" spans="2:6" s="3" customFormat="1" ht="15" customHeight="1" x14ac:dyDescent="0.35"/>
    <row r="46" spans="2:6" s="3" customFormat="1" ht="15" customHeight="1" x14ac:dyDescent="0.35"/>
    <row r="47" spans="2:6" s="3" customFormat="1" ht="15" customHeight="1" x14ac:dyDescent="0.35"/>
    <row r="48" spans="2:6" s="3" customFormat="1" ht="15" customHeight="1" x14ac:dyDescent="0.35"/>
    <row r="49" s="3" customFormat="1" ht="15" customHeight="1" x14ac:dyDescent="0.35"/>
    <row r="50" s="3" customFormat="1" ht="15" customHeight="1" x14ac:dyDescent="0.35"/>
    <row r="51" s="3" customFormat="1" ht="15" customHeight="1" x14ac:dyDescent="0.35"/>
    <row r="52" s="3" customFormat="1" ht="15" customHeight="1" x14ac:dyDescent="0.35"/>
    <row r="53" s="3" customFormat="1" ht="15" customHeight="1" x14ac:dyDescent="0.35"/>
    <row r="54" s="3" customFormat="1" ht="15" customHeight="1" x14ac:dyDescent="0.35"/>
    <row r="55" s="3" customFormat="1" ht="15" customHeight="1" x14ac:dyDescent="0.35"/>
    <row r="56" s="3" customFormat="1" ht="15" customHeight="1" x14ac:dyDescent="0.35"/>
    <row r="57" s="3" customFormat="1" ht="15" customHeight="1" x14ac:dyDescent="0.35"/>
    <row r="58" s="3" customFormat="1" ht="15" customHeight="1" x14ac:dyDescent="0.35"/>
    <row r="59" s="3" customFormat="1" ht="15" customHeight="1" x14ac:dyDescent="0.35"/>
    <row r="60" s="3" customFormat="1" ht="15" customHeight="1" x14ac:dyDescent="0.35"/>
    <row r="61" s="3" customFormat="1" ht="15" customHeight="1" x14ac:dyDescent="0.35"/>
    <row r="62" s="3" customFormat="1" ht="15" customHeight="1" x14ac:dyDescent="0.35"/>
    <row r="63" s="3" customFormat="1" ht="15" customHeight="1" x14ac:dyDescent="0.35"/>
    <row r="64" s="3" customFormat="1" ht="15" customHeight="1" x14ac:dyDescent="0.35"/>
    <row r="65" s="3" customFormat="1" ht="15" customHeight="1" x14ac:dyDescent="0.35"/>
    <row r="66" s="3" customFormat="1" ht="15" customHeight="1" x14ac:dyDescent="0.35"/>
    <row r="67" s="3" customFormat="1" ht="15" customHeight="1" x14ac:dyDescent="0.35"/>
    <row r="68" s="3" customFormat="1" ht="15" customHeight="1" x14ac:dyDescent="0.35"/>
    <row r="69" s="3" customFormat="1" ht="15" customHeight="1" x14ac:dyDescent="0.35"/>
    <row r="70" s="3" customFormat="1" ht="15" customHeight="1" x14ac:dyDescent="0.35"/>
    <row r="71" s="3" customFormat="1" ht="15" customHeight="1" x14ac:dyDescent="0.35"/>
    <row r="72" s="3" customFormat="1" ht="15" customHeight="1" x14ac:dyDescent="0.35"/>
    <row r="73" s="3" customFormat="1" ht="15" customHeight="1" x14ac:dyDescent="0.35"/>
    <row r="74" s="3" customFormat="1" ht="15" customHeight="1" x14ac:dyDescent="0.35"/>
    <row r="75" s="3" customFormat="1" ht="15" customHeight="1" x14ac:dyDescent="0.35"/>
    <row r="76" s="3" customFormat="1" ht="15" customHeight="1" x14ac:dyDescent="0.35"/>
    <row r="77" s="3" customFormat="1" ht="15" customHeight="1" x14ac:dyDescent="0.35"/>
    <row r="78" s="3" customFormat="1" ht="15" customHeight="1" x14ac:dyDescent="0.35"/>
    <row r="79" s="3" customFormat="1" ht="15" customHeight="1" x14ac:dyDescent="0.35"/>
    <row r="80" s="3" customFormat="1" ht="15" customHeight="1" x14ac:dyDescent="0.35"/>
    <row r="81" s="3" customFormat="1" ht="15" customHeight="1" x14ac:dyDescent="0.35"/>
    <row r="82" s="3" customFormat="1" ht="15" customHeight="1" x14ac:dyDescent="0.35"/>
    <row r="83" s="3" customFormat="1" ht="15" customHeigh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</sheetData>
  <mergeCells count="1">
    <mergeCell ref="A1:F1"/>
  </mergeCells>
  <dataValidations count="1">
    <dataValidation allowBlank="1" error="pavI8MeUFtEyxX2I4tky20e93262-0f54-4867-b72b-7ee35b46fae7" sqref="A1:G148" xr:uid="{00000000-0002-0000-0500-000000000000}"/>
  </dataValidations>
  <pageMargins left="0.7" right="0.7" top="0.75" bottom="0.75" header="0.3" footer="0.3"/>
  <pageSetup scale="86" orientation="portrait" r:id="rId1"/>
  <headerFooter>
    <oddFooter>&amp;R&amp;F &amp;A &amp;D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{20e93262-0f54-4867-b72b-7ee35b46fae7}</UserID>
  <AssignmentID>{20e93262-0f54-4867-b72b-7ee35b46fae7}</AssignmentID>
</GradingEngineProps>
</file>

<file path=customXml/itemProps1.xml><?xml version="1.0" encoding="utf-8"?>
<ds:datastoreItem xmlns:ds="http://schemas.openxmlformats.org/officeDocument/2006/customXml" ds:itemID="{5B90861E-F082-44A6-9322-D14380EBAC23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Business Plan</vt:lpstr>
      <vt:lpstr>Loan Details</vt:lpstr>
      <vt:lpstr>Buy or Lease</vt:lpstr>
      <vt:lpstr>Depreciation</vt:lpstr>
      <vt:lpstr>Profit &amp;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Romain Roux</cp:lastModifiedBy>
  <dcterms:created xsi:type="dcterms:W3CDTF">2015-11-12T22:55:14Z</dcterms:created>
  <dcterms:modified xsi:type="dcterms:W3CDTF">2022-04-26T22:45:35Z</dcterms:modified>
</cp:coreProperties>
</file>