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W:\domains\outlaySystem\"/>
    </mc:Choice>
  </mc:AlternateContent>
  <xr:revisionPtr revIDLastSave="0" documentId="13_ncr:1_{999A886F-141A-4108-9AC9-86F15065AADB}" xr6:coauthVersionLast="34" xr6:coauthVersionMax="34" xr10:uidLastSave="{00000000-0000-0000-0000-000000000000}"/>
  <bookViews>
    <workbookView xWindow="0" yWindow="0" windowWidth="11730" windowHeight="4740" activeTab="3" xr2:uid="{00000000-000D-0000-FFFF-FFFF00000000}"/>
  </bookViews>
  <sheets>
    <sheet name="Лист1" sheetId="1" r:id="rId1"/>
    <sheet name="Первая неделя (с 26.06.17)" sheetId="2" r:id="rId2"/>
    <sheet name="Лист2" sheetId="3" r:id="rId3"/>
    <sheet name="Лист3" sheetId="4" r:id="rId4"/>
  </sheets>
  <calcPr calcId="17902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Y28" i="4" l="1"/>
  <c r="BZ28" i="4"/>
  <c r="CA28" i="4"/>
  <c r="BX28" i="4"/>
  <c r="BY24" i="4"/>
  <c r="BZ24" i="4"/>
  <c r="CA24" i="4"/>
  <c r="BX24" i="4"/>
  <c r="BY32" i="4" l="1"/>
  <c r="BZ32" i="4"/>
  <c r="CA32" i="4"/>
  <c r="BX32" i="4"/>
  <c r="BY30" i="4"/>
  <c r="BZ30" i="4"/>
  <c r="CA30" i="4"/>
  <c r="BX30" i="4"/>
  <c r="BY26" i="4"/>
  <c r="BZ26" i="4"/>
  <c r="CA26" i="4"/>
  <c r="BX26" i="4"/>
  <c r="BY22" i="4"/>
  <c r="BZ22" i="4"/>
  <c r="CA22" i="4"/>
  <c r="BX22" i="4"/>
  <c r="BZ35" i="4"/>
  <c r="BY35" i="4"/>
  <c r="CA13" i="4"/>
  <c r="BZ13" i="4"/>
  <c r="BY13" i="4"/>
  <c r="BX13" i="4"/>
  <c r="BX35" i="4" l="1"/>
  <c r="CA35" i="4"/>
  <c r="BR33" i="4"/>
  <c r="BS33" i="4"/>
  <c r="BT33" i="4"/>
  <c r="BQ33" i="4"/>
  <c r="BR28" i="4"/>
  <c r="BS28" i="4"/>
  <c r="BT28" i="4"/>
  <c r="BQ28" i="4"/>
  <c r="BR24" i="4"/>
  <c r="BS24" i="4"/>
  <c r="BT24" i="4"/>
  <c r="BQ24" i="4"/>
  <c r="BR31" i="4" l="1"/>
  <c r="BS31" i="4"/>
  <c r="BT31" i="4"/>
  <c r="BQ31" i="4"/>
  <c r="BR26" i="4"/>
  <c r="BS26" i="4"/>
  <c r="BT26" i="4"/>
  <c r="BQ26" i="4"/>
  <c r="BT22" i="4"/>
  <c r="BT35" i="4" s="1"/>
  <c r="BS22" i="4"/>
  <c r="BS35" i="4" s="1"/>
  <c r="BR22" i="4"/>
  <c r="BQ22" i="4"/>
  <c r="BT13" i="4"/>
  <c r="BS13" i="4"/>
  <c r="BR13" i="4"/>
  <c r="BQ13" i="4"/>
  <c r="BK13" i="4"/>
  <c r="BR35" i="4" l="1"/>
  <c r="BQ35" i="4"/>
  <c r="BK23" i="4"/>
  <c r="BL23" i="4"/>
  <c r="BM23" i="4"/>
  <c r="BJ23" i="4"/>
  <c r="BK30" i="4"/>
  <c r="BL30" i="4"/>
  <c r="BM30" i="4"/>
  <c r="BJ30" i="4"/>
  <c r="BJ31" i="4"/>
  <c r="BJ26" i="4"/>
  <c r="BK22" i="4"/>
  <c r="BL22" i="4"/>
  <c r="BM22" i="4"/>
  <c r="BJ22" i="4"/>
  <c r="BK31" i="4"/>
  <c r="BL31" i="4"/>
  <c r="BM31" i="4"/>
  <c r="BK33" i="4"/>
  <c r="BL33" i="4"/>
  <c r="BM33" i="4"/>
  <c r="BJ33" i="4"/>
  <c r="BK26" i="4"/>
  <c r="BL26" i="4"/>
  <c r="BM26" i="4"/>
  <c r="BJ28" i="4"/>
  <c r="BK28" i="4"/>
  <c r="BL28" i="4"/>
  <c r="BM28" i="4"/>
  <c r="BM13" i="4"/>
  <c r="BL13" i="4"/>
  <c r="BJ13" i="4"/>
  <c r="BL35" i="4" l="1"/>
  <c r="BM35" i="4"/>
  <c r="BK35" i="4"/>
  <c r="BJ35" i="4"/>
  <c r="AU26" i="4"/>
  <c r="AV26" i="4"/>
  <c r="AW26" i="4"/>
  <c r="AT26" i="4"/>
  <c r="AU22" i="4"/>
  <c r="AV22" i="4"/>
  <c r="AW22" i="4"/>
  <c r="AT22" i="4"/>
  <c r="AU28" i="4"/>
  <c r="AV28" i="4"/>
  <c r="AW28" i="4"/>
  <c r="AU24" i="4"/>
  <c r="AV24" i="4"/>
  <c r="AW24" i="4"/>
  <c r="AT28" i="4"/>
  <c r="AT24" i="4"/>
  <c r="BC28" i="4"/>
  <c r="BD28" i="4"/>
  <c r="BE28" i="4"/>
  <c r="BB28" i="4"/>
  <c r="BC24" i="4"/>
  <c r="BD24" i="4"/>
  <c r="BE24" i="4"/>
  <c r="BB24" i="4"/>
  <c r="BC29" i="4"/>
  <c r="BD29" i="4"/>
  <c r="BE29" i="4"/>
  <c r="BB29" i="4"/>
  <c r="BE33" i="4"/>
  <c r="BD33" i="4"/>
  <c r="BC33" i="4"/>
  <c r="BB33" i="4"/>
  <c r="BE31" i="4"/>
  <c r="BD31" i="4"/>
  <c r="BC31" i="4"/>
  <c r="BB31" i="4"/>
  <c r="BE26" i="4"/>
  <c r="BD26" i="4"/>
  <c r="BC26" i="4"/>
  <c r="BB26" i="4"/>
  <c r="BE22" i="4"/>
  <c r="BD22" i="4"/>
  <c r="BC22" i="4"/>
  <c r="BB22" i="4"/>
  <c r="BE13" i="4"/>
  <c r="BD13" i="4"/>
  <c r="BC13" i="4"/>
  <c r="BB13" i="4"/>
  <c r="BD35" i="4" l="1"/>
  <c r="BE35" i="4"/>
  <c r="BC35" i="4"/>
  <c r="BB35" i="4"/>
  <c r="AU31" i="4"/>
  <c r="AV31" i="4"/>
  <c r="AW31" i="4"/>
  <c r="AT31" i="4"/>
  <c r="AW33" i="4" l="1"/>
  <c r="AV33" i="4"/>
  <c r="AU33" i="4"/>
  <c r="AT33" i="4"/>
  <c r="AW13" i="4"/>
  <c r="AV13" i="4"/>
  <c r="AU13" i="4"/>
  <c r="AT13" i="4"/>
  <c r="AU35" i="4" l="1"/>
  <c r="AV35" i="4"/>
  <c r="AW35" i="4"/>
  <c r="AT35" i="4"/>
  <c r="AL33" i="4"/>
  <c r="AM33" i="4"/>
  <c r="AN33" i="4"/>
  <c r="AK33" i="4"/>
  <c r="AL31" i="4"/>
  <c r="AM31" i="4"/>
  <c r="AN31" i="4"/>
  <c r="AK31" i="4"/>
  <c r="AL26" i="4"/>
  <c r="AM26" i="4"/>
  <c r="AN26" i="4"/>
  <c r="AK26" i="4"/>
  <c r="AL22" i="4"/>
  <c r="AM22" i="4"/>
  <c r="AN22" i="4"/>
  <c r="AK22" i="4"/>
  <c r="AL28" i="4"/>
  <c r="AM28" i="4"/>
  <c r="AN28" i="4"/>
  <c r="AK28" i="4"/>
  <c r="AL24" i="4"/>
  <c r="AM24" i="4"/>
  <c r="AN24" i="4"/>
  <c r="AK24" i="4"/>
  <c r="AY35" i="4" l="1"/>
  <c r="AE29" i="4"/>
  <c r="AF29" i="4"/>
  <c r="AG29" i="4"/>
  <c r="AD29" i="4"/>
  <c r="AE28" i="4"/>
  <c r="AF28" i="4"/>
  <c r="AG28" i="4"/>
  <c r="AD28" i="4"/>
  <c r="AE24" i="4"/>
  <c r="AF24" i="4"/>
  <c r="AG24" i="4"/>
  <c r="AD24" i="4"/>
  <c r="AE25" i="4"/>
  <c r="AF25" i="4"/>
  <c r="AG25" i="4"/>
  <c r="AD25" i="4"/>
  <c r="AE31" i="4"/>
  <c r="AF31" i="4"/>
  <c r="AG31" i="4"/>
  <c r="AD31" i="4"/>
  <c r="AE26" i="4"/>
  <c r="AF26" i="4"/>
  <c r="AG26" i="4"/>
  <c r="AD26" i="4"/>
  <c r="AG32" i="4"/>
  <c r="AF32" i="4"/>
  <c r="AE32" i="4"/>
  <c r="AD32" i="4"/>
  <c r="AG22" i="4"/>
  <c r="AF22" i="4"/>
  <c r="AE22" i="4"/>
  <c r="AD22" i="4"/>
  <c r="AG13" i="4"/>
  <c r="AF13" i="4"/>
  <c r="AE13" i="4"/>
  <c r="AD13" i="4"/>
  <c r="AN13" i="4"/>
  <c r="AM13" i="4"/>
  <c r="AL13" i="4"/>
  <c r="AK13" i="4"/>
  <c r="X33" i="4"/>
  <c r="Y33" i="4"/>
  <c r="Z33" i="4"/>
  <c r="W33" i="4"/>
  <c r="Z13" i="4"/>
  <c r="Z26" i="4" s="1"/>
  <c r="W24" i="4"/>
  <c r="X24" i="4"/>
  <c r="Y24" i="4"/>
  <c r="Z24" i="4"/>
  <c r="W28" i="4"/>
  <c r="X28" i="4"/>
  <c r="Y28" i="4"/>
  <c r="Z28" i="4"/>
  <c r="W13" i="4"/>
  <c r="W30" i="4" s="1"/>
  <c r="X13" i="4"/>
  <c r="X30" i="4" s="1"/>
  <c r="Y13" i="4"/>
  <c r="Y26" i="4" s="1"/>
  <c r="X22" i="4"/>
  <c r="Y22" i="4"/>
  <c r="Z22" i="4"/>
  <c r="W22" i="4"/>
  <c r="AK35" i="4"/>
  <c r="AL35" i="4"/>
  <c r="W26" i="4" l="1"/>
  <c r="Z30" i="4"/>
  <c r="AG35" i="4"/>
  <c r="AE35" i="4"/>
  <c r="AF35" i="4"/>
  <c r="AD35" i="4"/>
  <c r="X26" i="4"/>
  <c r="X35" i="4" s="1"/>
  <c r="Y30" i="4"/>
  <c r="Y35" i="4" s="1"/>
  <c r="Z35" i="4"/>
  <c r="W35" i="4"/>
  <c r="P22" i="4"/>
  <c r="Q22" i="4"/>
  <c r="R22" i="4"/>
  <c r="S22" i="4"/>
  <c r="P24" i="4"/>
  <c r="Q24" i="4"/>
  <c r="R24" i="4"/>
  <c r="S24" i="4"/>
  <c r="P26" i="4"/>
  <c r="Q26" i="4"/>
  <c r="R26" i="4"/>
  <c r="S26" i="4"/>
  <c r="P28" i="4"/>
  <c r="Q28" i="4"/>
  <c r="R28" i="4"/>
  <c r="S28" i="4"/>
  <c r="P29" i="4"/>
  <c r="Q29" i="4"/>
  <c r="R29" i="4"/>
  <c r="S29" i="4"/>
  <c r="P31" i="4"/>
  <c r="Q31" i="4"/>
  <c r="R31" i="4"/>
  <c r="S31" i="4"/>
  <c r="P32" i="4"/>
  <c r="Q32" i="4"/>
  <c r="R32" i="4"/>
  <c r="S32" i="4"/>
  <c r="P33" i="4"/>
  <c r="Q33" i="4"/>
  <c r="R33" i="4"/>
  <c r="S33" i="4"/>
  <c r="P35" i="4"/>
  <c r="Q35" i="4"/>
  <c r="R35" i="4"/>
  <c r="S35" i="4"/>
  <c r="J31" i="4"/>
  <c r="K31" i="4"/>
  <c r="L31" i="4"/>
  <c r="I31" i="4"/>
  <c r="J26" i="4"/>
  <c r="K26" i="4"/>
  <c r="L26" i="4"/>
  <c r="I26" i="4"/>
  <c r="J22" i="4"/>
  <c r="K22" i="4"/>
  <c r="L22" i="4"/>
  <c r="I22" i="4"/>
  <c r="AN35" i="4" l="1"/>
  <c r="AM35" i="4"/>
  <c r="J28" i="4"/>
  <c r="K28" i="4"/>
  <c r="L28" i="4"/>
  <c r="J24" i="4"/>
  <c r="K24" i="4"/>
  <c r="L24" i="4"/>
  <c r="I28" i="4"/>
  <c r="I24" i="4"/>
  <c r="L33" i="4"/>
  <c r="K33" i="4"/>
  <c r="J33" i="4"/>
  <c r="I33" i="4"/>
  <c r="C31" i="4"/>
  <c r="D31" i="4"/>
  <c r="E31" i="4"/>
  <c r="B31" i="4"/>
  <c r="C26" i="4"/>
  <c r="D26" i="4"/>
  <c r="E26" i="4"/>
  <c r="B26" i="4"/>
  <c r="C28" i="4"/>
  <c r="D28" i="4"/>
  <c r="E28" i="4"/>
  <c r="B28" i="4"/>
  <c r="C24" i="4"/>
  <c r="D24" i="4"/>
  <c r="E24" i="4"/>
  <c r="B24" i="4"/>
  <c r="C22" i="4"/>
  <c r="D22" i="4"/>
  <c r="E22" i="4"/>
  <c r="B22" i="4"/>
  <c r="AP35" i="4" l="1"/>
  <c r="K35" i="4"/>
  <c r="L35" i="4"/>
  <c r="J35" i="4"/>
  <c r="I35" i="4"/>
  <c r="C33" i="4"/>
  <c r="C35" i="4" s="1"/>
  <c r="D33" i="4"/>
  <c r="D35" i="4" s="1"/>
  <c r="E33" i="4"/>
  <c r="E35" i="4" s="1"/>
  <c r="B33" i="4"/>
  <c r="B35" i="4" s="1"/>
  <c r="E42" i="4"/>
  <c r="D42" i="4"/>
  <c r="C42" i="4"/>
  <c r="BL36" i="4" l="1"/>
  <c r="BM36" i="4"/>
  <c r="BK36" i="4"/>
  <c r="BE36" i="4"/>
  <c r="BD36" i="4"/>
  <c r="BC36" i="4"/>
  <c r="AW36" i="4"/>
  <c r="AV36" i="4"/>
  <c r="AU36" i="4"/>
  <c r="AL36" i="4"/>
  <c r="AN36" i="4"/>
  <c r="AM36" i="4"/>
  <c r="L18" i="3"/>
  <c r="M18" i="3"/>
  <c r="N18" i="3"/>
  <c r="K18" i="3"/>
  <c r="L19" i="3"/>
  <c r="M19" i="3"/>
  <c r="N19" i="3"/>
  <c r="K19" i="3"/>
  <c r="L22" i="3"/>
  <c r="L26" i="3"/>
  <c r="M26" i="3"/>
  <c r="N26" i="3"/>
  <c r="K26" i="3"/>
  <c r="L24" i="3"/>
  <c r="M24" i="3"/>
  <c r="N24" i="3"/>
  <c r="K24" i="3"/>
  <c r="L23" i="3"/>
  <c r="M23" i="3"/>
  <c r="N23" i="3"/>
  <c r="K23" i="3"/>
  <c r="M22" i="3"/>
  <c r="N22" i="3"/>
  <c r="K22" i="3"/>
  <c r="L20" i="3"/>
  <c r="M20" i="3"/>
  <c r="N20" i="3"/>
  <c r="K20" i="3"/>
  <c r="E26" i="3" l="1"/>
  <c r="F26" i="3"/>
  <c r="G26" i="3"/>
  <c r="D26" i="3"/>
  <c r="E24" i="3"/>
  <c r="F24" i="3"/>
  <c r="G24" i="3"/>
  <c r="D24" i="3"/>
  <c r="E23" i="3"/>
  <c r="F23" i="3"/>
  <c r="G23" i="3"/>
  <c r="D23" i="3"/>
  <c r="E22" i="3"/>
  <c r="F22" i="3"/>
  <c r="G22" i="3"/>
  <c r="D22" i="3"/>
  <c r="E20" i="3"/>
  <c r="F20" i="3"/>
  <c r="G20" i="3"/>
  <c r="D20" i="3"/>
  <c r="E18" i="3"/>
  <c r="F18" i="3"/>
  <c r="G18" i="3"/>
  <c r="D18" i="3"/>
  <c r="E4" i="3"/>
  <c r="F4" i="3"/>
  <c r="G4" i="3"/>
  <c r="D4" i="3"/>
  <c r="E10" i="3"/>
  <c r="F10" i="3"/>
  <c r="G10" i="3"/>
  <c r="D10" i="3"/>
  <c r="E8" i="3"/>
  <c r="F8" i="3"/>
  <c r="G8" i="3"/>
  <c r="E6" i="3"/>
  <c r="F6" i="3"/>
  <c r="G6" i="3"/>
  <c r="D8" i="3"/>
  <c r="D6" i="3"/>
  <c r="M4" i="3"/>
  <c r="L4" i="3"/>
  <c r="K4" i="3"/>
  <c r="G13" i="2" l="1"/>
  <c r="G5" i="2"/>
  <c r="C13" i="2"/>
  <c r="G10" i="2"/>
  <c r="G7" i="2"/>
  <c r="G9" i="2"/>
  <c r="G12" i="2"/>
  <c r="G8" i="2"/>
  <c r="G6" i="2"/>
  <c r="C12" i="2"/>
  <c r="C9" i="2"/>
  <c r="C8" i="2"/>
  <c r="C7" i="2"/>
  <c r="C6" i="2"/>
  <c r="C5" i="2"/>
  <c r="C15" i="2" l="1"/>
  <c r="G15" i="2"/>
  <c r="G16" i="2"/>
  <c r="C16" i="2"/>
  <c r="H9" i="1"/>
  <c r="C7" i="1"/>
  <c r="H11" i="1"/>
  <c r="H7" i="1"/>
  <c r="H12" i="1"/>
  <c r="H8" i="1"/>
  <c r="H6" i="1"/>
  <c r="H5" i="1"/>
  <c r="H15" i="1" s="1"/>
  <c r="C5" i="1"/>
  <c r="C12" i="1"/>
  <c r="C9" i="1"/>
  <c r="C8" i="1"/>
  <c r="C6" i="1"/>
  <c r="C15" i="1" l="1"/>
  <c r="H14" i="1"/>
  <c r="C14" i="1"/>
</calcChain>
</file>

<file path=xl/sharedStrings.xml><?xml version="1.0" encoding="utf-8"?>
<sst xmlns="http://schemas.openxmlformats.org/spreadsheetml/2006/main" count="464" uniqueCount="105">
  <si>
    <t>гейнер</t>
  </si>
  <si>
    <t xml:space="preserve">Творог </t>
  </si>
  <si>
    <t>Гречка 100 гр + курица 100 гр</t>
  </si>
  <si>
    <t>Без гейнера</t>
  </si>
  <si>
    <t>С гейнером</t>
  </si>
  <si>
    <t>Гречка 150 гр + курица 200 гр</t>
  </si>
  <si>
    <t>яйцо + гречка 200гр</t>
  </si>
  <si>
    <t>В день тренировки</t>
  </si>
  <si>
    <t>В день отдыха</t>
  </si>
  <si>
    <t>Гречка 200 гр + курица 200 гр</t>
  </si>
  <si>
    <t>гейнер (6 мерных ложек) +BCAA (2 мерные ложки)</t>
  </si>
  <si>
    <t>гейнер (6 мерных ложек)</t>
  </si>
  <si>
    <t>Гречка 150 гр + курица 100 гр</t>
  </si>
  <si>
    <t>гейнер (6 мерных ложек) +BCAA (1 мерная ложка)</t>
  </si>
  <si>
    <t>26.06.17 (отдых)</t>
  </si>
  <si>
    <t>яйцо + макароны 200гр</t>
  </si>
  <si>
    <t>макароны 200 гр + курица 200 гр</t>
  </si>
  <si>
    <t>макароны 150 гр + курица 100 гр</t>
  </si>
  <si>
    <t>26.06.17 (тренировка)</t>
  </si>
  <si>
    <t>Тренировка</t>
  </si>
  <si>
    <t>Гречка 100 гр + курица 150 гр</t>
  </si>
  <si>
    <t>макароны 150 гр + курица 150 гр</t>
  </si>
  <si>
    <t>Еда</t>
  </si>
  <si>
    <t>Ккал</t>
  </si>
  <si>
    <t>Б</t>
  </si>
  <si>
    <t>Ж</t>
  </si>
  <si>
    <t>У</t>
  </si>
  <si>
    <t>Требуется</t>
  </si>
  <si>
    <t>Вес, кг</t>
  </si>
  <si>
    <t>Гречка</t>
  </si>
  <si>
    <t>Пищевая ценность на 100гр</t>
  </si>
  <si>
    <t>Курица</t>
  </si>
  <si>
    <t>Гречка 150 гр + курица 250 гр</t>
  </si>
  <si>
    <t>Творог</t>
  </si>
  <si>
    <t>День отдыха</t>
  </si>
  <si>
    <t>День тренировки</t>
  </si>
  <si>
    <t>Творог 200 гр</t>
  </si>
  <si>
    <t>Гейнер</t>
  </si>
  <si>
    <t>Гречка 100 гр + курица 50 гр</t>
  </si>
  <si>
    <t>Гейнер 90 гр</t>
  </si>
  <si>
    <t>Гречка 200 гр + гейнер 90 гр + креатин</t>
  </si>
  <si>
    <t>Гречка 200 гр + курица 50 гр + креатин</t>
  </si>
  <si>
    <t>Рис 150 гр + курица 250 гр</t>
  </si>
  <si>
    <t>Рис 100 гр + курица 50 гр</t>
  </si>
  <si>
    <t>Рис 200 гр + курица 200 гр</t>
  </si>
  <si>
    <t>Рис</t>
  </si>
  <si>
    <t>Рис 150 гр + курица 50 гр + креатин</t>
  </si>
  <si>
    <t>Яйца (2 шт - 100 гр)</t>
  </si>
  <si>
    <t>Гречка 200 гр + курица 100 гр</t>
  </si>
  <si>
    <t>Итого</t>
  </si>
  <si>
    <t>Гречка 100 гр + 1 яйцо + креатин</t>
  </si>
  <si>
    <t>Творог 100 гр</t>
  </si>
  <si>
    <t>Гречка 150 гр + курица 70 гр</t>
  </si>
  <si>
    <t xml:space="preserve"> </t>
  </si>
  <si>
    <t>Творог 110 гр</t>
  </si>
  <si>
    <t>Рацион</t>
  </si>
  <si>
    <t>Гречка 110 гр + 2 яйца + креатин</t>
  </si>
  <si>
    <t>Гречка 150 гр + курица 90 гр</t>
  </si>
  <si>
    <t>Гречка 180 гр + курица 90 гр</t>
  </si>
  <si>
    <t>04.10.17-12.10.17 (61,2-61,7)</t>
  </si>
  <si>
    <t>13.10.17-19.10.17 (62,2-  )</t>
  </si>
  <si>
    <t>Банан</t>
  </si>
  <si>
    <t>Жареная картошка</t>
  </si>
  <si>
    <t>Свинина жареная</t>
  </si>
  <si>
    <t>13.10.17-20.10.17 (62,2-62,9)</t>
  </si>
  <si>
    <t>Протеин ON 1 порция</t>
  </si>
  <si>
    <t>Протеин</t>
  </si>
  <si>
    <t>Гречка 110 гр + 1 яйца + креатин</t>
  </si>
  <si>
    <t>Творог 100 гр + протеин + банан</t>
  </si>
  <si>
    <t>Плов (500/300)</t>
  </si>
  <si>
    <t>Плов 200 гр</t>
  </si>
  <si>
    <t>Плов 300 гр</t>
  </si>
  <si>
    <t>Гречка 150 гр + Торт</t>
  </si>
  <si>
    <t>21.10.17-31.10.17 (63,9 - )</t>
  </si>
  <si>
    <t>Арахис</t>
  </si>
  <si>
    <t>Миндаль</t>
  </si>
  <si>
    <t>Арахс 50гр</t>
  </si>
  <si>
    <t>Творог 80 гр + банан</t>
  </si>
  <si>
    <t>Пюре</t>
  </si>
  <si>
    <t>Креатин</t>
  </si>
  <si>
    <t>Творог 50 гр + арахис 30 гр</t>
  </si>
  <si>
    <t>Гречка 120 гр  + креатин</t>
  </si>
  <si>
    <t>Гречка 200 гр + курица 80 гр</t>
  </si>
  <si>
    <t>%</t>
  </si>
  <si>
    <t>Арахис 30 гр</t>
  </si>
  <si>
    <t xml:space="preserve">  </t>
  </si>
  <si>
    <t>Творог 70 гр + арахис 20 гр</t>
  </si>
  <si>
    <t>Гречка 120 гр</t>
  </si>
  <si>
    <t>Творог 80 гр + арахис 30 гр</t>
  </si>
  <si>
    <t>Гречка 130 гр</t>
  </si>
  <si>
    <t>Гречка 220 гр + курица 80 гр</t>
  </si>
  <si>
    <t>Гречка 150 гр</t>
  </si>
  <si>
    <t>Гречка 260 гр + курица 100 гр</t>
  </si>
  <si>
    <t>Гречка 250 гр + курица 100 гр</t>
  </si>
  <si>
    <t>Макароны</t>
  </si>
  <si>
    <t>Гейнер 1 мерная ложка</t>
  </si>
  <si>
    <t>Гейнер ON 1 мерная ложка</t>
  </si>
  <si>
    <t>Глазированный сырок Свитлогорье</t>
  </si>
  <si>
    <t>Банан + сырок</t>
  </si>
  <si>
    <t>Гречка 100 гр</t>
  </si>
  <si>
    <t>2 яйца</t>
  </si>
  <si>
    <t>Греча (200 гр) + Курица (100 гр)</t>
  </si>
  <si>
    <t>Греча (100 гр)</t>
  </si>
  <si>
    <t>Курица (50гр)</t>
  </si>
  <si>
    <t>ааа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</si>
</sst>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1" xfId="0" applyFont="1" applyBorder="1"/>
    <xf numFmtId="0" fontId="1" fillId="0" borderId="2" xfId="0" applyFont="1" applyBorder="1"/>
    <xf numFmtId="0" fontId="1" fillId="0" borderId="13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3" xfId="0" applyFont="1" applyBorder="1"/>
    <xf numFmtId="0" fontId="1" fillId="0" borderId="1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12" xfId="0" applyFont="1" applyBorder="1"/>
    <xf numFmtId="14" fontId="1" fillId="0" borderId="0" xfId="0" applyNumberFormat="1" applyFont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0" fillId="0" borderId="3" xfId="0" applyFont="1" applyBorder="1"/>
    <xf numFmtId="0" fontId="2" fillId="0" borderId="3" xfId="0" applyFont="1" applyBorder="1"/>
    <xf numFmtId="0" fontId="0" fillId="0" borderId="21" xfId="0" applyFont="1" applyFill="1" applyBorder="1"/>
    <xf numFmtId="0" fontId="2" fillId="0" borderId="5" xfId="0" applyFont="1" applyBorder="1"/>
    <xf numFmtId="0" fontId="3" fillId="0" borderId="3" xfId="0" applyFont="1" applyBorder="1"/>
    <xf numFmtId="0" fontId="0" fillId="0" borderId="5" xfId="0" applyFont="1" applyFill="1" applyBorder="1"/>
    <xf numFmtId="0" fontId="0" fillId="0" borderId="0" xfId="0" applyFont="1" applyFill="1" applyBorder="1"/>
    <xf numFmtId="0" fontId="0" fillId="0" borderId="1" xfId="0" applyFont="1" applyBorder="1"/>
    <xf numFmtId="0" fontId="0" fillId="0" borderId="0" xfId="0" applyFont="1"/>
    <xf numFmtId="1" fontId="1" fillId="0" borderId="0" xfId="0" applyNumberFormat="1" applyFont="1"/>
    <xf numFmtId="0" fontId="0" fillId="0" borderId="5" xfId="0" applyFont="1" applyBorder="1"/>
    <xf numFmtId="0" fontId="0" fillId="0" borderId="1" xfId="0" applyFont="1" applyFill="1" applyBorder="1"/>
    <xf numFmtId="0" fontId="0" fillId="0" borderId="25" xfId="0" applyFont="1" applyFill="1" applyBorder="1"/>
    <xf numFmtId="0" fontId="0" fillId="0" borderId="26" xfId="0" applyFont="1" applyFill="1" applyBorder="1"/>
    <xf numFmtId="0" fontId="0" fillId="0" borderId="4" xfId="0" applyFont="1" applyBorder="1"/>
    <xf numFmtId="0" fontId="0" fillId="0" borderId="0" xfId="0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14" fontId="0" fillId="2" borderId="14" xfId="0" applyNumberFormat="1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workbookViewId="0">
      <selection activeCell="D19" sqref="D19"/>
    </sheetView>
  </sheetViews>
  <sheetFormatPr defaultRowHeight="15" x14ac:dyDescent="0.25"/>
  <cols>
    <col min="1" max="1" width="33" customWidth="1"/>
    <col min="6" max="6" width="33.7109375" customWidth="1"/>
  </cols>
  <sheetData>
    <row r="1" spans="1:8" x14ac:dyDescent="0.25">
      <c r="A1" s="37" t="s">
        <v>7</v>
      </c>
      <c r="B1" s="37"/>
      <c r="C1" s="37"/>
      <c r="F1" s="37" t="s">
        <v>8</v>
      </c>
      <c r="G1" s="37"/>
      <c r="H1" s="37"/>
    </row>
    <row r="2" spans="1:8" x14ac:dyDescent="0.25">
      <c r="A2" s="37"/>
      <c r="B2" s="37"/>
      <c r="C2" s="37"/>
      <c r="F2" s="37"/>
      <c r="G2" s="37"/>
      <c r="H2" s="37"/>
    </row>
    <row r="4" spans="1:8" x14ac:dyDescent="0.25">
      <c r="A4" t="s">
        <v>11</v>
      </c>
      <c r="C4">
        <v>391</v>
      </c>
      <c r="F4" t="s">
        <v>0</v>
      </c>
      <c r="H4">
        <v>391</v>
      </c>
    </row>
    <row r="5" spans="1:8" x14ac:dyDescent="0.25">
      <c r="A5" t="s">
        <v>6</v>
      </c>
      <c r="C5">
        <f>340*2+155</f>
        <v>835</v>
      </c>
      <c r="F5" t="s">
        <v>6</v>
      </c>
      <c r="H5">
        <f>340*2+155</f>
        <v>835</v>
      </c>
    </row>
    <row r="6" spans="1:8" x14ac:dyDescent="0.25">
      <c r="A6" t="s">
        <v>1</v>
      </c>
      <c r="C6">
        <f>1.75*90</f>
        <v>157.5</v>
      </c>
      <c r="F6" t="s">
        <v>1</v>
      </c>
      <c r="H6">
        <f>1.75*90</f>
        <v>157.5</v>
      </c>
    </row>
    <row r="7" spans="1:8" x14ac:dyDescent="0.25">
      <c r="A7" t="s">
        <v>9</v>
      </c>
      <c r="C7">
        <f>340*2+190*2</f>
        <v>1060</v>
      </c>
      <c r="F7" t="s">
        <v>9</v>
      </c>
      <c r="H7">
        <f>340*2+190*2</f>
        <v>1060</v>
      </c>
    </row>
    <row r="8" spans="1:8" x14ac:dyDescent="0.25">
      <c r="A8" t="s">
        <v>1</v>
      </c>
      <c r="C8">
        <f>1.75*90</f>
        <v>157.5</v>
      </c>
      <c r="F8" t="s">
        <v>1</v>
      </c>
      <c r="H8">
        <f>1.75*90</f>
        <v>157.5</v>
      </c>
    </row>
    <row r="9" spans="1:8" x14ac:dyDescent="0.25">
      <c r="A9" t="s">
        <v>2</v>
      </c>
      <c r="C9">
        <f>340+190</f>
        <v>530</v>
      </c>
      <c r="F9" t="s">
        <v>12</v>
      </c>
      <c r="H9">
        <f>340*1.5+190</f>
        <v>700</v>
      </c>
    </row>
    <row r="10" spans="1:8" x14ac:dyDescent="0.25">
      <c r="A10" t="s">
        <v>10</v>
      </c>
      <c r="C10">
        <v>391</v>
      </c>
    </row>
    <row r="11" spans="1:8" x14ac:dyDescent="0.25">
      <c r="A11" t="s">
        <v>10</v>
      </c>
      <c r="C11">
        <v>391</v>
      </c>
      <c r="F11" t="s">
        <v>10</v>
      </c>
      <c r="H11">
        <f>391</f>
        <v>391</v>
      </c>
    </row>
    <row r="12" spans="1:8" x14ac:dyDescent="0.25">
      <c r="A12" t="s">
        <v>5</v>
      </c>
      <c r="C12">
        <f>340*1.5+190*2</f>
        <v>890</v>
      </c>
      <c r="F12" t="s">
        <v>5</v>
      </c>
      <c r="H12">
        <f>340*1.5+190*2</f>
        <v>890</v>
      </c>
    </row>
    <row r="14" spans="1:8" x14ac:dyDescent="0.25">
      <c r="A14" t="s">
        <v>3</v>
      </c>
      <c r="C14">
        <f>C5+C6+C7+C8+C9+C12</f>
        <v>3630</v>
      </c>
      <c r="H14">
        <f>H5+H6+H7+H8+H9+H12</f>
        <v>3800</v>
      </c>
    </row>
    <row r="15" spans="1:8" x14ac:dyDescent="0.25">
      <c r="A15" t="s">
        <v>4</v>
      </c>
      <c r="C15">
        <f>SUM(C4:C12)</f>
        <v>4803</v>
      </c>
      <c r="H15">
        <f>SUM(H4:H12)</f>
        <v>4582</v>
      </c>
    </row>
  </sheetData>
  <mergeCells count="2">
    <mergeCell ref="A1:C2"/>
    <mergeCell ref="F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workbookViewId="0">
      <selection activeCell="A8" sqref="A8"/>
    </sheetView>
  </sheetViews>
  <sheetFormatPr defaultRowHeight="15" x14ac:dyDescent="0.25"/>
  <cols>
    <col min="1" max="1" width="42" customWidth="1"/>
    <col min="5" max="5" width="42.7109375" customWidth="1"/>
  </cols>
  <sheetData>
    <row r="1" spans="1:7" x14ac:dyDescent="0.25">
      <c r="A1" s="37" t="s">
        <v>14</v>
      </c>
      <c r="B1" s="37"/>
      <c r="C1" s="37"/>
      <c r="E1" s="37" t="s">
        <v>18</v>
      </c>
      <c r="F1" s="37"/>
      <c r="G1" s="37"/>
    </row>
    <row r="2" spans="1:7" x14ac:dyDescent="0.25">
      <c r="A2" s="37"/>
      <c r="B2" s="37"/>
      <c r="C2" s="37"/>
      <c r="E2" s="37"/>
      <c r="F2" s="37"/>
      <c r="G2" s="37"/>
    </row>
    <row r="4" spans="1:7" x14ac:dyDescent="0.25">
      <c r="A4" t="s">
        <v>0</v>
      </c>
      <c r="C4">
        <v>391</v>
      </c>
      <c r="E4" t="s">
        <v>0</v>
      </c>
      <c r="G4">
        <v>391</v>
      </c>
    </row>
    <row r="5" spans="1:7" x14ac:dyDescent="0.25">
      <c r="A5" t="s">
        <v>6</v>
      </c>
      <c r="C5">
        <f>340*2+155</f>
        <v>835</v>
      </c>
      <c r="E5" t="s">
        <v>15</v>
      </c>
      <c r="G5">
        <f>342*2+155</f>
        <v>839</v>
      </c>
    </row>
    <row r="6" spans="1:7" x14ac:dyDescent="0.25">
      <c r="A6" t="s">
        <v>1</v>
      </c>
      <c r="C6">
        <f>1.75*90</f>
        <v>157.5</v>
      </c>
      <c r="E6" t="s">
        <v>1</v>
      </c>
      <c r="G6">
        <f>1.75*90</f>
        <v>157.5</v>
      </c>
    </row>
    <row r="7" spans="1:7" x14ac:dyDescent="0.25">
      <c r="A7" t="s">
        <v>9</v>
      </c>
      <c r="C7">
        <f>340*2+190*2</f>
        <v>1060</v>
      </c>
      <c r="E7" t="s">
        <v>16</v>
      </c>
      <c r="G7">
        <f>342*2+190*2</f>
        <v>1064</v>
      </c>
    </row>
    <row r="8" spans="1:7" x14ac:dyDescent="0.25">
      <c r="A8" t="s">
        <v>1</v>
      </c>
      <c r="C8">
        <f>1.75*90</f>
        <v>157.5</v>
      </c>
      <c r="E8" t="s">
        <v>1</v>
      </c>
      <c r="G8">
        <f>1.75*90</f>
        <v>157.5</v>
      </c>
    </row>
    <row r="9" spans="1:7" x14ac:dyDescent="0.25">
      <c r="A9" t="s">
        <v>12</v>
      </c>
      <c r="C9">
        <f>340*1.5+190</f>
        <v>700</v>
      </c>
      <c r="E9" t="s">
        <v>17</v>
      </c>
      <c r="G9">
        <f>342*1.5+190</f>
        <v>703</v>
      </c>
    </row>
    <row r="10" spans="1:7" x14ac:dyDescent="0.25">
      <c r="E10" t="s">
        <v>13</v>
      </c>
      <c r="G10">
        <f>391</f>
        <v>391</v>
      </c>
    </row>
    <row r="11" spans="1:7" x14ac:dyDescent="0.25">
      <c r="E11" t="s">
        <v>19</v>
      </c>
    </row>
    <row r="12" spans="1:7" x14ac:dyDescent="0.25">
      <c r="A12" t="s">
        <v>13</v>
      </c>
      <c r="C12">
        <f>391</f>
        <v>391</v>
      </c>
      <c r="E12" t="s">
        <v>13</v>
      </c>
      <c r="G12">
        <f>391</f>
        <v>391</v>
      </c>
    </row>
    <row r="13" spans="1:7" x14ac:dyDescent="0.25">
      <c r="A13" t="s">
        <v>20</v>
      </c>
      <c r="C13">
        <f>340+190*1.5</f>
        <v>625</v>
      </c>
      <c r="E13" t="s">
        <v>21</v>
      </c>
      <c r="G13">
        <f>340*1.5+190*1.5</f>
        <v>795</v>
      </c>
    </row>
    <row r="15" spans="1:7" x14ac:dyDescent="0.25">
      <c r="C15">
        <f>C5+C6+C7+C8+C9+C13</f>
        <v>3535</v>
      </c>
      <c r="G15">
        <f>G5+G6+G7+G8+G9+G13</f>
        <v>3716</v>
      </c>
    </row>
    <row r="16" spans="1:7" x14ac:dyDescent="0.25">
      <c r="C16">
        <f>SUM(C4:C13)</f>
        <v>4317</v>
      </c>
      <c r="G16">
        <f>SUM(G4:G13)</f>
        <v>4889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N36"/>
  <sheetViews>
    <sheetView workbookViewId="0">
      <selection activeCell="I2" sqref="I2:M4"/>
    </sheetView>
  </sheetViews>
  <sheetFormatPr defaultRowHeight="15" x14ac:dyDescent="0.25"/>
  <cols>
    <col min="2" max="2" width="40.5703125" customWidth="1"/>
    <col min="9" max="9" width="28.140625" customWidth="1"/>
    <col min="10" max="10" width="11.28515625" customWidth="1"/>
  </cols>
  <sheetData>
    <row r="2" spans="2:14" x14ac:dyDescent="0.25">
      <c r="B2" s="37" t="s">
        <v>34</v>
      </c>
      <c r="C2" s="37"/>
      <c r="D2" s="37"/>
      <c r="E2" s="37"/>
      <c r="F2" s="37"/>
      <c r="G2" s="37"/>
      <c r="J2" t="s">
        <v>28</v>
      </c>
      <c r="K2" t="s">
        <v>24</v>
      </c>
      <c r="L2" t="s">
        <v>25</v>
      </c>
      <c r="M2" t="s">
        <v>26</v>
      </c>
    </row>
    <row r="3" spans="2:14" x14ac:dyDescent="0.25">
      <c r="B3" t="s">
        <v>22</v>
      </c>
      <c r="D3" t="s">
        <v>23</v>
      </c>
      <c r="E3" t="s">
        <v>24</v>
      </c>
      <c r="F3" t="s">
        <v>25</v>
      </c>
      <c r="G3" t="s">
        <v>26</v>
      </c>
      <c r="I3" t="s">
        <v>27</v>
      </c>
      <c r="J3">
        <v>1</v>
      </c>
      <c r="K3">
        <v>4</v>
      </c>
      <c r="L3">
        <v>0.5</v>
      </c>
      <c r="M3">
        <v>5</v>
      </c>
    </row>
    <row r="4" spans="2:14" x14ac:dyDescent="0.25">
      <c r="B4" t="s">
        <v>40</v>
      </c>
      <c r="D4">
        <f>C32*2+C35*0.9</f>
        <v>1051.9000000000001</v>
      </c>
      <c r="E4">
        <f>D32*2+D35*0.9</f>
        <v>59.400000000000006</v>
      </c>
      <c r="F4">
        <f>E32*2+E35*0.9</f>
        <v>7.9</v>
      </c>
      <c r="G4">
        <f>F32*2+F35*0.9</f>
        <v>185.89999999999998</v>
      </c>
      <c r="I4" s="1">
        <v>42981</v>
      </c>
      <c r="J4">
        <v>62</v>
      </c>
      <c r="K4">
        <f>J4*K3</f>
        <v>248</v>
      </c>
      <c r="L4">
        <f>J4*L3</f>
        <v>31</v>
      </c>
      <c r="M4">
        <f>J4*M3</f>
        <v>310</v>
      </c>
    </row>
    <row r="6" spans="2:14" x14ac:dyDescent="0.25">
      <c r="B6" t="s">
        <v>32</v>
      </c>
      <c r="D6">
        <f>C32*1.5+C33*2.5</f>
        <v>1000</v>
      </c>
      <c r="E6">
        <f>D32*1.5+D33*2.5</f>
        <v>58.9</v>
      </c>
      <c r="F6">
        <f>E32*1.5+E33*2.5</f>
        <v>38.9</v>
      </c>
      <c r="G6">
        <f>F32*1.5+F33*2.5</f>
        <v>103.64999999999999</v>
      </c>
    </row>
    <row r="8" spans="2:14" x14ac:dyDescent="0.25">
      <c r="B8" t="s">
        <v>32</v>
      </c>
      <c r="D8">
        <f>C32*1.5+C33*2.5</f>
        <v>1000</v>
      </c>
      <c r="E8">
        <f>D32*1.5+D33*2.5</f>
        <v>58.9</v>
      </c>
      <c r="F8">
        <f>E32*1.5+E33*2.5</f>
        <v>38.9</v>
      </c>
      <c r="G8">
        <f>F32*1.5+F33*2.5</f>
        <v>103.64999999999999</v>
      </c>
    </row>
    <row r="10" spans="2:14" x14ac:dyDescent="0.25">
      <c r="B10" t="s">
        <v>36</v>
      </c>
      <c r="D10">
        <f>C34*2</f>
        <v>179.4</v>
      </c>
      <c r="E10">
        <f>D34*2</f>
        <v>36</v>
      </c>
      <c r="F10">
        <f>E34*2</f>
        <v>1</v>
      </c>
      <c r="G10">
        <f>F34*2</f>
        <v>6.6</v>
      </c>
    </row>
    <row r="16" spans="2:14" x14ac:dyDescent="0.25">
      <c r="B16" s="37" t="s">
        <v>35</v>
      </c>
      <c r="C16" s="37"/>
      <c r="D16" s="37"/>
      <c r="E16" s="37"/>
      <c r="F16" s="37"/>
      <c r="G16" s="37"/>
      <c r="I16" s="37" t="s">
        <v>35</v>
      </c>
      <c r="J16" s="37"/>
      <c r="K16" s="37"/>
      <c r="L16" s="37"/>
      <c r="M16" s="37"/>
      <c r="N16" s="37"/>
    </row>
    <row r="17" spans="2:14" x14ac:dyDescent="0.25">
      <c r="B17" t="s">
        <v>22</v>
      </c>
      <c r="D17" t="s">
        <v>23</v>
      </c>
      <c r="E17" t="s">
        <v>24</v>
      </c>
      <c r="F17" t="s">
        <v>25</v>
      </c>
      <c r="G17" t="s">
        <v>26</v>
      </c>
      <c r="I17" t="s">
        <v>22</v>
      </c>
      <c r="K17" t="s">
        <v>23</v>
      </c>
      <c r="L17" t="s">
        <v>24</v>
      </c>
      <c r="M17" t="s">
        <v>25</v>
      </c>
      <c r="N17" t="s">
        <v>26</v>
      </c>
    </row>
    <row r="18" spans="2:14" x14ac:dyDescent="0.25">
      <c r="B18" t="s">
        <v>41</v>
      </c>
      <c r="D18">
        <f>C32*2+C33*0.5</f>
        <v>795</v>
      </c>
      <c r="E18">
        <f>D32*2+D33*0.5</f>
        <v>33.200000000000003</v>
      </c>
      <c r="F18">
        <f>E32*2+E33*0.5</f>
        <v>12.2</v>
      </c>
      <c r="G18">
        <f>F32*2+F33*0.5</f>
        <v>138.19999999999999</v>
      </c>
      <c r="I18" t="s">
        <v>46</v>
      </c>
      <c r="K18">
        <f>C36*1.5+C33*0.5</f>
        <v>579.5</v>
      </c>
      <c r="L18">
        <f>D36*1.5+D33*0.5</f>
        <v>18.5</v>
      </c>
      <c r="M18">
        <f>E36*1.5+E33*0.5</f>
        <v>7.9</v>
      </c>
      <c r="N18">
        <f>F36*1.5+F33*0.5</f>
        <v>115.94999999999999</v>
      </c>
    </row>
    <row r="19" spans="2:14" x14ac:dyDescent="0.25">
      <c r="I19" t="s">
        <v>36</v>
      </c>
      <c r="K19">
        <f>C34*2</f>
        <v>179.4</v>
      </c>
      <c r="L19">
        <f>D34*2</f>
        <v>36</v>
      </c>
      <c r="M19">
        <f>E34*2</f>
        <v>1</v>
      </c>
      <c r="N19">
        <f>F34*2</f>
        <v>6.6</v>
      </c>
    </row>
    <row r="20" spans="2:14" x14ac:dyDescent="0.25">
      <c r="B20" t="s">
        <v>32</v>
      </c>
      <c r="D20">
        <f>C32*1.5+C33*2.5</f>
        <v>1000</v>
      </c>
      <c r="E20">
        <f>D32*1.5+D33*2.5</f>
        <v>58.9</v>
      </c>
      <c r="F20">
        <f>E32*1.5+E33*2.5</f>
        <v>38.9</v>
      </c>
      <c r="G20">
        <f>F32*1.5+F33*2.5</f>
        <v>103.64999999999999</v>
      </c>
      <c r="I20" t="s">
        <v>42</v>
      </c>
      <c r="K20">
        <f>C36*1.5+C33*2.5</f>
        <v>959.5</v>
      </c>
      <c r="L20">
        <f>D36*1.5+D33*2.5</f>
        <v>50.5</v>
      </c>
      <c r="M20">
        <f>E36*1.5+E33*2.5</f>
        <v>35.9</v>
      </c>
      <c r="N20">
        <f>F36*1.5+F33*2.5</f>
        <v>115.94999999999999</v>
      </c>
    </row>
    <row r="22" spans="2:14" x14ac:dyDescent="0.25">
      <c r="B22" t="s">
        <v>38</v>
      </c>
      <c r="D22">
        <f>C32*1+C33*0.5</f>
        <v>445</v>
      </c>
      <c r="E22">
        <f>D32*1+D33*0.5</f>
        <v>20.6</v>
      </c>
      <c r="F22">
        <f>E32*1+E33*0.5</f>
        <v>9.6</v>
      </c>
      <c r="G22">
        <f>F32*1+F33*0.5</f>
        <v>69.099999999999994</v>
      </c>
      <c r="I22" t="s">
        <v>43</v>
      </c>
      <c r="K22">
        <f>C36+C33*0.5</f>
        <v>418</v>
      </c>
      <c r="L22">
        <f>D36+D33*0.5</f>
        <v>15</v>
      </c>
      <c r="M22">
        <f>E36+E33*0.5</f>
        <v>7.6</v>
      </c>
      <c r="N22">
        <f>F36+F33*0.5</f>
        <v>77.3</v>
      </c>
    </row>
    <row r="23" spans="2:14" x14ac:dyDescent="0.25">
      <c r="B23" t="s">
        <v>39</v>
      </c>
      <c r="D23">
        <f>C35*0.9</f>
        <v>351.90000000000003</v>
      </c>
      <c r="E23">
        <f>D35*0.9</f>
        <v>34.200000000000003</v>
      </c>
      <c r="F23">
        <f>E35*0.9</f>
        <v>2.7</v>
      </c>
      <c r="G23">
        <f>F35*0.9</f>
        <v>47.7</v>
      </c>
      <c r="I23" t="s">
        <v>39</v>
      </c>
      <c r="K23">
        <f>C35*0.9</f>
        <v>351.90000000000003</v>
      </c>
      <c r="L23">
        <f>D35*0.9</f>
        <v>34.200000000000003</v>
      </c>
      <c r="M23">
        <f>E35*0.9</f>
        <v>2.7</v>
      </c>
      <c r="N23">
        <f>F35*0.9</f>
        <v>47.7</v>
      </c>
    </row>
    <row r="24" spans="2:14" x14ac:dyDescent="0.25">
      <c r="B24" t="s">
        <v>9</v>
      </c>
      <c r="D24">
        <f>C32*2+C33*2</f>
        <v>1080</v>
      </c>
      <c r="E24">
        <f>D32*2+D33*2</f>
        <v>57.2</v>
      </c>
      <c r="F24">
        <f>E32*2+E33*2</f>
        <v>33.200000000000003</v>
      </c>
      <c r="G24">
        <f>F32*2+F33*2</f>
        <v>138.19999999999999</v>
      </c>
      <c r="I24" t="s">
        <v>44</v>
      </c>
      <c r="K24">
        <f>C36*2+C33*2</f>
        <v>1026</v>
      </c>
      <c r="L24">
        <f>D36*2+D33*2</f>
        <v>46</v>
      </c>
      <c r="M24">
        <f>E36*2+E33*2</f>
        <v>29.2</v>
      </c>
      <c r="N24">
        <f>F36*2+F33*2</f>
        <v>154.6</v>
      </c>
    </row>
    <row r="26" spans="2:14" x14ac:dyDescent="0.25">
      <c r="B26" t="s">
        <v>36</v>
      </c>
      <c r="D26">
        <f>C34*2</f>
        <v>179.4</v>
      </c>
      <c r="E26">
        <f>D34*2</f>
        <v>36</v>
      </c>
      <c r="F26">
        <f>E34*2</f>
        <v>1</v>
      </c>
      <c r="G26">
        <f>F34*2</f>
        <v>6.6</v>
      </c>
      <c r="I26" t="s">
        <v>36</v>
      </c>
      <c r="K26">
        <f>C34*2</f>
        <v>179.4</v>
      </c>
      <c r="L26">
        <f>D34*2</f>
        <v>36</v>
      </c>
      <c r="M26">
        <f>E34*2</f>
        <v>1</v>
      </c>
      <c r="N26">
        <f>F34*2</f>
        <v>6.6</v>
      </c>
    </row>
    <row r="30" spans="2:14" x14ac:dyDescent="0.25">
      <c r="B30" s="37" t="s">
        <v>30</v>
      </c>
      <c r="C30" s="37"/>
      <c r="D30" s="37"/>
      <c r="E30" s="37"/>
    </row>
    <row r="31" spans="2:14" x14ac:dyDescent="0.25">
      <c r="B31" t="s">
        <v>22</v>
      </c>
      <c r="C31" t="s">
        <v>23</v>
      </c>
      <c r="D31" t="s">
        <v>24</v>
      </c>
      <c r="E31" t="s">
        <v>25</v>
      </c>
      <c r="F31" t="s">
        <v>26</v>
      </c>
    </row>
    <row r="32" spans="2:14" x14ac:dyDescent="0.25">
      <c r="B32" t="s">
        <v>29</v>
      </c>
      <c r="C32">
        <v>350</v>
      </c>
      <c r="D32">
        <v>12.6</v>
      </c>
      <c r="E32">
        <v>2.6</v>
      </c>
      <c r="F32">
        <v>69.099999999999994</v>
      </c>
    </row>
    <row r="33" spans="2:6" x14ac:dyDescent="0.25">
      <c r="B33" t="s">
        <v>31</v>
      </c>
      <c r="C33">
        <v>190</v>
      </c>
      <c r="D33">
        <v>16</v>
      </c>
      <c r="E33">
        <v>14</v>
      </c>
      <c r="F33">
        <v>0</v>
      </c>
    </row>
    <row r="34" spans="2:6" x14ac:dyDescent="0.25">
      <c r="B34" t="s">
        <v>33</v>
      </c>
      <c r="C34">
        <v>89.7</v>
      </c>
      <c r="D34">
        <v>18</v>
      </c>
      <c r="E34">
        <v>0.5</v>
      </c>
      <c r="F34">
        <v>3.3</v>
      </c>
    </row>
    <row r="35" spans="2:6" x14ac:dyDescent="0.25">
      <c r="B35" t="s">
        <v>37</v>
      </c>
      <c r="C35">
        <v>391</v>
      </c>
      <c r="D35">
        <v>38</v>
      </c>
      <c r="E35">
        <v>3</v>
      </c>
      <c r="F35">
        <v>53</v>
      </c>
    </row>
    <row r="36" spans="2:6" x14ac:dyDescent="0.25">
      <c r="B36" t="s">
        <v>45</v>
      </c>
      <c r="C36">
        <v>323</v>
      </c>
      <c r="D36">
        <v>7</v>
      </c>
      <c r="E36">
        <v>0.6</v>
      </c>
      <c r="F36">
        <v>77.3</v>
      </c>
    </row>
  </sheetData>
  <mergeCells count="4">
    <mergeCell ref="B30:E30"/>
    <mergeCell ref="B2:G2"/>
    <mergeCell ref="B16:G16"/>
    <mergeCell ref="I16:N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C42"/>
  <sheetViews>
    <sheetView tabSelected="1" topLeftCell="BU15" workbookViewId="0">
      <selection activeCell="CC26" sqref="CC26"/>
    </sheetView>
  </sheetViews>
  <sheetFormatPr defaultRowHeight="15" x14ac:dyDescent="0.25"/>
  <cols>
    <col min="1" max="1" width="41" style="2" hidden="1" customWidth="1"/>
    <col min="2" max="7" width="0" style="2" hidden="1" customWidth="1"/>
    <col min="8" max="8" width="36.5703125" style="2" hidden="1" customWidth="1"/>
    <col min="9" max="14" width="0" style="2" hidden="1" customWidth="1"/>
    <col min="15" max="15" width="36.5703125" style="2" hidden="1" customWidth="1"/>
    <col min="16" max="19" width="9.140625" style="2" hidden="1" customWidth="1"/>
    <col min="20" max="21" width="0" style="2" hidden="1" customWidth="1"/>
    <col min="22" max="22" width="36.5703125" style="2" hidden="1" customWidth="1"/>
    <col min="23" max="26" width="9.140625" style="2" hidden="1" customWidth="1"/>
    <col min="27" max="28" width="0" style="2" hidden="1" customWidth="1"/>
    <col min="29" max="29" width="36.5703125" style="2" hidden="1" customWidth="1"/>
    <col min="30" max="35" width="0" style="2" hidden="1" customWidth="1"/>
    <col min="36" max="36" width="36.5703125" style="2" hidden="1" customWidth="1"/>
    <col min="37" max="44" width="0" style="2" hidden="1" customWidth="1"/>
    <col min="45" max="45" width="36.5703125" style="2" hidden="1" customWidth="1"/>
    <col min="46" max="51" width="0" style="2" hidden="1" customWidth="1"/>
    <col min="52" max="52" width="9.140625" style="2" hidden="1" customWidth="1"/>
    <col min="53" max="53" width="36.5703125" style="2" hidden="1" customWidth="1"/>
    <col min="54" max="60" width="0" style="2" hidden="1" customWidth="1"/>
    <col min="61" max="61" width="36.5703125" style="2" hidden="1" customWidth="1"/>
    <col min="62" max="66" width="0" style="2" hidden="1" customWidth="1"/>
    <col min="67" max="67" width="9.140625" style="2"/>
    <col min="68" max="68" width="36.5703125" style="2" customWidth="1"/>
    <col min="69" max="74" width="9.140625" style="2"/>
    <col min="75" max="75" width="36.5703125" style="2" customWidth="1"/>
    <col min="76" max="16384" width="9.140625" style="2"/>
  </cols>
  <sheetData>
    <row r="1" spans="1:79" ht="15.75" thickBot="1" x14ac:dyDescent="0.3">
      <c r="A1" s="38" t="s">
        <v>30</v>
      </c>
      <c r="B1" s="39"/>
      <c r="C1" s="39"/>
      <c r="D1" s="39"/>
      <c r="E1" s="40"/>
      <c r="H1" s="38" t="s">
        <v>30</v>
      </c>
      <c r="I1" s="39"/>
      <c r="J1" s="39"/>
      <c r="K1" s="39"/>
      <c r="L1" s="40"/>
      <c r="M1" s="17"/>
      <c r="N1" s="17"/>
      <c r="O1" s="47" t="s">
        <v>30</v>
      </c>
      <c r="P1" s="48"/>
      <c r="Q1" s="48"/>
      <c r="R1" s="48"/>
      <c r="S1" s="49"/>
      <c r="V1" s="42" t="s">
        <v>30</v>
      </c>
      <c r="W1" s="43"/>
      <c r="X1" s="43"/>
      <c r="Y1" s="43"/>
      <c r="Z1" s="44"/>
      <c r="AC1" s="52" t="s">
        <v>30</v>
      </c>
      <c r="AD1" s="53"/>
      <c r="AE1" s="53"/>
      <c r="AF1" s="53"/>
      <c r="AG1" s="54"/>
      <c r="AJ1" s="50" t="s">
        <v>30</v>
      </c>
      <c r="AK1" s="50"/>
      <c r="AL1" s="50"/>
      <c r="AM1" s="50"/>
      <c r="AN1" s="50"/>
      <c r="AS1" s="50" t="s">
        <v>30</v>
      </c>
      <c r="AT1" s="50"/>
      <c r="AU1" s="50"/>
      <c r="AV1" s="50"/>
      <c r="AW1" s="50"/>
      <c r="BA1" s="50" t="s">
        <v>30</v>
      </c>
      <c r="BB1" s="50"/>
      <c r="BC1" s="50"/>
      <c r="BD1" s="50"/>
      <c r="BE1" s="50"/>
      <c r="BI1" s="50" t="s">
        <v>30</v>
      </c>
      <c r="BJ1" s="50"/>
      <c r="BK1" s="50"/>
      <c r="BL1" s="50"/>
      <c r="BM1" s="50"/>
      <c r="BP1" s="50" t="s">
        <v>30</v>
      </c>
      <c r="BQ1" s="50"/>
      <c r="BR1" s="50"/>
      <c r="BS1" s="50"/>
      <c r="BT1" s="50"/>
      <c r="BW1" s="50" t="s">
        <v>30</v>
      </c>
      <c r="BX1" s="50"/>
      <c r="BY1" s="50"/>
      <c r="BZ1" s="50"/>
      <c r="CA1" s="50"/>
    </row>
    <row r="2" spans="1:79" ht="15.75" thickBot="1" x14ac:dyDescent="0.3">
      <c r="A2" s="3" t="s">
        <v>22</v>
      </c>
      <c r="B2" s="4" t="s">
        <v>23</v>
      </c>
      <c r="C2" s="4" t="s">
        <v>24</v>
      </c>
      <c r="D2" s="4" t="s">
        <v>25</v>
      </c>
      <c r="E2" s="5" t="s">
        <v>26</v>
      </c>
      <c r="H2" s="3" t="s">
        <v>22</v>
      </c>
      <c r="I2" s="4" t="s">
        <v>23</v>
      </c>
      <c r="J2" s="4" t="s">
        <v>24</v>
      </c>
      <c r="K2" s="4" t="s">
        <v>25</v>
      </c>
      <c r="L2" s="5" t="s">
        <v>26</v>
      </c>
      <c r="M2" s="18"/>
      <c r="N2" s="18"/>
      <c r="O2" s="3" t="s">
        <v>22</v>
      </c>
      <c r="P2" s="4" t="s">
        <v>23</v>
      </c>
      <c r="Q2" s="4" t="s">
        <v>24</v>
      </c>
      <c r="R2" s="4" t="s">
        <v>25</v>
      </c>
      <c r="S2" s="5" t="s">
        <v>26</v>
      </c>
      <c r="V2" s="19" t="s">
        <v>22</v>
      </c>
      <c r="W2" s="20" t="s">
        <v>23</v>
      </c>
      <c r="X2" s="20" t="s">
        <v>24</v>
      </c>
      <c r="Y2" s="20" t="s">
        <v>25</v>
      </c>
      <c r="Z2" s="21" t="s">
        <v>26</v>
      </c>
      <c r="AC2" s="9" t="s">
        <v>22</v>
      </c>
      <c r="AD2" s="10" t="s">
        <v>23</v>
      </c>
      <c r="AE2" s="10" t="s">
        <v>24</v>
      </c>
      <c r="AF2" s="10" t="s">
        <v>25</v>
      </c>
      <c r="AG2" s="11" t="s">
        <v>26</v>
      </c>
      <c r="AJ2" s="10" t="s">
        <v>22</v>
      </c>
      <c r="AK2" s="10" t="s">
        <v>23</v>
      </c>
      <c r="AL2" s="10" t="s">
        <v>24</v>
      </c>
      <c r="AM2" s="10" t="s">
        <v>25</v>
      </c>
      <c r="AN2" s="10" t="s">
        <v>26</v>
      </c>
      <c r="AS2" s="10" t="s">
        <v>22</v>
      </c>
      <c r="AT2" s="10" t="s">
        <v>23</v>
      </c>
      <c r="AU2" s="10" t="s">
        <v>24</v>
      </c>
      <c r="AV2" s="10" t="s">
        <v>25</v>
      </c>
      <c r="AW2" s="10" t="s">
        <v>26</v>
      </c>
      <c r="BA2" s="10" t="s">
        <v>22</v>
      </c>
      <c r="BB2" s="10" t="s">
        <v>23</v>
      </c>
      <c r="BC2" s="10" t="s">
        <v>24</v>
      </c>
      <c r="BD2" s="10" t="s">
        <v>25</v>
      </c>
      <c r="BE2" s="10" t="s">
        <v>26</v>
      </c>
      <c r="BI2" s="10" t="s">
        <v>22</v>
      </c>
      <c r="BJ2" s="10" t="s">
        <v>23</v>
      </c>
      <c r="BK2" s="10" t="s">
        <v>24</v>
      </c>
      <c r="BL2" s="10" t="s">
        <v>25</v>
      </c>
      <c r="BM2" s="10" t="s">
        <v>26</v>
      </c>
      <c r="BP2" s="10" t="s">
        <v>22</v>
      </c>
      <c r="BQ2" s="10" t="s">
        <v>23</v>
      </c>
      <c r="BR2" s="10" t="s">
        <v>24</v>
      </c>
      <c r="BS2" s="10" t="s">
        <v>25</v>
      </c>
      <c r="BT2" s="10" t="s">
        <v>26</v>
      </c>
      <c r="BW2" s="10" t="s">
        <v>22</v>
      </c>
      <c r="BX2" s="10" t="s">
        <v>23</v>
      </c>
      <c r="BY2" s="10" t="s">
        <v>24</v>
      </c>
      <c r="BZ2" s="10" t="s">
        <v>25</v>
      </c>
      <c r="CA2" s="10" t="s">
        <v>26</v>
      </c>
    </row>
    <row r="3" spans="1:79" x14ac:dyDescent="0.25">
      <c r="A3" s="6" t="s">
        <v>29</v>
      </c>
      <c r="B3" s="7">
        <v>350</v>
      </c>
      <c r="C3" s="7">
        <v>12.6</v>
      </c>
      <c r="D3" s="7">
        <v>2.6</v>
      </c>
      <c r="E3" s="8">
        <v>69.099999999999994</v>
      </c>
      <c r="H3" s="6" t="s">
        <v>29</v>
      </c>
      <c r="I3" s="7">
        <v>350</v>
      </c>
      <c r="J3" s="7">
        <v>12.6</v>
      </c>
      <c r="K3" s="7">
        <v>2.6</v>
      </c>
      <c r="L3" s="8">
        <v>69.099999999999994</v>
      </c>
      <c r="M3" s="18"/>
      <c r="N3" s="18"/>
      <c r="O3" s="6" t="s">
        <v>29</v>
      </c>
      <c r="P3" s="7">
        <v>350</v>
      </c>
      <c r="Q3" s="7">
        <v>12.6</v>
      </c>
      <c r="R3" s="7">
        <v>2.6</v>
      </c>
      <c r="S3" s="8">
        <v>69.099999999999994</v>
      </c>
      <c r="V3" s="6" t="s">
        <v>29</v>
      </c>
      <c r="W3" s="7">
        <v>350</v>
      </c>
      <c r="X3" s="7">
        <v>12.6</v>
      </c>
      <c r="Y3" s="7">
        <v>2.6</v>
      </c>
      <c r="Z3" s="8">
        <v>69.099999999999994</v>
      </c>
      <c r="AC3" s="9" t="s">
        <v>29</v>
      </c>
      <c r="AD3" s="10">
        <v>350</v>
      </c>
      <c r="AE3" s="10">
        <v>12.6</v>
      </c>
      <c r="AF3" s="10">
        <v>2.6</v>
      </c>
      <c r="AG3" s="11">
        <v>69.099999999999994</v>
      </c>
      <c r="AJ3" s="10" t="s">
        <v>29</v>
      </c>
      <c r="AK3" s="10">
        <v>350</v>
      </c>
      <c r="AL3" s="10">
        <v>12.6</v>
      </c>
      <c r="AM3" s="10">
        <v>2.6</v>
      </c>
      <c r="AN3" s="10">
        <v>69.099999999999994</v>
      </c>
      <c r="AS3" s="10" t="s">
        <v>29</v>
      </c>
      <c r="AT3" s="10">
        <v>350</v>
      </c>
      <c r="AU3" s="10">
        <v>12.6</v>
      </c>
      <c r="AV3" s="10">
        <v>2.6</v>
      </c>
      <c r="AW3" s="10">
        <v>69.099999999999994</v>
      </c>
      <c r="BA3" s="10" t="s">
        <v>29</v>
      </c>
      <c r="BB3" s="10">
        <v>350</v>
      </c>
      <c r="BC3" s="10">
        <v>12.6</v>
      </c>
      <c r="BD3" s="10">
        <v>2.6</v>
      </c>
      <c r="BE3" s="10">
        <v>69.099999999999994</v>
      </c>
      <c r="BI3" s="10" t="s">
        <v>29</v>
      </c>
      <c r="BJ3" s="10">
        <v>350</v>
      </c>
      <c r="BK3" s="10">
        <v>12.6</v>
      </c>
      <c r="BL3" s="10">
        <v>2.6</v>
      </c>
      <c r="BM3" s="10">
        <v>69.099999999999994</v>
      </c>
      <c r="BP3" s="10" t="s">
        <v>29</v>
      </c>
      <c r="BQ3" s="10">
        <v>350</v>
      </c>
      <c r="BR3" s="10">
        <v>12.6</v>
      </c>
      <c r="BS3" s="10">
        <v>2.6</v>
      </c>
      <c r="BT3" s="10">
        <v>69.099999999999994</v>
      </c>
      <c r="BW3" s="10" t="s">
        <v>29</v>
      </c>
      <c r="BX3" s="10">
        <v>350</v>
      </c>
      <c r="BY3" s="10">
        <v>12.6</v>
      </c>
      <c r="BZ3" s="10">
        <v>2.6</v>
      </c>
      <c r="CA3" s="10">
        <v>69.099999999999994</v>
      </c>
    </row>
    <row r="4" spans="1:79" x14ac:dyDescent="0.25">
      <c r="A4" s="9" t="s">
        <v>31</v>
      </c>
      <c r="B4" s="10">
        <v>190</v>
      </c>
      <c r="C4" s="10">
        <v>16</v>
      </c>
      <c r="D4" s="10">
        <v>14</v>
      </c>
      <c r="E4" s="11">
        <v>0</v>
      </c>
      <c r="H4" s="9" t="s">
        <v>31</v>
      </c>
      <c r="I4" s="10">
        <v>190</v>
      </c>
      <c r="J4" s="10">
        <v>16</v>
      </c>
      <c r="K4" s="10">
        <v>14</v>
      </c>
      <c r="L4" s="11">
        <v>0</v>
      </c>
      <c r="M4" s="18"/>
      <c r="N4" s="18"/>
      <c r="O4" s="9" t="s">
        <v>31</v>
      </c>
      <c r="P4" s="10">
        <v>190</v>
      </c>
      <c r="Q4" s="10">
        <v>16</v>
      </c>
      <c r="R4" s="10">
        <v>14</v>
      </c>
      <c r="S4" s="11">
        <v>0</v>
      </c>
      <c r="V4" s="9" t="s">
        <v>31</v>
      </c>
      <c r="W4" s="10">
        <v>190</v>
      </c>
      <c r="X4" s="10">
        <v>16</v>
      </c>
      <c r="Y4" s="10">
        <v>14</v>
      </c>
      <c r="Z4" s="11">
        <v>0</v>
      </c>
      <c r="AC4" s="9" t="s">
        <v>31</v>
      </c>
      <c r="AD4" s="10">
        <v>190</v>
      </c>
      <c r="AE4" s="10">
        <v>16</v>
      </c>
      <c r="AF4" s="10">
        <v>14</v>
      </c>
      <c r="AG4" s="11">
        <v>0</v>
      </c>
      <c r="AJ4" s="10" t="s">
        <v>31</v>
      </c>
      <c r="AK4" s="10">
        <v>190</v>
      </c>
      <c r="AL4" s="10">
        <v>16</v>
      </c>
      <c r="AM4" s="10">
        <v>14</v>
      </c>
      <c r="AN4" s="10">
        <v>0</v>
      </c>
      <c r="AS4" s="10" t="s">
        <v>31</v>
      </c>
      <c r="AT4" s="10">
        <v>190</v>
      </c>
      <c r="AU4" s="10">
        <v>16</v>
      </c>
      <c r="AV4" s="10">
        <v>14</v>
      </c>
      <c r="AW4" s="10">
        <v>0</v>
      </c>
      <c r="BA4" s="10" t="s">
        <v>31</v>
      </c>
      <c r="BB4" s="10">
        <v>190</v>
      </c>
      <c r="BC4" s="10">
        <v>16</v>
      </c>
      <c r="BD4" s="10">
        <v>14</v>
      </c>
      <c r="BE4" s="10">
        <v>0</v>
      </c>
      <c r="BI4" s="10" t="s">
        <v>31</v>
      </c>
      <c r="BJ4" s="10">
        <v>190</v>
      </c>
      <c r="BK4" s="10">
        <v>16</v>
      </c>
      <c r="BL4" s="10">
        <v>14</v>
      </c>
      <c r="BM4" s="10">
        <v>0</v>
      </c>
      <c r="BP4" s="10" t="s">
        <v>31</v>
      </c>
      <c r="BQ4" s="10">
        <v>190</v>
      </c>
      <c r="BR4" s="10">
        <v>16</v>
      </c>
      <c r="BS4" s="10">
        <v>14</v>
      </c>
      <c r="BT4" s="10">
        <v>0</v>
      </c>
      <c r="BW4" s="10" t="s">
        <v>31</v>
      </c>
      <c r="BX4" s="10">
        <v>190</v>
      </c>
      <c r="BY4" s="10">
        <v>16</v>
      </c>
      <c r="BZ4" s="10">
        <v>14</v>
      </c>
      <c r="CA4" s="10">
        <v>0</v>
      </c>
    </row>
    <row r="5" spans="1:79" x14ac:dyDescent="0.25">
      <c r="A5" s="9" t="s">
        <v>33</v>
      </c>
      <c r="B5" s="10">
        <v>89.7</v>
      </c>
      <c r="C5" s="10">
        <v>18</v>
      </c>
      <c r="D5" s="10">
        <v>0.5</v>
      </c>
      <c r="E5" s="11">
        <v>3.3</v>
      </c>
      <c r="H5" s="9" t="s">
        <v>33</v>
      </c>
      <c r="I5" s="10">
        <v>89.7</v>
      </c>
      <c r="J5" s="10">
        <v>18</v>
      </c>
      <c r="K5" s="10">
        <v>0.5</v>
      </c>
      <c r="L5" s="11">
        <v>3.3</v>
      </c>
      <c r="M5" s="18"/>
      <c r="N5" s="18"/>
      <c r="O5" s="9" t="s">
        <v>33</v>
      </c>
      <c r="P5" s="10">
        <v>89.7</v>
      </c>
      <c r="Q5" s="10">
        <v>18</v>
      </c>
      <c r="R5" s="10">
        <v>0.5</v>
      </c>
      <c r="S5" s="11">
        <v>3.3</v>
      </c>
      <c r="V5" s="9" t="s">
        <v>33</v>
      </c>
      <c r="W5" s="10">
        <v>89.7</v>
      </c>
      <c r="X5" s="10">
        <v>18</v>
      </c>
      <c r="Y5" s="10">
        <v>0.5</v>
      </c>
      <c r="Z5" s="11">
        <v>3.3</v>
      </c>
      <c r="AC5" s="9" t="s">
        <v>33</v>
      </c>
      <c r="AD5" s="10">
        <v>89.7</v>
      </c>
      <c r="AE5" s="10">
        <v>18</v>
      </c>
      <c r="AF5" s="10">
        <v>0.5</v>
      </c>
      <c r="AG5" s="11">
        <v>3.3</v>
      </c>
      <c r="AJ5" s="10" t="s">
        <v>33</v>
      </c>
      <c r="AK5" s="10">
        <v>89.7</v>
      </c>
      <c r="AL5" s="10">
        <v>18</v>
      </c>
      <c r="AM5" s="10">
        <v>0.5</v>
      </c>
      <c r="AN5" s="10">
        <v>3.3</v>
      </c>
      <c r="AS5" s="10" t="s">
        <v>33</v>
      </c>
      <c r="AT5" s="10">
        <v>89.7</v>
      </c>
      <c r="AU5" s="10">
        <v>18</v>
      </c>
      <c r="AV5" s="10">
        <v>0.5</v>
      </c>
      <c r="AW5" s="10">
        <v>3.3</v>
      </c>
      <c r="BA5" s="10" t="s">
        <v>33</v>
      </c>
      <c r="BB5" s="10">
        <v>89.7</v>
      </c>
      <c r="BC5" s="10">
        <v>18</v>
      </c>
      <c r="BD5" s="10">
        <v>0.5</v>
      </c>
      <c r="BE5" s="10">
        <v>3.3</v>
      </c>
      <c r="BI5" s="10" t="s">
        <v>33</v>
      </c>
      <c r="BJ5" s="10">
        <v>89.7</v>
      </c>
      <c r="BK5" s="10">
        <v>18</v>
      </c>
      <c r="BL5" s="10">
        <v>0.5</v>
      </c>
      <c r="BM5" s="10">
        <v>3.3</v>
      </c>
      <c r="BP5" s="10" t="s">
        <v>33</v>
      </c>
      <c r="BQ5" s="10">
        <v>89.7</v>
      </c>
      <c r="BR5" s="10">
        <v>18</v>
      </c>
      <c r="BS5" s="10">
        <v>0.5</v>
      </c>
      <c r="BT5" s="10">
        <v>3.3</v>
      </c>
      <c r="BW5" s="10" t="s">
        <v>33</v>
      </c>
      <c r="BX5" s="10">
        <v>89.7</v>
      </c>
      <c r="BY5" s="10">
        <v>18</v>
      </c>
      <c r="BZ5" s="10">
        <v>0.5</v>
      </c>
      <c r="CA5" s="10">
        <v>3.3</v>
      </c>
    </row>
    <row r="6" spans="1:79" x14ac:dyDescent="0.25">
      <c r="A6" s="9" t="s">
        <v>37</v>
      </c>
      <c r="B6" s="10">
        <v>391</v>
      </c>
      <c r="C6" s="10">
        <v>38</v>
      </c>
      <c r="D6" s="10">
        <v>3</v>
      </c>
      <c r="E6" s="11">
        <v>53</v>
      </c>
      <c r="H6" s="9" t="s">
        <v>37</v>
      </c>
      <c r="I6" s="10">
        <v>391</v>
      </c>
      <c r="J6" s="10">
        <v>38</v>
      </c>
      <c r="K6" s="10">
        <v>3</v>
      </c>
      <c r="L6" s="11">
        <v>53</v>
      </c>
      <c r="M6" s="18"/>
      <c r="N6" s="18"/>
      <c r="O6" s="9" t="s">
        <v>37</v>
      </c>
      <c r="P6" s="10">
        <v>391</v>
      </c>
      <c r="Q6" s="10">
        <v>38</v>
      </c>
      <c r="R6" s="10">
        <v>3</v>
      </c>
      <c r="S6" s="11">
        <v>53</v>
      </c>
      <c r="V6" s="9" t="s">
        <v>37</v>
      </c>
      <c r="W6" s="10">
        <v>391</v>
      </c>
      <c r="X6" s="10">
        <v>38</v>
      </c>
      <c r="Y6" s="10">
        <v>3</v>
      </c>
      <c r="Z6" s="11">
        <v>53</v>
      </c>
      <c r="AC6" s="9" t="s">
        <v>37</v>
      </c>
      <c r="AD6" s="10">
        <v>391</v>
      </c>
      <c r="AE6" s="10">
        <v>38</v>
      </c>
      <c r="AF6" s="10">
        <v>3</v>
      </c>
      <c r="AG6" s="11">
        <v>53</v>
      </c>
      <c r="AJ6" s="10" t="s">
        <v>37</v>
      </c>
      <c r="AK6" s="10">
        <v>391</v>
      </c>
      <c r="AL6" s="10">
        <v>38</v>
      </c>
      <c r="AM6" s="10">
        <v>3</v>
      </c>
      <c r="AN6" s="10">
        <v>53</v>
      </c>
      <c r="AS6" s="10" t="s">
        <v>37</v>
      </c>
      <c r="AT6" s="10">
        <v>391</v>
      </c>
      <c r="AU6" s="10">
        <v>38</v>
      </c>
      <c r="AV6" s="10">
        <v>3</v>
      </c>
      <c r="AW6" s="10">
        <v>53</v>
      </c>
      <c r="BA6" s="10" t="s">
        <v>37</v>
      </c>
      <c r="BB6" s="10">
        <v>625</v>
      </c>
      <c r="BC6" s="10">
        <v>25</v>
      </c>
      <c r="BD6" s="10">
        <v>7</v>
      </c>
      <c r="BE6" s="10">
        <v>42</v>
      </c>
      <c r="BI6" s="29" t="s">
        <v>95</v>
      </c>
      <c r="BJ6" s="10">
        <v>625</v>
      </c>
      <c r="BK6" s="10">
        <v>25</v>
      </c>
      <c r="BL6" s="10">
        <v>3</v>
      </c>
      <c r="BM6" s="10">
        <v>126</v>
      </c>
      <c r="BP6" s="29" t="s">
        <v>96</v>
      </c>
      <c r="BQ6" s="10">
        <v>625</v>
      </c>
      <c r="BR6" s="10">
        <v>25</v>
      </c>
      <c r="BS6" s="10">
        <v>7</v>
      </c>
      <c r="BT6" s="10">
        <v>42</v>
      </c>
      <c r="BW6" s="29" t="s">
        <v>96</v>
      </c>
      <c r="BX6" s="10">
        <v>625</v>
      </c>
      <c r="BY6" s="10">
        <v>25</v>
      </c>
      <c r="BZ6" s="10">
        <v>7</v>
      </c>
      <c r="CA6" s="10">
        <v>42</v>
      </c>
    </row>
    <row r="7" spans="1:79" x14ac:dyDescent="0.25">
      <c r="A7" s="9" t="s">
        <v>45</v>
      </c>
      <c r="B7" s="10">
        <v>323</v>
      </c>
      <c r="C7" s="10">
        <v>7</v>
      </c>
      <c r="D7" s="10">
        <v>0.6</v>
      </c>
      <c r="E7" s="11">
        <v>77.3</v>
      </c>
      <c r="H7" s="9" t="s">
        <v>45</v>
      </c>
      <c r="I7" s="10">
        <v>323</v>
      </c>
      <c r="J7" s="10">
        <v>7</v>
      </c>
      <c r="K7" s="10">
        <v>0.6</v>
      </c>
      <c r="L7" s="11">
        <v>77.3</v>
      </c>
      <c r="M7" s="18"/>
      <c r="N7" s="18"/>
      <c r="O7" s="9" t="s">
        <v>45</v>
      </c>
      <c r="P7" s="10">
        <v>323</v>
      </c>
      <c r="Q7" s="10">
        <v>7</v>
      </c>
      <c r="R7" s="10">
        <v>0.6</v>
      </c>
      <c r="S7" s="11">
        <v>77.3</v>
      </c>
      <c r="V7" s="9" t="s">
        <v>45</v>
      </c>
      <c r="W7" s="10">
        <v>323</v>
      </c>
      <c r="X7" s="10">
        <v>7</v>
      </c>
      <c r="Y7" s="10">
        <v>0.6</v>
      </c>
      <c r="Z7" s="11">
        <v>77.3</v>
      </c>
      <c r="AC7" s="9" t="s">
        <v>45</v>
      </c>
      <c r="AD7" s="10">
        <v>323</v>
      </c>
      <c r="AE7" s="10">
        <v>7</v>
      </c>
      <c r="AF7" s="10">
        <v>0.6</v>
      </c>
      <c r="AG7" s="11">
        <v>77.3</v>
      </c>
      <c r="AJ7" s="10" t="s">
        <v>45</v>
      </c>
      <c r="AK7" s="10">
        <v>323</v>
      </c>
      <c r="AL7" s="10">
        <v>7</v>
      </c>
      <c r="AM7" s="10">
        <v>0.6</v>
      </c>
      <c r="AN7" s="10">
        <v>77.3</v>
      </c>
      <c r="AS7" s="10" t="s">
        <v>45</v>
      </c>
      <c r="AT7" s="10">
        <v>323</v>
      </c>
      <c r="AU7" s="10">
        <v>7</v>
      </c>
      <c r="AV7" s="10">
        <v>0.6</v>
      </c>
      <c r="AW7" s="10">
        <v>77.3</v>
      </c>
      <c r="BA7" s="10" t="s">
        <v>45</v>
      </c>
      <c r="BB7" s="10">
        <v>323</v>
      </c>
      <c r="BC7" s="10">
        <v>7</v>
      </c>
      <c r="BD7" s="10">
        <v>0.6</v>
      </c>
      <c r="BE7" s="10">
        <v>77.3</v>
      </c>
      <c r="BI7" s="10" t="s">
        <v>45</v>
      </c>
      <c r="BJ7" s="10">
        <v>323</v>
      </c>
      <c r="BK7" s="29" t="s">
        <v>53</v>
      </c>
      <c r="BL7" s="10">
        <v>0.6</v>
      </c>
      <c r="BM7" s="10">
        <v>77.3</v>
      </c>
      <c r="BP7" s="10" t="s">
        <v>45</v>
      </c>
      <c r="BQ7" s="10">
        <v>323</v>
      </c>
      <c r="BR7" s="10">
        <v>7</v>
      </c>
      <c r="BS7" s="10">
        <v>0.6</v>
      </c>
      <c r="BT7" s="10">
        <v>77.3</v>
      </c>
      <c r="BW7" s="10" t="s">
        <v>45</v>
      </c>
      <c r="BX7" s="10">
        <v>323</v>
      </c>
      <c r="BY7" s="10">
        <v>7</v>
      </c>
      <c r="BZ7" s="10">
        <v>0.6</v>
      </c>
      <c r="CA7" s="10">
        <v>77.3</v>
      </c>
    </row>
    <row r="8" spans="1:79" ht="15.75" thickBot="1" x14ac:dyDescent="0.3">
      <c r="A8" s="12" t="s">
        <v>47</v>
      </c>
      <c r="B8" s="13">
        <v>157</v>
      </c>
      <c r="C8" s="13">
        <v>12.7</v>
      </c>
      <c r="D8" s="13">
        <v>11.5</v>
      </c>
      <c r="E8" s="14">
        <v>0.7</v>
      </c>
      <c r="H8" s="12" t="s">
        <v>47</v>
      </c>
      <c r="I8" s="13">
        <v>157</v>
      </c>
      <c r="J8" s="13">
        <v>12.7</v>
      </c>
      <c r="K8" s="13">
        <v>11.5</v>
      </c>
      <c r="L8" s="14">
        <v>0.7</v>
      </c>
      <c r="M8" s="18"/>
      <c r="N8" s="18"/>
      <c r="O8" s="12" t="s">
        <v>47</v>
      </c>
      <c r="P8" s="13">
        <v>157</v>
      </c>
      <c r="Q8" s="13">
        <v>12.7</v>
      </c>
      <c r="R8" s="13">
        <v>11.5</v>
      </c>
      <c r="S8" s="14">
        <v>0.7</v>
      </c>
      <c r="V8" s="9" t="s">
        <v>47</v>
      </c>
      <c r="W8" s="10">
        <v>157</v>
      </c>
      <c r="X8" s="10">
        <v>12.7</v>
      </c>
      <c r="Y8" s="10">
        <v>11.5</v>
      </c>
      <c r="Z8" s="11">
        <v>0.7</v>
      </c>
      <c r="AC8" s="9" t="s">
        <v>47</v>
      </c>
      <c r="AD8" s="10">
        <v>157</v>
      </c>
      <c r="AE8" s="10">
        <v>12.7</v>
      </c>
      <c r="AF8" s="10">
        <v>11.5</v>
      </c>
      <c r="AG8" s="11">
        <v>0.7</v>
      </c>
      <c r="AJ8" s="10" t="s">
        <v>47</v>
      </c>
      <c r="AK8" s="10">
        <v>157</v>
      </c>
      <c r="AL8" s="10">
        <v>12.7</v>
      </c>
      <c r="AM8" s="10">
        <v>11.5</v>
      </c>
      <c r="AN8" s="10">
        <v>0.7</v>
      </c>
      <c r="AS8" s="10" t="s">
        <v>47</v>
      </c>
      <c r="AT8" s="10">
        <v>157</v>
      </c>
      <c r="AU8" s="10">
        <v>12.7</v>
      </c>
      <c r="AV8" s="10">
        <v>11.5</v>
      </c>
      <c r="AW8" s="10">
        <v>0.7</v>
      </c>
      <c r="BA8" s="10" t="s">
        <v>47</v>
      </c>
      <c r="BB8" s="10">
        <v>157</v>
      </c>
      <c r="BC8" s="10">
        <v>12.7</v>
      </c>
      <c r="BD8" s="10">
        <v>11.5</v>
      </c>
      <c r="BE8" s="10">
        <v>0.7</v>
      </c>
      <c r="BI8" s="10" t="s">
        <v>47</v>
      </c>
      <c r="BJ8" s="10">
        <v>157</v>
      </c>
      <c r="BK8" s="10">
        <v>12.7</v>
      </c>
      <c r="BL8" s="10">
        <v>11.5</v>
      </c>
      <c r="BM8" s="10">
        <v>0.7</v>
      </c>
      <c r="BP8" s="10" t="s">
        <v>47</v>
      </c>
      <c r="BQ8" s="10">
        <v>157</v>
      </c>
      <c r="BR8" s="10">
        <v>12.7</v>
      </c>
      <c r="BS8" s="10">
        <v>11.5</v>
      </c>
      <c r="BT8" s="10">
        <v>0.7</v>
      </c>
      <c r="BW8" s="10" t="s">
        <v>47</v>
      </c>
      <c r="BX8" s="10">
        <v>157</v>
      </c>
      <c r="BY8" s="10">
        <v>12.7</v>
      </c>
      <c r="BZ8" s="10">
        <v>11.5</v>
      </c>
      <c r="CA8" s="10">
        <v>0.7</v>
      </c>
    </row>
    <row r="9" spans="1:79" x14ac:dyDescent="0.25">
      <c r="L9" s="35">
        <v>3500</v>
      </c>
      <c r="O9" s="2" t="s">
        <v>61</v>
      </c>
      <c r="P9" s="2">
        <v>93</v>
      </c>
      <c r="Q9" s="2">
        <v>1.4</v>
      </c>
      <c r="R9" s="2">
        <v>0.4</v>
      </c>
      <c r="S9" s="2">
        <v>21.6</v>
      </c>
      <c r="V9" s="9" t="s">
        <v>61</v>
      </c>
      <c r="W9" s="10">
        <v>93</v>
      </c>
      <c r="X9" s="10">
        <v>1.4</v>
      </c>
      <c r="Y9" s="10">
        <v>0.4</v>
      </c>
      <c r="Z9" s="11">
        <v>21.6</v>
      </c>
      <c r="AC9" s="9" t="s">
        <v>61</v>
      </c>
      <c r="AD9" s="10">
        <v>93</v>
      </c>
      <c r="AE9" s="10">
        <v>1.4</v>
      </c>
      <c r="AF9" s="10">
        <v>0.4</v>
      </c>
      <c r="AG9" s="11">
        <v>21.6</v>
      </c>
      <c r="AJ9" s="10" t="s">
        <v>61</v>
      </c>
      <c r="AK9" s="10">
        <v>93</v>
      </c>
      <c r="AL9" s="10">
        <v>1.4</v>
      </c>
      <c r="AM9" s="10">
        <v>0.4</v>
      </c>
      <c r="AN9" s="10">
        <v>21.6</v>
      </c>
      <c r="AS9" s="10" t="s">
        <v>61</v>
      </c>
      <c r="AT9" s="10">
        <v>93</v>
      </c>
      <c r="AU9" s="10">
        <v>1.4</v>
      </c>
      <c r="AV9" s="10">
        <v>0.4</v>
      </c>
      <c r="AW9" s="10">
        <v>21.6</v>
      </c>
      <c r="BA9" s="10" t="s">
        <v>61</v>
      </c>
      <c r="BB9" s="10">
        <v>93</v>
      </c>
      <c r="BC9" s="10">
        <v>1.4</v>
      </c>
      <c r="BD9" s="10">
        <v>0.4</v>
      </c>
      <c r="BE9" s="10">
        <v>21.6</v>
      </c>
      <c r="BI9" s="10" t="s">
        <v>61</v>
      </c>
      <c r="BJ9" s="10">
        <v>93</v>
      </c>
      <c r="BK9" s="10">
        <v>1.4</v>
      </c>
      <c r="BL9" s="10">
        <v>0.4</v>
      </c>
      <c r="BM9" s="10">
        <v>21.6</v>
      </c>
      <c r="BP9" s="10" t="s">
        <v>61</v>
      </c>
      <c r="BQ9" s="10">
        <v>93</v>
      </c>
      <c r="BR9" s="10">
        <v>1.4</v>
      </c>
      <c r="BS9" s="10">
        <v>0.4</v>
      </c>
      <c r="BT9" s="10">
        <v>21.6</v>
      </c>
      <c r="BW9" s="10" t="s">
        <v>61</v>
      </c>
      <c r="BX9" s="10">
        <v>93</v>
      </c>
      <c r="BY9" s="10">
        <v>1.4</v>
      </c>
      <c r="BZ9" s="10">
        <v>0.4</v>
      </c>
      <c r="CA9" s="10">
        <v>21.6</v>
      </c>
    </row>
    <row r="10" spans="1:79" x14ac:dyDescent="0.25">
      <c r="O10" s="2" t="s">
        <v>62</v>
      </c>
      <c r="P10" s="2">
        <v>192</v>
      </c>
      <c r="Q10" s="2">
        <v>2.8</v>
      </c>
      <c r="R10" s="2">
        <v>9.5</v>
      </c>
      <c r="S10" s="2">
        <v>23.4</v>
      </c>
      <c r="V10" s="9" t="s">
        <v>62</v>
      </c>
      <c r="W10" s="10">
        <v>192</v>
      </c>
      <c r="X10" s="10">
        <v>2.8</v>
      </c>
      <c r="Y10" s="10">
        <v>9.5</v>
      </c>
      <c r="Z10" s="11">
        <v>23.4</v>
      </c>
      <c r="AC10" s="9" t="s">
        <v>62</v>
      </c>
      <c r="AD10" s="10">
        <v>192</v>
      </c>
      <c r="AE10" s="10">
        <v>2.8</v>
      </c>
      <c r="AF10" s="10">
        <v>9.5</v>
      </c>
      <c r="AG10" s="11">
        <v>23.4</v>
      </c>
      <c r="AJ10" s="10" t="s">
        <v>62</v>
      </c>
      <c r="AK10" s="10">
        <v>192</v>
      </c>
      <c r="AL10" s="10">
        <v>2.8</v>
      </c>
      <c r="AM10" s="10">
        <v>9.5</v>
      </c>
      <c r="AN10" s="10">
        <v>23.4</v>
      </c>
      <c r="AS10" s="10" t="s">
        <v>62</v>
      </c>
      <c r="AT10" s="10">
        <v>192</v>
      </c>
      <c r="AU10" s="10">
        <v>2.8</v>
      </c>
      <c r="AV10" s="10">
        <v>9.5</v>
      </c>
      <c r="AW10" s="10">
        <v>23.4</v>
      </c>
      <c r="BA10" s="10" t="s">
        <v>62</v>
      </c>
      <c r="BB10" s="10">
        <v>192</v>
      </c>
      <c r="BC10" s="10">
        <v>2.8</v>
      </c>
      <c r="BD10" s="10">
        <v>9.5</v>
      </c>
      <c r="BE10" s="10">
        <v>23.4</v>
      </c>
      <c r="BI10" s="10" t="s">
        <v>62</v>
      </c>
      <c r="BJ10" s="10">
        <v>192</v>
      </c>
      <c r="BK10" s="10">
        <v>2.8</v>
      </c>
      <c r="BL10" s="10">
        <v>9.5</v>
      </c>
      <c r="BM10" s="10">
        <v>23.4</v>
      </c>
      <c r="BP10" s="10" t="s">
        <v>62</v>
      </c>
      <c r="BQ10" s="10">
        <v>192</v>
      </c>
      <c r="BR10" s="10">
        <v>2.8</v>
      </c>
      <c r="BS10" s="10">
        <v>9.5</v>
      </c>
      <c r="BT10" s="10">
        <v>23.4</v>
      </c>
      <c r="BW10" s="10" t="s">
        <v>62</v>
      </c>
      <c r="BX10" s="10">
        <v>192</v>
      </c>
      <c r="BY10" s="10">
        <v>2.8</v>
      </c>
      <c r="BZ10" s="10">
        <v>9.5</v>
      </c>
      <c r="CA10" s="10">
        <v>23.4</v>
      </c>
    </row>
    <row r="11" spans="1:79" x14ac:dyDescent="0.25">
      <c r="O11" s="2" t="s">
        <v>63</v>
      </c>
      <c r="P11" s="2">
        <v>489</v>
      </c>
      <c r="Q11" s="2">
        <v>11.4</v>
      </c>
      <c r="R11" s="2">
        <v>49.3</v>
      </c>
      <c r="S11" s="2">
        <v>0</v>
      </c>
      <c r="V11" s="9" t="s">
        <v>63</v>
      </c>
      <c r="W11" s="10">
        <v>489</v>
      </c>
      <c r="X11" s="10">
        <v>11.4</v>
      </c>
      <c r="Y11" s="10">
        <v>49.3</v>
      </c>
      <c r="Z11" s="11">
        <v>0</v>
      </c>
      <c r="AC11" s="9" t="s">
        <v>63</v>
      </c>
      <c r="AD11" s="10">
        <v>489</v>
      </c>
      <c r="AE11" s="10">
        <v>11.4</v>
      </c>
      <c r="AF11" s="10">
        <v>49.3</v>
      </c>
      <c r="AG11" s="11">
        <v>0</v>
      </c>
      <c r="AJ11" s="10" t="s">
        <v>63</v>
      </c>
      <c r="AK11" s="10">
        <v>489</v>
      </c>
      <c r="AL11" s="10">
        <v>11.4</v>
      </c>
      <c r="AM11" s="10">
        <v>49.3</v>
      </c>
      <c r="AN11" s="10">
        <v>0</v>
      </c>
      <c r="AS11" s="10" t="s">
        <v>63</v>
      </c>
      <c r="AT11" s="10">
        <v>489</v>
      </c>
      <c r="AU11" s="10">
        <v>11.4</v>
      </c>
      <c r="AV11" s="10">
        <v>49.3</v>
      </c>
      <c r="AW11" s="10">
        <v>0</v>
      </c>
      <c r="BA11" s="10" t="s">
        <v>63</v>
      </c>
      <c r="BB11" s="10">
        <v>489</v>
      </c>
      <c r="BC11" s="10">
        <v>11.4</v>
      </c>
      <c r="BD11" s="10">
        <v>49.3</v>
      </c>
      <c r="BE11" s="10">
        <v>0</v>
      </c>
      <c r="BI11" s="10" t="s">
        <v>63</v>
      </c>
      <c r="BJ11" s="10">
        <v>489</v>
      </c>
      <c r="BK11" s="10">
        <v>11.4</v>
      </c>
      <c r="BL11" s="10">
        <v>49.3</v>
      </c>
      <c r="BM11" s="10">
        <v>0</v>
      </c>
      <c r="BP11" s="10" t="s">
        <v>63</v>
      </c>
      <c r="BQ11" s="10">
        <v>489</v>
      </c>
      <c r="BR11" s="10">
        <v>11.4</v>
      </c>
      <c r="BS11" s="10">
        <v>49.3</v>
      </c>
      <c r="BT11" s="10">
        <v>0</v>
      </c>
      <c r="BW11" s="10" t="s">
        <v>63</v>
      </c>
      <c r="BX11" s="10">
        <v>489</v>
      </c>
      <c r="BY11" s="10">
        <v>11.4</v>
      </c>
      <c r="BZ11" s="10">
        <v>49.3</v>
      </c>
      <c r="CA11" s="10">
        <v>0</v>
      </c>
    </row>
    <row r="12" spans="1:79" ht="15.75" thickBot="1" x14ac:dyDescent="0.3">
      <c r="O12" s="2" t="s">
        <v>65</v>
      </c>
      <c r="P12" s="2">
        <v>120</v>
      </c>
      <c r="Q12" s="2">
        <v>24</v>
      </c>
      <c r="R12" s="2">
        <v>1</v>
      </c>
      <c r="S12" s="2">
        <v>3</v>
      </c>
      <c r="V12" s="12" t="s">
        <v>65</v>
      </c>
      <c r="W12" s="13">
        <v>120</v>
      </c>
      <c r="X12" s="13">
        <v>24</v>
      </c>
      <c r="Y12" s="13">
        <v>1</v>
      </c>
      <c r="Z12" s="14">
        <v>3</v>
      </c>
      <c r="AC12" s="9" t="s">
        <v>65</v>
      </c>
      <c r="AD12" s="10">
        <v>120</v>
      </c>
      <c r="AE12" s="10">
        <v>24</v>
      </c>
      <c r="AF12" s="10">
        <v>1</v>
      </c>
      <c r="AG12" s="11">
        <v>3</v>
      </c>
      <c r="AJ12" s="10" t="s">
        <v>65</v>
      </c>
      <c r="AK12" s="10">
        <v>120</v>
      </c>
      <c r="AL12" s="10">
        <v>24</v>
      </c>
      <c r="AM12" s="10">
        <v>1</v>
      </c>
      <c r="AN12" s="10">
        <v>3</v>
      </c>
      <c r="AS12" s="10" t="s">
        <v>65</v>
      </c>
      <c r="AT12" s="10">
        <v>120</v>
      </c>
      <c r="AU12" s="10">
        <v>24</v>
      </c>
      <c r="AV12" s="10">
        <v>1</v>
      </c>
      <c r="AW12" s="10">
        <v>3</v>
      </c>
      <c r="BA12" s="10" t="s">
        <v>65</v>
      </c>
      <c r="BB12" s="10">
        <v>120</v>
      </c>
      <c r="BC12" s="10">
        <v>24</v>
      </c>
      <c r="BD12" s="10">
        <v>1</v>
      </c>
      <c r="BE12" s="10">
        <v>3</v>
      </c>
      <c r="BI12" s="10" t="s">
        <v>65</v>
      </c>
      <c r="BJ12" s="10">
        <v>120</v>
      </c>
      <c r="BK12" s="10">
        <v>24</v>
      </c>
      <c r="BL12" s="10">
        <v>1</v>
      </c>
      <c r="BM12" s="10">
        <v>3</v>
      </c>
      <c r="BP12" s="10" t="s">
        <v>65</v>
      </c>
      <c r="BQ12" s="10">
        <v>120</v>
      </c>
      <c r="BR12" s="10">
        <v>24</v>
      </c>
      <c r="BS12" s="10">
        <v>1</v>
      </c>
      <c r="BT12" s="10">
        <v>3</v>
      </c>
      <c r="BW12" s="10" t="s">
        <v>65</v>
      </c>
      <c r="BX12" s="10">
        <v>120</v>
      </c>
      <c r="BY12" s="10">
        <v>24</v>
      </c>
      <c r="BZ12" s="10">
        <v>1</v>
      </c>
      <c r="CA12" s="10">
        <v>3</v>
      </c>
    </row>
    <row r="13" spans="1:79" ht="15.75" thickBot="1" x14ac:dyDescent="0.3">
      <c r="V13" s="24" t="s">
        <v>69</v>
      </c>
      <c r="W13" s="2">
        <f>W7*3/8+W4*5/8</f>
        <v>239.875</v>
      </c>
      <c r="X13" s="2">
        <f t="shared" ref="X13:Y13" si="0">X7*3/8+X4*5/8</f>
        <v>12.625</v>
      </c>
      <c r="Y13" s="2">
        <f t="shared" si="0"/>
        <v>8.9749999999999996</v>
      </c>
      <c r="Z13" s="2">
        <f>Z7*(3/8)+Z4*(5/8)</f>
        <v>28.987499999999997</v>
      </c>
      <c r="AC13" s="27" t="s">
        <v>69</v>
      </c>
      <c r="AD13" s="13">
        <f>AD7*3/8+AD4*5/8</f>
        <v>239.875</v>
      </c>
      <c r="AE13" s="13">
        <f t="shared" ref="AE13:AF13" si="1">AE7*3/8+AE4*5/8</f>
        <v>12.625</v>
      </c>
      <c r="AF13" s="13">
        <f t="shared" si="1"/>
        <v>8.9749999999999996</v>
      </c>
      <c r="AG13" s="14">
        <f>AG7*(3/8)+AG4*(5/8)</f>
        <v>28.987499999999997</v>
      </c>
      <c r="AJ13" s="33" t="s">
        <v>69</v>
      </c>
      <c r="AK13" s="10">
        <f>AK7*3/8+AK4*5/8</f>
        <v>239.875</v>
      </c>
      <c r="AL13" s="10">
        <f t="shared" ref="AL13:AM13" si="2">AL7*3/8+AL4*5/8</f>
        <v>12.625</v>
      </c>
      <c r="AM13" s="10">
        <f t="shared" si="2"/>
        <v>8.9749999999999996</v>
      </c>
      <c r="AN13" s="10">
        <f>AN7*(3/8)+AN4*(5/8)</f>
        <v>28.987499999999997</v>
      </c>
      <c r="AS13" s="33" t="s">
        <v>69</v>
      </c>
      <c r="AT13" s="10">
        <f>AT7*3/8+AT4*5/8</f>
        <v>239.875</v>
      </c>
      <c r="AU13" s="10">
        <f t="shared" ref="AU13:AV13" si="3">AU7*3/8+AU4*5/8</f>
        <v>12.625</v>
      </c>
      <c r="AV13" s="10">
        <f t="shared" si="3"/>
        <v>8.9749999999999996</v>
      </c>
      <c r="AW13" s="10">
        <f>AW7*(3/8)+AW4*(5/8)</f>
        <v>28.987499999999997</v>
      </c>
      <c r="BA13" s="33" t="s">
        <v>69</v>
      </c>
      <c r="BB13" s="10">
        <f>BB7*3/8+BB4*5/8</f>
        <v>239.875</v>
      </c>
      <c r="BC13" s="10">
        <f t="shared" ref="BC13:BD13" si="4">BC7*3/8+BC4*5/8</f>
        <v>12.625</v>
      </c>
      <c r="BD13" s="10">
        <f t="shared" si="4"/>
        <v>8.9749999999999996</v>
      </c>
      <c r="BE13" s="10">
        <f>BE7*(3/8)+BE4*(5/8)</f>
        <v>28.987499999999997</v>
      </c>
      <c r="BI13" s="33" t="s">
        <v>69</v>
      </c>
      <c r="BJ13" s="10">
        <f>BJ7*3/8+BJ4*5/8</f>
        <v>239.875</v>
      </c>
      <c r="BK13" s="10" t="e">
        <f>BK7*3/8+BK4*5/8</f>
        <v>#VALUE!</v>
      </c>
      <c r="BL13" s="10">
        <f t="shared" ref="BL13" si="5">BL7*3/8+BL4*5/8</f>
        <v>8.9749999999999996</v>
      </c>
      <c r="BM13" s="10">
        <f>BM7*(3/8)+BM4*(5/8)</f>
        <v>28.987499999999997</v>
      </c>
      <c r="BP13" s="33" t="s">
        <v>69</v>
      </c>
      <c r="BQ13" s="10">
        <f>BQ7*3/8+BQ4*5/8</f>
        <v>239.875</v>
      </c>
      <c r="BR13" s="10">
        <f t="shared" ref="BR13:BS13" si="6">BR7*3/8+BR4*5/8</f>
        <v>12.625</v>
      </c>
      <c r="BS13" s="10">
        <f t="shared" si="6"/>
        <v>8.9749999999999996</v>
      </c>
      <c r="BT13" s="10">
        <f>BT7*(3/8)+BT4*(5/8)</f>
        <v>28.987499999999997</v>
      </c>
      <c r="BW13" s="33" t="s">
        <v>69</v>
      </c>
      <c r="BX13" s="10">
        <f>BX7*3/8+BX4*5/8</f>
        <v>239.875</v>
      </c>
      <c r="BY13" s="10">
        <f t="shared" ref="BY13:BZ13" si="7">BY7*3/8+BY4*5/8</f>
        <v>12.625</v>
      </c>
      <c r="BZ13" s="10">
        <f t="shared" si="7"/>
        <v>8.9749999999999996</v>
      </c>
      <c r="CA13" s="10">
        <f>CA7*(3/8)+CA4*(5/8)</f>
        <v>28.987499999999997</v>
      </c>
    </row>
    <row r="14" spans="1:79" x14ac:dyDescent="0.25">
      <c r="V14" s="28"/>
      <c r="AC14" s="24" t="s">
        <v>74</v>
      </c>
      <c r="AD14" s="28">
        <v>622</v>
      </c>
      <c r="AE14" s="28">
        <v>26.3</v>
      </c>
      <c r="AF14" s="28">
        <v>45.2</v>
      </c>
      <c r="AG14" s="28">
        <v>9.9</v>
      </c>
      <c r="AJ14" s="33" t="s">
        <v>74</v>
      </c>
      <c r="AK14" s="33">
        <v>622</v>
      </c>
      <c r="AL14" s="33">
        <v>26.3</v>
      </c>
      <c r="AM14" s="33">
        <v>45.2</v>
      </c>
      <c r="AN14" s="33">
        <v>9.9</v>
      </c>
      <c r="AS14" s="33" t="s">
        <v>74</v>
      </c>
      <c r="AT14" s="33">
        <v>622</v>
      </c>
      <c r="AU14" s="33">
        <v>26.3</v>
      </c>
      <c r="AV14" s="33">
        <v>45.2</v>
      </c>
      <c r="AW14" s="33">
        <v>9.9</v>
      </c>
      <c r="BA14" s="33" t="s">
        <v>74</v>
      </c>
      <c r="BB14" s="33">
        <v>622</v>
      </c>
      <c r="BC14" s="33">
        <v>26.3</v>
      </c>
      <c r="BD14" s="33">
        <v>45.2</v>
      </c>
      <c r="BE14" s="33">
        <v>9.9</v>
      </c>
      <c r="BI14" s="33" t="s">
        <v>74</v>
      </c>
      <c r="BJ14" s="33">
        <v>622</v>
      </c>
      <c r="BK14" s="33">
        <v>26.3</v>
      </c>
      <c r="BL14" s="33">
        <v>45.2</v>
      </c>
      <c r="BM14" s="33">
        <v>9.9</v>
      </c>
      <c r="BP14" s="33" t="s">
        <v>74</v>
      </c>
      <c r="BQ14" s="33">
        <v>622</v>
      </c>
      <c r="BR14" s="33">
        <v>26.3</v>
      </c>
      <c r="BS14" s="33">
        <v>45.2</v>
      </c>
      <c r="BT14" s="33">
        <v>9.9</v>
      </c>
      <c r="BW14" s="33" t="s">
        <v>74</v>
      </c>
      <c r="BX14" s="33">
        <v>622</v>
      </c>
      <c r="BY14" s="33">
        <v>26.3</v>
      </c>
      <c r="BZ14" s="33">
        <v>45.2</v>
      </c>
      <c r="CA14" s="33">
        <v>9.9</v>
      </c>
    </row>
    <row r="15" spans="1:79" x14ac:dyDescent="0.25">
      <c r="V15" s="28"/>
      <c r="AC15" s="24" t="s">
        <v>75</v>
      </c>
      <c r="AD15" s="28">
        <v>623</v>
      </c>
      <c r="AE15" s="28">
        <v>18.8</v>
      </c>
      <c r="AF15" s="28">
        <v>55.9</v>
      </c>
      <c r="AG15" s="28">
        <v>14.6</v>
      </c>
      <c r="AJ15" s="33" t="s">
        <v>75</v>
      </c>
      <c r="AK15" s="33">
        <v>623</v>
      </c>
      <c r="AL15" s="33">
        <v>18.8</v>
      </c>
      <c r="AM15" s="33">
        <v>55.9</v>
      </c>
      <c r="AN15" s="33">
        <v>14.6</v>
      </c>
      <c r="AS15" s="33" t="s">
        <v>75</v>
      </c>
      <c r="AT15" s="33">
        <v>623</v>
      </c>
      <c r="AU15" s="33">
        <v>18.8</v>
      </c>
      <c r="AV15" s="33">
        <v>55.9</v>
      </c>
      <c r="AW15" s="33">
        <v>14.6</v>
      </c>
      <c r="BA15" s="33" t="s">
        <v>75</v>
      </c>
      <c r="BB15" s="33">
        <v>623</v>
      </c>
      <c r="BC15" s="33">
        <v>18.8</v>
      </c>
      <c r="BD15" s="33">
        <v>55.9</v>
      </c>
      <c r="BE15" s="33">
        <v>14.6</v>
      </c>
      <c r="BI15" s="33" t="s">
        <v>75</v>
      </c>
      <c r="BJ15" s="33">
        <v>623</v>
      </c>
      <c r="BK15" s="33">
        <v>18.8</v>
      </c>
      <c r="BL15" s="33">
        <v>55.9</v>
      </c>
      <c r="BM15" s="33">
        <v>14.6</v>
      </c>
      <c r="BP15" s="33" t="s">
        <v>75</v>
      </c>
      <c r="BQ15" s="33">
        <v>623</v>
      </c>
      <c r="BR15" s="33">
        <v>18.8</v>
      </c>
      <c r="BS15" s="33">
        <v>55.9</v>
      </c>
      <c r="BT15" s="33">
        <v>14.6</v>
      </c>
      <c r="BW15" s="33" t="s">
        <v>75</v>
      </c>
      <c r="BX15" s="33">
        <v>623</v>
      </c>
      <c r="BY15" s="33">
        <v>18.8</v>
      </c>
      <c r="BZ15" s="33">
        <v>55.9</v>
      </c>
      <c r="CA15" s="33">
        <v>14.6</v>
      </c>
    </row>
    <row r="16" spans="1:79" x14ac:dyDescent="0.25">
      <c r="V16" s="28"/>
      <c r="AC16" s="28"/>
      <c r="AD16" s="18"/>
      <c r="AE16" s="18"/>
      <c r="AF16" s="18"/>
      <c r="AG16" s="18"/>
      <c r="AJ16" s="33" t="s">
        <v>78</v>
      </c>
      <c r="AK16" s="33">
        <v>97</v>
      </c>
      <c r="AL16" s="33">
        <v>2.6</v>
      </c>
      <c r="AM16" s="33">
        <v>3.5</v>
      </c>
      <c r="AN16" s="33">
        <v>14.5</v>
      </c>
      <c r="AS16" s="33" t="s">
        <v>78</v>
      </c>
      <c r="AT16" s="33">
        <v>97</v>
      </c>
      <c r="AU16" s="33">
        <v>2.6</v>
      </c>
      <c r="AV16" s="33">
        <v>3.5</v>
      </c>
      <c r="AW16" s="33">
        <v>14.5</v>
      </c>
      <c r="BA16" s="33" t="s">
        <v>78</v>
      </c>
      <c r="BB16" s="33">
        <v>97</v>
      </c>
      <c r="BC16" s="33">
        <v>2.6</v>
      </c>
      <c r="BD16" s="33">
        <v>3.5</v>
      </c>
      <c r="BE16" s="33">
        <v>14.5</v>
      </c>
      <c r="BI16" s="33" t="s">
        <v>78</v>
      </c>
      <c r="BJ16" s="33">
        <v>97</v>
      </c>
      <c r="BK16" s="33">
        <v>2.6</v>
      </c>
      <c r="BL16" s="33">
        <v>3.5</v>
      </c>
      <c r="BM16" s="33">
        <v>14.5</v>
      </c>
      <c r="BP16" s="33" t="s">
        <v>78</v>
      </c>
      <c r="BQ16" s="33">
        <v>97</v>
      </c>
      <c r="BR16" s="33">
        <v>2.6</v>
      </c>
      <c r="BS16" s="33">
        <v>3.5</v>
      </c>
      <c r="BT16" s="33">
        <v>14.5</v>
      </c>
      <c r="BW16" s="33" t="s">
        <v>78</v>
      </c>
      <c r="BX16" s="33">
        <v>97</v>
      </c>
      <c r="BY16" s="33">
        <v>2.6</v>
      </c>
      <c r="BZ16" s="33">
        <v>3.5</v>
      </c>
      <c r="CA16" s="33">
        <v>14.5</v>
      </c>
    </row>
    <row r="17" spans="1:81" x14ac:dyDescent="0.25">
      <c r="BI17" s="34" t="s">
        <v>94</v>
      </c>
      <c r="BJ17" s="34">
        <v>342</v>
      </c>
      <c r="BK17" s="34">
        <v>12</v>
      </c>
      <c r="BL17" s="34">
        <v>1.3</v>
      </c>
      <c r="BM17" s="34">
        <v>70</v>
      </c>
      <c r="BP17" s="34" t="s">
        <v>97</v>
      </c>
      <c r="BQ17" s="34">
        <v>200</v>
      </c>
      <c r="BR17" s="34">
        <v>3</v>
      </c>
      <c r="BS17" s="34">
        <v>13</v>
      </c>
      <c r="BT17" s="34">
        <v>15</v>
      </c>
      <c r="BW17" s="34" t="s">
        <v>97</v>
      </c>
      <c r="BX17" s="34">
        <v>200</v>
      </c>
      <c r="BY17" s="34">
        <v>3</v>
      </c>
      <c r="BZ17" s="34">
        <v>13</v>
      </c>
      <c r="CA17" s="34">
        <v>15</v>
      </c>
    </row>
    <row r="19" spans="1:81" ht="15.75" thickBot="1" x14ac:dyDescent="0.3">
      <c r="A19" s="41" t="s">
        <v>59</v>
      </c>
      <c r="B19" s="41"/>
      <c r="C19" s="41"/>
      <c r="D19" s="41"/>
      <c r="E19" s="41"/>
      <c r="H19" s="41" t="s">
        <v>64</v>
      </c>
      <c r="I19" s="41"/>
      <c r="J19" s="41"/>
      <c r="K19" s="41"/>
      <c r="L19" s="41"/>
      <c r="M19" s="17"/>
      <c r="N19" s="17"/>
      <c r="O19" s="46" t="s">
        <v>60</v>
      </c>
      <c r="P19" s="46"/>
      <c r="Q19" s="46"/>
      <c r="R19" s="46"/>
      <c r="S19" s="46"/>
      <c r="V19" s="45">
        <v>43031</v>
      </c>
      <c r="W19" s="46"/>
      <c r="X19" s="46"/>
      <c r="Y19" s="46"/>
      <c r="Z19" s="46"/>
      <c r="AC19" s="51" t="s">
        <v>73</v>
      </c>
      <c r="AD19" s="41"/>
      <c r="AE19" s="41"/>
      <c r="AF19" s="41"/>
      <c r="AG19" s="41"/>
      <c r="AJ19" s="51"/>
      <c r="AK19" s="41"/>
      <c r="AL19" s="41"/>
      <c r="AM19" s="41"/>
      <c r="AN19" s="41"/>
      <c r="AS19" s="51"/>
      <c r="AT19" s="41"/>
      <c r="AU19" s="41"/>
      <c r="AV19" s="41"/>
      <c r="AW19" s="41"/>
      <c r="BA19" s="51"/>
      <c r="BB19" s="41"/>
      <c r="BC19" s="41"/>
      <c r="BD19" s="41"/>
      <c r="BE19" s="41"/>
      <c r="BI19" s="51"/>
      <c r="BJ19" s="41"/>
      <c r="BK19" s="41"/>
      <c r="BL19" s="41"/>
      <c r="BM19" s="41"/>
      <c r="BP19" s="51"/>
      <c r="BQ19" s="41"/>
      <c r="BR19" s="41"/>
      <c r="BS19" s="41"/>
      <c r="BT19" s="41"/>
      <c r="BU19" s="30"/>
      <c r="BW19" s="51"/>
      <c r="BX19" s="41"/>
      <c r="BY19" s="41"/>
      <c r="BZ19" s="41"/>
      <c r="CA19" s="41"/>
    </row>
    <row r="20" spans="1:81" ht="15.75" thickBot="1" x14ac:dyDescent="0.3">
      <c r="A20" s="3" t="s">
        <v>55</v>
      </c>
      <c r="B20" s="4" t="s">
        <v>23</v>
      </c>
      <c r="C20" s="15" t="s">
        <v>24</v>
      </c>
      <c r="D20" s="4" t="s">
        <v>25</v>
      </c>
      <c r="E20" s="5" t="s">
        <v>26</v>
      </c>
      <c r="H20" s="3" t="s">
        <v>55</v>
      </c>
      <c r="I20" s="4" t="s">
        <v>23</v>
      </c>
      <c r="J20" s="15" t="s">
        <v>24</v>
      </c>
      <c r="K20" s="4" t="s">
        <v>25</v>
      </c>
      <c r="L20" s="5" t="s">
        <v>26</v>
      </c>
      <c r="M20" s="18"/>
      <c r="N20" s="18"/>
      <c r="O20" s="3" t="s">
        <v>55</v>
      </c>
      <c r="P20" s="4" t="s">
        <v>23</v>
      </c>
      <c r="Q20" s="15" t="s">
        <v>24</v>
      </c>
      <c r="R20" s="4" t="s">
        <v>25</v>
      </c>
      <c r="S20" s="5" t="s">
        <v>26</v>
      </c>
      <c r="V20" s="3" t="s">
        <v>55</v>
      </c>
      <c r="W20" s="4" t="s">
        <v>23</v>
      </c>
      <c r="X20" s="15" t="s">
        <v>24</v>
      </c>
      <c r="Y20" s="4" t="s">
        <v>25</v>
      </c>
      <c r="Z20" s="5" t="s">
        <v>26</v>
      </c>
      <c r="AC20" s="3" t="s">
        <v>55</v>
      </c>
      <c r="AD20" s="4" t="s">
        <v>23</v>
      </c>
      <c r="AE20" s="15" t="s">
        <v>24</v>
      </c>
      <c r="AF20" s="4" t="s">
        <v>25</v>
      </c>
      <c r="AG20" s="5" t="s">
        <v>26</v>
      </c>
      <c r="AJ20" s="3" t="s">
        <v>55</v>
      </c>
      <c r="AK20" s="4" t="s">
        <v>23</v>
      </c>
      <c r="AL20" s="15" t="s">
        <v>24</v>
      </c>
      <c r="AM20" s="4" t="s">
        <v>25</v>
      </c>
      <c r="AN20" s="5" t="s">
        <v>26</v>
      </c>
      <c r="AS20" s="3" t="s">
        <v>55</v>
      </c>
      <c r="AT20" s="4" t="s">
        <v>23</v>
      </c>
      <c r="AU20" s="15" t="s">
        <v>24</v>
      </c>
      <c r="AV20" s="4" t="s">
        <v>25</v>
      </c>
      <c r="AW20" s="5" t="s">
        <v>26</v>
      </c>
      <c r="BA20" s="3" t="s">
        <v>55</v>
      </c>
      <c r="BB20" s="4" t="s">
        <v>23</v>
      </c>
      <c r="BC20" s="15" t="s">
        <v>24</v>
      </c>
      <c r="BD20" s="4" t="s">
        <v>25</v>
      </c>
      <c r="BE20" s="5" t="s">
        <v>26</v>
      </c>
      <c r="BI20" s="3" t="s">
        <v>55</v>
      </c>
      <c r="BJ20" s="4" t="s">
        <v>23</v>
      </c>
      <c r="BK20" s="15" t="s">
        <v>24</v>
      </c>
      <c r="BL20" s="4" t="s">
        <v>25</v>
      </c>
      <c r="BM20" s="5" t="s">
        <v>26</v>
      </c>
      <c r="BP20" s="3" t="s">
        <v>55</v>
      </c>
      <c r="BQ20" s="4" t="s">
        <v>23</v>
      </c>
      <c r="BR20" s="15" t="s">
        <v>24</v>
      </c>
      <c r="BS20" s="4" t="s">
        <v>25</v>
      </c>
      <c r="BT20" s="5" t="s">
        <v>26</v>
      </c>
      <c r="BW20" s="3" t="s">
        <v>55</v>
      </c>
      <c r="BX20" s="4" t="s">
        <v>23</v>
      </c>
      <c r="BY20" s="15" t="s">
        <v>24</v>
      </c>
      <c r="BZ20" s="4" t="s">
        <v>25</v>
      </c>
      <c r="CA20" s="5" t="s">
        <v>26</v>
      </c>
    </row>
    <row r="21" spans="1:81" x14ac:dyDescent="0.25">
      <c r="A21" s="6"/>
      <c r="B21" s="7"/>
      <c r="C21" s="7"/>
      <c r="D21" s="7"/>
      <c r="E21" s="8"/>
      <c r="H21" s="6"/>
      <c r="I21" s="7"/>
      <c r="J21" s="7"/>
      <c r="K21" s="7"/>
      <c r="L21" s="8"/>
      <c r="M21" s="18"/>
      <c r="N21" s="18"/>
      <c r="O21" s="6"/>
      <c r="P21" s="7"/>
      <c r="Q21" s="7"/>
      <c r="R21" s="7"/>
      <c r="S21" s="8"/>
      <c r="V21" s="6"/>
      <c r="W21" s="7"/>
      <c r="X21" s="7"/>
      <c r="Y21" s="7"/>
      <c r="Z21" s="8"/>
      <c r="AC21" s="6"/>
      <c r="AD21" s="7"/>
      <c r="AE21" s="7"/>
      <c r="AF21" s="7"/>
      <c r="AG21" s="8"/>
      <c r="AJ21" s="6"/>
      <c r="AK21" s="7"/>
      <c r="AL21" s="7"/>
      <c r="AM21" s="7"/>
      <c r="AN21" s="8"/>
      <c r="AS21" s="6"/>
      <c r="AT21" s="7"/>
      <c r="AU21" s="7"/>
      <c r="AV21" s="7"/>
      <c r="AW21" s="8"/>
      <c r="BA21" s="6"/>
      <c r="BB21" s="7"/>
      <c r="BC21" s="7"/>
      <c r="BD21" s="7"/>
      <c r="BE21" s="8"/>
      <c r="BI21" s="6"/>
      <c r="BJ21" s="7"/>
      <c r="BK21" s="7"/>
      <c r="BL21" s="7"/>
      <c r="BM21" s="8"/>
      <c r="BP21" s="6"/>
      <c r="BQ21" s="7"/>
      <c r="BR21" s="7"/>
      <c r="BS21" s="7"/>
      <c r="BT21" s="8"/>
      <c r="BW21" s="6"/>
      <c r="BX21" s="7"/>
      <c r="BY21" s="7"/>
      <c r="BZ21" s="7"/>
      <c r="CA21" s="8"/>
    </row>
    <row r="22" spans="1:81" x14ac:dyDescent="0.25">
      <c r="A22" s="9" t="s">
        <v>50</v>
      </c>
      <c r="B22" s="10">
        <f>B3+B8*0.5</f>
        <v>428.5</v>
      </c>
      <c r="C22" s="10">
        <f>C3+C8*0.5</f>
        <v>18.95</v>
      </c>
      <c r="D22" s="10">
        <f>D3+D8*0.5</f>
        <v>8.35</v>
      </c>
      <c r="E22" s="11">
        <f>E3+E8*0.5</f>
        <v>69.449999999999989</v>
      </c>
      <c r="H22" s="9" t="s">
        <v>56</v>
      </c>
      <c r="I22" s="10">
        <f>I3*1.1+I8</f>
        <v>542</v>
      </c>
      <c r="J22" s="10">
        <f>J3*1.1+J8</f>
        <v>26.560000000000002</v>
      </c>
      <c r="K22" s="10">
        <f>K3*1.1+K8</f>
        <v>14.36</v>
      </c>
      <c r="L22" s="10">
        <f>L3*1.1+L8</f>
        <v>76.710000000000008</v>
      </c>
      <c r="M22" s="18"/>
      <c r="N22" s="18"/>
      <c r="O22" s="9" t="s">
        <v>56</v>
      </c>
      <c r="P22" s="10">
        <f>P3*1.1+P8</f>
        <v>542</v>
      </c>
      <c r="Q22" s="10">
        <f>Q3*1.1+Q8</f>
        <v>26.560000000000002</v>
      </c>
      <c r="R22" s="10">
        <f>R3*1.1+R8</f>
        <v>14.36</v>
      </c>
      <c r="S22" s="10">
        <f>S3*1.1+S8</f>
        <v>76.710000000000008</v>
      </c>
      <c r="V22" s="9" t="s">
        <v>67</v>
      </c>
      <c r="W22" s="10">
        <f>W3*1.1+W8*0.5</f>
        <v>463.50000000000006</v>
      </c>
      <c r="X22" s="10">
        <f t="shared" ref="X22:Z22" si="8">X3*1.1+X8*0.5</f>
        <v>20.21</v>
      </c>
      <c r="Y22" s="10">
        <f t="shared" si="8"/>
        <v>8.61</v>
      </c>
      <c r="Z22" s="10">
        <f t="shared" si="8"/>
        <v>76.36</v>
      </c>
      <c r="AC22" s="9" t="s">
        <v>67</v>
      </c>
      <c r="AD22" s="10">
        <f>AD3*1.1+AD8*0.5</f>
        <v>463.50000000000006</v>
      </c>
      <c r="AE22" s="10">
        <f t="shared" ref="AE22:AG22" si="9">AE3*1.1+AE8*0.5</f>
        <v>20.21</v>
      </c>
      <c r="AF22" s="10">
        <f t="shared" si="9"/>
        <v>8.61</v>
      </c>
      <c r="AG22" s="11">
        <f t="shared" si="9"/>
        <v>76.36</v>
      </c>
      <c r="AJ22" s="22" t="s">
        <v>81</v>
      </c>
      <c r="AK22" s="10">
        <f>AK3*1.2</f>
        <v>420</v>
      </c>
      <c r="AL22" s="10">
        <f t="shared" ref="AL22:AN22" si="10">AL3*1.2</f>
        <v>15.12</v>
      </c>
      <c r="AM22" s="10">
        <f t="shared" si="10"/>
        <v>3.12</v>
      </c>
      <c r="AN22" s="10">
        <f t="shared" si="10"/>
        <v>82.919999999999987</v>
      </c>
      <c r="AS22" s="22" t="s">
        <v>89</v>
      </c>
      <c r="AT22" s="10">
        <f>AT3*1.3</f>
        <v>455</v>
      </c>
      <c r="AU22" s="10">
        <f t="shared" ref="AU22:AW22" si="11">AU3*1.3</f>
        <v>16.38</v>
      </c>
      <c r="AV22" s="10">
        <f t="shared" si="11"/>
        <v>3.3800000000000003</v>
      </c>
      <c r="AW22" s="10">
        <f t="shared" si="11"/>
        <v>89.83</v>
      </c>
      <c r="BA22" s="22" t="s">
        <v>87</v>
      </c>
      <c r="BB22" s="10">
        <f>BB3*1.2</f>
        <v>420</v>
      </c>
      <c r="BC22" s="10">
        <f t="shared" ref="BC22:BE22" si="12">BC3*1.2</f>
        <v>15.12</v>
      </c>
      <c r="BD22" s="10">
        <f t="shared" si="12"/>
        <v>3.12</v>
      </c>
      <c r="BE22" s="10">
        <f t="shared" si="12"/>
        <v>82.919999999999987</v>
      </c>
      <c r="BI22" s="22" t="s">
        <v>91</v>
      </c>
      <c r="BJ22" s="10">
        <f>BJ3*1.5</f>
        <v>525</v>
      </c>
      <c r="BK22" s="10">
        <f t="shared" ref="BK22:BM22" si="13">BK3*1.5</f>
        <v>18.899999999999999</v>
      </c>
      <c r="BL22" s="10">
        <f t="shared" si="13"/>
        <v>3.9000000000000004</v>
      </c>
      <c r="BM22" s="10">
        <f t="shared" si="13"/>
        <v>103.64999999999999</v>
      </c>
      <c r="BP22" s="22" t="s">
        <v>87</v>
      </c>
      <c r="BQ22" s="10">
        <f>BQ3*1.2</f>
        <v>420</v>
      </c>
      <c r="BR22" s="10">
        <f t="shared" ref="BR22:BT22" si="14">BR3*1.2</f>
        <v>15.12</v>
      </c>
      <c r="BS22" s="10">
        <f t="shared" si="14"/>
        <v>3.12</v>
      </c>
      <c r="BT22" s="10">
        <f t="shared" si="14"/>
        <v>82.919999999999987</v>
      </c>
      <c r="BW22" s="22" t="s">
        <v>100</v>
      </c>
      <c r="BX22" s="10">
        <f>BX8</f>
        <v>157</v>
      </c>
      <c r="BY22" s="10">
        <f t="shared" ref="BY22:CA22" si="15">BY8</f>
        <v>12.7</v>
      </c>
      <c r="BZ22" s="10">
        <f t="shared" si="15"/>
        <v>11.5</v>
      </c>
      <c r="CA22" s="11">
        <f t="shared" si="15"/>
        <v>0.7</v>
      </c>
    </row>
    <row r="23" spans="1:81" x14ac:dyDescent="0.25">
      <c r="A23" s="9"/>
      <c r="B23" s="10"/>
      <c r="C23" s="10"/>
      <c r="D23" s="10"/>
      <c r="E23" s="11"/>
      <c r="H23" s="9"/>
      <c r="I23" s="10"/>
      <c r="J23" s="10"/>
      <c r="K23" s="10"/>
      <c r="L23" s="11"/>
      <c r="M23" s="18"/>
      <c r="N23" s="18"/>
      <c r="O23" s="9"/>
      <c r="P23" s="10"/>
      <c r="Q23" s="10"/>
      <c r="R23" s="10"/>
      <c r="S23" s="11"/>
      <c r="V23" s="9"/>
      <c r="W23" s="10"/>
      <c r="X23" s="10"/>
      <c r="Y23" s="10"/>
      <c r="Z23" s="11"/>
      <c r="AC23" s="9"/>
      <c r="AD23" s="10"/>
      <c r="AE23" s="10"/>
      <c r="AF23" s="10"/>
      <c r="AG23" s="11"/>
      <c r="AJ23" s="9"/>
      <c r="AK23" s="10"/>
      <c r="AL23" s="10"/>
      <c r="AM23" s="10"/>
      <c r="AN23" s="11"/>
      <c r="AS23" s="9"/>
      <c r="AT23" s="10"/>
      <c r="AU23" s="10"/>
      <c r="AV23" s="10"/>
      <c r="AW23" s="11"/>
      <c r="BA23" s="9"/>
      <c r="BB23" s="10"/>
      <c r="BC23" s="10"/>
      <c r="BD23" s="10"/>
      <c r="BE23" s="11"/>
      <c r="BI23" s="22" t="s">
        <v>95</v>
      </c>
      <c r="BJ23" s="10">
        <f>BJ6</f>
        <v>625</v>
      </c>
      <c r="BK23" s="10">
        <f t="shared" ref="BK23:BM23" si="16">BK6</f>
        <v>25</v>
      </c>
      <c r="BL23" s="10">
        <f t="shared" si="16"/>
        <v>3</v>
      </c>
      <c r="BM23" s="10">
        <f t="shared" si="16"/>
        <v>126</v>
      </c>
      <c r="BP23" s="9"/>
      <c r="BQ23" s="10"/>
      <c r="BR23" s="10"/>
      <c r="BS23" s="10"/>
      <c r="BT23" s="11"/>
      <c r="BW23" s="9"/>
      <c r="BX23" s="10"/>
      <c r="BY23" s="10"/>
      <c r="BZ23" s="10"/>
      <c r="CA23" s="11"/>
    </row>
    <row r="24" spans="1:81" x14ac:dyDescent="0.25">
      <c r="A24" s="9" t="s">
        <v>51</v>
      </c>
      <c r="B24" s="10">
        <f>B5</f>
        <v>89.7</v>
      </c>
      <c r="C24" s="10">
        <f>C5</f>
        <v>18</v>
      </c>
      <c r="D24" s="10">
        <f>D5</f>
        <v>0.5</v>
      </c>
      <c r="E24" s="11">
        <f>E5</f>
        <v>3.3</v>
      </c>
      <c r="H24" s="9" t="s">
        <v>54</v>
      </c>
      <c r="I24" s="10">
        <f>I5*1.1</f>
        <v>98.670000000000016</v>
      </c>
      <c r="J24" s="10">
        <f>J5*1.1</f>
        <v>19.8</v>
      </c>
      <c r="K24" s="10">
        <f>K5*1.1</f>
        <v>0.55000000000000004</v>
      </c>
      <c r="L24" s="11">
        <f>L5*1.1</f>
        <v>3.63</v>
      </c>
      <c r="M24" s="18"/>
      <c r="N24" s="18"/>
      <c r="O24" s="9" t="s">
        <v>54</v>
      </c>
      <c r="P24" s="10">
        <f>P5*1.1</f>
        <v>98.670000000000016</v>
      </c>
      <c r="Q24" s="10">
        <f>Q5*1.1</f>
        <v>19.8</v>
      </c>
      <c r="R24" s="10">
        <f>R5*1.1</f>
        <v>0.55000000000000004</v>
      </c>
      <c r="S24" s="11">
        <f>S5*1.1</f>
        <v>3.63</v>
      </c>
      <c r="V24" s="9" t="s">
        <v>68</v>
      </c>
      <c r="W24" s="10">
        <f>W5*1+W12+W9</f>
        <v>302.7</v>
      </c>
      <c r="X24" s="10">
        <f t="shared" ref="X24:Z24" si="17">X5*1+X12+X9</f>
        <v>43.4</v>
      </c>
      <c r="Y24" s="10">
        <f t="shared" si="17"/>
        <v>1.9</v>
      </c>
      <c r="Z24" s="10">
        <f t="shared" si="17"/>
        <v>27.900000000000002</v>
      </c>
      <c r="AC24" s="22" t="s">
        <v>77</v>
      </c>
      <c r="AD24" s="10">
        <f>AD5*0.8+AD9</f>
        <v>164.76</v>
      </c>
      <c r="AE24" s="10">
        <f t="shared" ref="AE24:AG24" si="18">AE5*0.8+AE9</f>
        <v>15.8</v>
      </c>
      <c r="AF24" s="10">
        <f t="shared" si="18"/>
        <v>0.8</v>
      </c>
      <c r="AG24" s="10">
        <f t="shared" si="18"/>
        <v>24.240000000000002</v>
      </c>
      <c r="AJ24" s="22" t="s">
        <v>80</v>
      </c>
      <c r="AK24" s="10">
        <f>AK5*0.5+AK14*0.3</f>
        <v>231.45</v>
      </c>
      <c r="AL24" s="10">
        <f t="shared" ref="AL24:AN24" si="19">AL5*0.5+AL14*0.3</f>
        <v>16.89</v>
      </c>
      <c r="AM24" s="10">
        <f t="shared" si="19"/>
        <v>13.81</v>
      </c>
      <c r="AN24" s="10">
        <f t="shared" si="19"/>
        <v>4.62</v>
      </c>
      <c r="AS24" s="22" t="s">
        <v>88</v>
      </c>
      <c r="AT24" s="10">
        <f>AT5*0.8+AT14*0.3</f>
        <v>258.36</v>
      </c>
      <c r="AU24" s="10">
        <f t="shared" ref="AU24:AW24" si="20">AU5*0.8+AU14*0.3</f>
        <v>22.29</v>
      </c>
      <c r="AV24" s="10">
        <f t="shared" si="20"/>
        <v>13.96</v>
      </c>
      <c r="AW24" s="10">
        <f t="shared" si="20"/>
        <v>5.61</v>
      </c>
      <c r="BA24" s="22" t="s">
        <v>86</v>
      </c>
      <c r="BB24" s="10">
        <f>BB5*0.7+BB14*0.2</f>
        <v>187.19</v>
      </c>
      <c r="BC24" s="10">
        <f t="shared" ref="BC24:BE24" si="21">BC5*0.7+BC14*0.2</f>
        <v>17.86</v>
      </c>
      <c r="BD24" s="10">
        <f t="shared" si="21"/>
        <v>9.39</v>
      </c>
      <c r="BE24" s="10">
        <f t="shared" si="21"/>
        <v>4.29</v>
      </c>
      <c r="BI24" s="22"/>
      <c r="BJ24" s="10"/>
      <c r="BK24" s="10"/>
      <c r="BL24" s="10"/>
      <c r="BM24" s="10"/>
      <c r="BP24" s="22" t="s">
        <v>98</v>
      </c>
      <c r="BQ24" s="10">
        <f>BQ9+BQ17</f>
        <v>293</v>
      </c>
      <c r="BR24" s="10">
        <f t="shared" ref="BR24:BT24" si="22">BR9+BR17</f>
        <v>4.4000000000000004</v>
      </c>
      <c r="BS24" s="10">
        <f t="shared" si="22"/>
        <v>13.4</v>
      </c>
      <c r="BT24" s="10">
        <f t="shared" si="22"/>
        <v>36.6</v>
      </c>
      <c r="BW24" s="22" t="s">
        <v>103</v>
      </c>
      <c r="BX24" s="10">
        <f>BX4*0.5</f>
        <v>95</v>
      </c>
      <c r="BY24" s="10">
        <f t="shared" ref="BY24:CA24" si="23">BY4*0.5</f>
        <v>8</v>
      </c>
      <c r="BZ24" s="10">
        <f t="shared" si="23"/>
        <v>7</v>
      </c>
      <c r="CA24" s="10">
        <f t="shared" si="23"/>
        <v>0</v>
      </c>
    </row>
    <row r="25" spans="1:81" x14ac:dyDescent="0.25">
      <c r="A25" s="9"/>
      <c r="B25" s="10"/>
      <c r="C25" s="10"/>
      <c r="D25" s="10"/>
      <c r="E25" s="11"/>
      <c r="H25" s="9"/>
      <c r="I25" s="10"/>
      <c r="J25" s="10"/>
      <c r="K25" s="10"/>
      <c r="L25" s="11"/>
      <c r="M25" s="18"/>
      <c r="N25" s="18"/>
      <c r="O25" s="9"/>
      <c r="P25" s="10"/>
      <c r="Q25" s="10"/>
      <c r="R25" s="10"/>
      <c r="S25" s="11"/>
      <c r="V25" s="9"/>
      <c r="W25" s="10"/>
      <c r="X25" s="10"/>
      <c r="Y25" s="10"/>
      <c r="Z25" s="11"/>
      <c r="AC25" s="22" t="s">
        <v>76</v>
      </c>
      <c r="AD25" s="10">
        <f>AD14*0.5</f>
        <v>311</v>
      </c>
      <c r="AE25" s="10">
        <f t="shared" ref="AE25:AG25" si="24">AE14*0.5</f>
        <v>13.15</v>
      </c>
      <c r="AF25" s="10">
        <f t="shared" si="24"/>
        <v>22.6</v>
      </c>
      <c r="AG25" s="10">
        <f t="shared" si="24"/>
        <v>4.95</v>
      </c>
      <c r="AJ25" s="9"/>
      <c r="AK25" s="10"/>
      <c r="AL25" s="10"/>
      <c r="AM25" s="10"/>
      <c r="AN25" s="11"/>
      <c r="AS25" s="9"/>
      <c r="AT25" s="10"/>
      <c r="AU25" s="10"/>
      <c r="AV25" s="10"/>
      <c r="AW25" s="11"/>
      <c r="BA25" s="9"/>
      <c r="BB25" s="10"/>
      <c r="BC25" s="10"/>
      <c r="BD25" s="10"/>
      <c r="BE25" s="11"/>
      <c r="BI25" s="9"/>
      <c r="BJ25" s="10"/>
      <c r="BK25" s="10"/>
      <c r="BL25" s="10"/>
      <c r="BM25" s="11"/>
      <c r="BP25" s="9"/>
      <c r="BQ25" s="10"/>
      <c r="BR25" s="10"/>
      <c r="BS25" s="10"/>
      <c r="BT25" s="11"/>
      <c r="BW25" s="9"/>
      <c r="BX25" s="10"/>
      <c r="BY25" s="10"/>
      <c r="BZ25" s="10"/>
      <c r="CA25" s="11"/>
    </row>
    <row r="26" spans="1:81" x14ac:dyDescent="0.25">
      <c r="A26" s="9" t="s">
        <v>52</v>
      </c>
      <c r="B26" s="10">
        <f>B3*1.5+B4*0.7</f>
        <v>658</v>
      </c>
      <c r="C26" s="10">
        <f>C3*1.5+C4*0.7</f>
        <v>30.099999999999998</v>
      </c>
      <c r="D26" s="10">
        <f>D3*1.5+D4*0.7</f>
        <v>13.7</v>
      </c>
      <c r="E26" s="11">
        <f>E3*1.5+E4*0.7</f>
        <v>103.64999999999999</v>
      </c>
      <c r="H26" s="9" t="s">
        <v>57</v>
      </c>
      <c r="I26" s="10">
        <f>I3*1.5+I4*0.9</f>
        <v>696</v>
      </c>
      <c r="J26" s="10">
        <f>J3*1.5+J4*0.9</f>
        <v>33.299999999999997</v>
      </c>
      <c r="K26" s="10">
        <f>K3*1.5+K4*0.9</f>
        <v>16.5</v>
      </c>
      <c r="L26" s="10">
        <f>L3*1.5+L4*0.9</f>
        <v>103.64999999999999</v>
      </c>
      <c r="M26" s="18"/>
      <c r="N26" s="18"/>
      <c r="O26" s="9" t="s">
        <v>57</v>
      </c>
      <c r="P26" s="10">
        <f>P3*1.5+P4*0.9</f>
        <v>696</v>
      </c>
      <c r="Q26" s="10">
        <f>Q3*1.5+Q4*0.9</f>
        <v>33.299999999999997</v>
      </c>
      <c r="R26" s="10">
        <f>R3*1.5+R4*0.9</f>
        <v>16.5</v>
      </c>
      <c r="S26" s="10">
        <f>S3*1.5+S4*0.9</f>
        <v>103.64999999999999</v>
      </c>
      <c r="V26" s="22" t="s">
        <v>70</v>
      </c>
      <c r="W26" s="10">
        <f>W13*2</f>
        <v>479.75</v>
      </c>
      <c r="X26" s="10">
        <f t="shared" ref="X26:Z26" si="25">X13*2</f>
        <v>25.25</v>
      </c>
      <c r="Y26" s="10">
        <f t="shared" si="25"/>
        <v>17.95</v>
      </c>
      <c r="Z26" s="10">
        <f t="shared" si="25"/>
        <v>57.974999999999994</v>
      </c>
      <c r="AC26" s="22" t="s">
        <v>48</v>
      </c>
      <c r="AD26" s="10">
        <f>AD3*2+AD4</f>
        <v>890</v>
      </c>
      <c r="AE26" s="10">
        <f t="shared" ref="AE26:AG26" si="26">AE3*2+AE4</f>
        <v>41.2</v>
      </c>
      <c r="AF26" s="10">
        <f t="shared" si="26"/>
        <v>19.2</v>
      </c>
      <c r="AG26" s="10">
        <f t="shared" si="26"/>
        <v>138.19999999999999</v>
      </c>
      <c r="AJ26" s="22" t="s">
        <v>82</v>
      </c>
      <c r="AK26" s="10">
        <f>AK3*2+AK4*0.8</f>
        <v>852</v>
      </c>
      <c r="AL26" s="10">
        <f t="shared" ref="AL26:AN26" si="27">AL3*2+AL4*0.8</f>
        <v>38</v>
      </c>
      <c r="AM26" s="10">
        <f t="shared" si="27"/>
        <v>16.400000000000002</v>
      </c>
      <c r="AN26" s="10">
        <f t="shared" si="27"/>
        <v>138.19999999999999</v>
      </c>
      <c r="AS26" s="22" t="s">
        <v>90</v>
      </c>
      <c r="AT26" s="10">
        <f>AT3*2.2+AT4*0.8</f>
        <v>922.00000000000011</v>
      </c>
      <c r="AU26" s="10">
        <f t="shared" ref="AU26:AW26" si="28">AU3*2.2+AU4*0.8</f>
        <v>40.520000000000003</v>
      </c>
      <c r="AV26" s="10">
        <f t="shared" si="28"/>
        <v>16.920000000000002</v>
      </c>
      <c r="AW26" s="10">
        <f t="shared" si="28"/>
        <v>152.02000000000001</v>
      </c>
      <c r="BA26" s="22" t="s">
        <v>82</v>
      </c>
      <c r="BB26" s="10">
        <f>BB3*2+BB4*0.8</f>
        <v>852</v>
      </c>
      <c r="BC26" s="10">
        <f t="shared" ref="BC26:BE26" si="29">BC3*2+BC4*0.8</f>
        <v>38</v>
      </c>
      <c r="BD26" s="10">
        <f t="shared" si="29"/>
        <v>16.400000000000002</v>
      </c>
      <c r="BE26" s="10">
        <f t="shared" si="29"/>
        <v>138.19999999999999</v>
      </c>
      <c r="BI26" s="22" t="s">
        <v>92</v>
      </c>
      <c r="BJ26" s="10">
        <f>BJ3*2.6+BJ4</f>
        <v>1100</v>
      </c>
      <c r="BK26" s="10">
        <f t="shared" ref="BK26:BM26" si="30">BK3*2.6+BK4</f>
        <v>48.76</v>
      </c>
      <c r="BL26" s="10">
        <f t="shared" si="30"/>
        <v>20.76</v>
      </c>
      <c r="BM26" s="10">
        <f t="shared" si="30"/>
        <v>179.66</v>
      </c>
      <c r="BP26" s="22" t="s">
        <v>48</v>
      </c>
      <c r="BQ26" s="10">
        <f>BQ3*2+BQ4</f>
        <v>890</v>
      </c>
      <c r="BR26" s="10">
        <f t="shared" ref="BR26:BT26" si="31">BR3*2+BR4</f>
        <v>41.2</v>
      </c>
      <c r="BS26" s="10">
        <f t="shared" si="31"/>
        <v>19.2</v>
      </c>
      <c r="BT26" s="10">
        <f t="shared" si="31"/>
        <v>138.19999999999999</v>
      </c>
      <c r="BW26" s="22" t="s">
        <v>101</v>
      </c>
      <c r="BX26" s="10">
        <f>BX3*2+BX4</f>
        <v>890</v>
      </c>
      <c r="BY26" s="10">
        <f t="shared" ref="BY26:CA26" si="32">BY3*2+BY4</f>
        <v>41.2</v>
      </c>
      <c r="BZ26" s="10">
        <f t="shared" si="32"/>
        <v>19.2</v>
      </c>
      <c r="CA26" s="11">
        <f t="shared" si="32"/>
        <v>138.19999999999999</v>
      </c>
      <c r="CC26" s="30" t="s">
        <v>104</v>
      </c>
    </row>
    <row r="27" spans="1:81" x14ac:dyDescent="0.25">
      <c r="A27" s="9" t="s">
        <v>53</v>
      </c>
      <c r="B27" s="10"/>
      <c r="C27" s="10"/>
      <c r="D27" s="10"/>
      <c r="E27" s="11"/>
      <c r="H27" s="9" t="s">
        <v>53</v>
      </c>
      <c r="I27" s="10"/>
      <c r="J27" s="10"/>
      <c r="K27" s="10"/>
      <c r="L27" s="11"/>
      <c r="M27" s="18"/>
      <c r="N27" s="18"/>
      <c r="O27" s="9" t="s">
        <v>53</v>
      </c>
      <c r="P27" s="10"/>
      <c r="Q27" s="10"/>
      <c r="R27" s="10"/>
      <c r="S27" s="11"/>
      <c r="V27" s="9"/>
      <c r="W27" s="10"/>
      <c r="X27" s="10"/>
      <c r="Y27" s="10"/>
      <c r="Z27" s="11"/>
      <c r="AC27" s="9" t="s">
        <v>53</v>
      </c>
      <c r="AD27" s="10"/>
      <c r="AE27" s="10"/>
      <c r="AF27" s="10"/>
      <c r="AG27" s="11"/>
      <c r="AJ27" s="9" t="s">
        <v>53</v>
      </c>
      <c r="AK27" s="10"/>
      <c r="AL27" s="10"/>
      <c r="AM27" s="10"/>
      <c r="AN27" s="11"/>
      <c r="AS27" s="9" t="s">
        <v>53</v>
      </c>
      <c r="AT27" s="10"/>
      <c r="AU27" s="10"/>
      <c r="AV27" s="10"/>
      <c r="AW27" s="11"/>
      <c r="BA27" s="9" t="s">
        <v>53</v>
      </c>
      <c r="BB27" s="10"/>
      <c r="BC27" s="10"/>
      <c r="BD27" s="10"/>
      <c r="BE27" s="11"/>
      <c r="BI27" s="9" t="s">
        <v>53</v>
      </c>
      <c r="BJ27" s="10"/>
      <c r="BK27" s="10"/>
      <c r="BL27" s="10"/>
      <c r="BM27" s="11"/>
      <c r="BP27" s="9" t="s">
        <v>53</v>
      </c>
      <c r="BQ27" s="10"/>
      <c r="BR27" s="10"/>
      <c r="BS27" s="10"/>
      <c r="BT27" s="11"/>
      <c r="BW27" s="9"/>
      <c r="BX27" s="10"/>
      <c r="BY27" s="10"/>
      <c r="BZ27" s="10"/>
      <c r="CA27" s="11"/>
    </row>
    <row r="28" spans="1:81" x14ac:dyDescent="0.25">
      <c r="A28" s="9" t="s">
        <v>51</v>
      </c>
      <c r="B28" s="10">
        <f>B5</f>
        <v>89.7</v>
      </c>
      <c r="C28" s="10">
        <f>C5</f>
        <v>18</v>
      </c>
      <c r="D28" s="10">
        <f>D5</f>
        <v>0.5</v>
      </c>
      <c r="E28" s="11">
        <f>E5</f>
        <v>3.3</v>
      </c>
      <c r="H28" s="9" t="s">
        <v>54</v>
      </c>
      <c r="I28" s="10">
        <f>I5*1.1</f>
        <v>98.670000000000016</v>
      </c>
      <c r="J28" s="10">
        <f>J5*1.1</f>
        <v>19.8</v>
      </c>
      <c r="K28" s="10">
        <f>K5*1.1</f>
        <v>0.55000000000000004</v>
      </c>
      <c r="L28" s="11">
        <f>L5*1.1</f>
        <v>3.63</v>
      </c>
      <c r="M28" s="18"/>
      <c r="N28" s="18"/>
      <c r="O28" s="9" t="s">
        <v>54</v>
      </c>
      <c r="P28" s="10">
        <f>P5*1.1</f>
        <v>98.670000000000016</v>
      </c>
      <c r="Q28" s="10">
        <f>Q5*1.1</f>
        <v>19.8</v>
      </c>
      <c r="R28" s="10">
        <f>R5*1.1</f>
        <v>0.55000000000000004</v>
      </c>
      <c r="S28" s="11">
        <f>S5*1.1</f>
        <v>3.63</v>
      </c>
      <c r="V28" s="9" t="s">
        <v>68</v>
      </c>
      <c r="W28" s="10">
        <f>W5+W12+W9</f>
        <v>302.7</v>
      </c>
      <c r="X28" s="10">
        <f t="shared" ref="X28:Z28" si="33">X5+X12+X9</f>
        <v>43.4</v>
      </c>
      <c r="Y28" s="10">
        <f t="shared" si="33"/>
        <v>1.9</v>
      </c>
      <c r="Z28" s="10">
        <f t="shared" si="33"/>
        <v>27.900000000000002</v>
      </c>
      <c r="AC28" s="22" t="s">
        <v>77</v>
      </c>
      <c r="AD28" s="10">
        <f>AD5*0.8+AD9</f>
        <v>164.76</v>
      </c>
      <c r="AE28" s="10">
        <f t="shared" ref="AE28:AG28" si="34">AE5*0.8+AE9</f>
        <v>15.8</v>
      </c>
      <c r="AF28" s="10">
        <f t="shared" si="34"/>
        <v>0.8</v>
      </c>
      <c r="AG28" s="10">
        <f t="shared" si="34"/>
        <v>24.240000000000002</v>
      </c>
      <c r="AJ28" s="22" t="s">
        <v>80</v>
      </c>
      <c r="AK28" s="10">
        <f>AK5*0.5+AK14*0.3</f>
        <v>231.45</v>
      </c>
      <c r="AL28" s="10">
        <f t="shared" ref="AL28:AN28" si="35">AL5*0.5+AL14*0.3</f>
        <v>16.89</v>
      </c>
      <c r="AM28" s="10">
        <f t="shared" si="35"/>
        <v>13.81</v>
      </c>
      <c r="AN28" s="10">
        <f t="shared" si="35"/>
        <v>4.62</v>
      </c>
      <c r="AS28" s="22" t="s">
        <v>88</v>
      </c>
      <c r="AT28" s="10">
        <f>AT5*0.8+AT14*0.3</f>
        <v>258.36</v>
      </c>
      <c r="AU28" s="10">
        <f t="shared" ref="AU28:AW28" si="36">AU5*0.8+AU14*0.3</f>
        <v>22.29</v>
      </c>
      <c r="AV28" s="10">
        <f t="shared" si="36"/>
        <v>13.96</v>
      </c>
      <c r="AW28" s="10">
        <f t="shared" si="36"/>
        <v>5.61</v>
      </c>
      <c r="BA28" s="22" t="s">
        <v>86</v>
      </c>
      <c r="BB28" s="10">
        <f>BB5*0.7+BB14*0.2</f>
        <v>187.19</v>
      </c>
      <c r="BC28" s="10">
        <f t="shared" ref="BC28:BE28" si="37">BC5*0.7+BC14*0.2</f>
        <v>17.86</v>
      </c>
      <c r="BD28" s="10">
        <f t="shared" si="37"/>
        <v>9.39</v>
      </c>
      <c r="BE28" s="10">
        <f t="shared" si="37"/>
        <v>4.29</v>
      </c>
      <c r="BI28" s="22" t="s">
        <v>51</v>
      </c>
      <c r="BJ28" s="10">
        <f>BJ5</f>
        <v>89.7</v>
      </c>
      <c r="BK28" s="10">
        <f t="shared" ref="BK28:BM28" si="38">BK5</f>
        <v>18</v>
      </c>
      <c r="BL28" s="10">
        <f t="shared" si="38"/>
        <v>0.5</v>
      </c>
      <c r="BM28" s="10">
        <f t="shared" si="38"/>
        <v>3.3</v>
      </c>
      <c r="BP28" s="22" t="s">
        <v>98</v>
      </c>
      <c r="BQ28" s="10">
        <f>BQ9+BQ17</f>
        <v>293</v>
      </c>
      <c r="BR28" s="10">
        <f t="shared" ref="BR28:BT28" si="39">BR9+BR17</f>
        <v>4.4000000000000004</v>
      </c>
      <c r="BS28" s="10">
        <f t="shared" si="39"/>
        <v>13.4</v>
      </c>
      <c r="BT28" s="10">
        <f t="shared" si="39"/>
        <v>36.6</v>
      </c>
      <c r="BW28" s="22" t="s">
        <v>103</v>
      </c>
      <c r="BX28" s="10">
        <f>BX4*0.5</f>
        <v>95</v>
      </c>
      <c r="BY28" s="10">
        <f t="shared" ref="BY28:CA28" si="40">BY4*0.5</f>
        <v>8</v>
      </c>
      <c r="BZ28" s="10">
        <f t="shared" si="40"/>
        <v>7</v>
      </c>
      <c r="CA28" s="10">
        <f t="shared" si="40"/>
        <v>0</v>
      </c>
    </row>
    <row r="29" spans="1:81" x14ac:dyDescent="0.25">
      <c r="A29" s="9"/>
      <c r="B29" s="10"/>
      <c r="C29" s="10"/>
      <c r="D29" s="10"/>
      <c r="E29" s="11"/>
      <c r="H29" s="9"/>
      <c r="I29" s="10"/>
      <c r="J29" s="10"/>
      <c r="K29" s="10"/>
      <c r="L29" s="11"/>
      <c r="M29" s="18"/>
      <c r="N29" s="18"/>
      <c r="O29" s="9" t="s">
        <v>66</v>
      </c>
      <c r="P29" s="10">
        <f>P12</f>
        <v>120</v>
      </c>
      <c r="Q29" s="10">
        <f t="shared" ref="Q29:S29" si="41">Q12</f>
        <v>24</v>
      </c>
      <c r="R29" s="10">
        <f t="shared" si="41"/>
        <v>1</v>
      </c>
      <c r="S29" s="10">
        <f t="shared" si="41"/>
        <v>3</v>
      </c>
      <c r="V29" s="26"/>
      <c r="W29" s="10"/>
      <c r="X29" s="10"/>
      <c r="Y29" s="10"/>
      <c r="Z29" s="10"/>
      <c r="AC29" s="22" t="s">
        <v>76</v>
      </c>
      <c r="AD29" s="10">
        <f>AD14*0.5</f>
        <v>311</v>
      </c>
      <c r="AE29" s="10">
        <f t="shared" ref="AE29:AG29" si="42">AE14*0.5</f>
        <v>13.15</v>
      </c>
      <c r="AF29" s="10">
        <f t="shared" si="42"/>
        <v>22.6</v>
      </c>
      <c r="AG29" s="10">
        <f t="shared" si="42"/>
        <v>4.95</v>
      </c>
      <c r="AJ29" s="9"/>
      <c r="AK29" s="10"/>
      <c r="AL29" s="10"/>
      <c r="AM29" s="10"/>
      <c r="AN29" s="11"/>
      <c r="AS29" s="22"/>
      <c r="AT29" s="10"/>
      <c r="AU29" s="10"/>
      <c r="AV29" s="10"/>
      <c r="AW29" s="10"/>
      <c r="BA29" s="22" t="s">
        <v>0</v>
      </c>
      <c r="BB29" s="10">
        <f>BB6</f>
        <v>625</v>
      </c>
      <c r="BC29" s="10">
        <f t="shared" ref="BC29:BE29" si="43">BC6</f>
        <v>25</v>
      </c>
      <c r="BD29" s="10">
        <f t="shared" si="43"/>
        <v>7</v>
      </c>
      <c r="BE29" s="10">
        <f t="shared" si="43"/>
        <v>42</v>
      </c>
      <c r="BI29" s="22"/>
      <c r="BJ29" s="10"/>
      <c r="BK29" s="10"/>
      <c r="BL29" s="10"/>
      <c r="BM29" s="10"/>
      <c r="BP29" s="22"/>
      <c r="BQ29" s="10"/>
      <c r="BR29" s="10"/>
      <c r="BS29" s="10"/>
      <c r="BT29" s="10"/>
      <c r="BW29" s="22"/>
      <c r="BX29" s="10"/>
      <c r="BY29" s="10"/>
      <c r="BZ29" s="10"/>
      <c r="CA29" s="11"/>
    </row>
    <row r="30" spans="1:81" x14ac:dyDescent="0.25">
      <c r="A30" s="9"/>
      <c r="B30" s="10"/>
      <c r="C30" s="10"/>
      <c r="D30" s="10"/>
      <c r="E30" s="11"/>
      <c r="H30" s="9"/>
      <c r="I30" s="10"/>
      <c r="J30" s="10"/>
      <c r="K30" s="10"/>
      <c r="L30" s="11"/>
      <c r="M30" s="18"/>
      <c r="N30" s="18"/>
      <c r="O30" s="9"/>
      <c r="P30" s="10"/>
      <c r="Q30" s="10"/>
      <c r="R30" s="10"/>
      <c r="S30" s="11"/>
      <c r="V30" s="22" t="s">
        <v>71</v>
      </c>
      <c r="W30" s="10">
        <f>W13*3</f>
        <v>719.625</v>
      </c>
      <c r="X30" s="10">
        <f t="shared" ref="X30:Z30" si="44">X13*3</f>
        <v>37.875</v>
      </c>
      <c r="Y30" s="10">
        <f t="shared" si="44"/>
        <v>26.924999999999997</v>
      </c>
      <c r="Z30" s="10">
        <f t="shared" si="44"/>
        <v>86.962499999999991</v>
      </c>
      <c r="AC30" s="9"/>
      <c r="AD30" s="10"/>
      <c r="AE30" s="10"/>
      <c r="AF30" s="10"/>
      <c r="AG30" s="11"/>
      <c r="AJ30" s="9"/>
      <c r="AK30" s="10"/>
      <c r="AL30" s="10"/>
      <c r="AM30" s="10"/>
      <c r="AN30" s="11"/>
      <c r="AS30" s="9"/>
      <c r="AT30" s="10"/>
      <c r="AU30" s="10"/>
      <c r="AV30" s="10"/>
      <c r="AW30" s="11"/>
      <c r="BA30" s="9"/>
      <c r="BB30" s="10"/>
      <c r="BC30" s="10"/>
      <c r="BD30" s="10"/>
      <c r="BE30" s="11"/>
      <c r="BI30" s="22" t="s">
        <v>95</v>
      </c>
      <c r="BJ30" s="10">
        <f>BJ6</f>
        <v>625</v>
      </c>
      <c r="BK30" s="10">
        <f t="shared" ref="BK30:BM30" si="45">BK6</f>
        <v>25</v>
      </c>
      <c r="BL30" s="10">
        <f t="shared" si="45"/>
        <v>3</v>
      </c>
      <c r="BM30" s="10">
        <f t="shared" si="45"/>
        <v>126</v>
      </c>
      <c r="BP30" s="9"/>
      <c r="BQ30" s="10"/>
      <c r="BR30" s="10"/>
      <c r="BS30" s="10"/>
      <c r="BT30" s="11"/>
      <c r="BW30" s="22" t="s">
        <v>101</v>
      </c>
      <c r="BX30" s="10">
        <f>BX3*2+BX4</f>
        <v>890</v>
      </c>
      <c r="BY30" s="10">
        <f t="shared" ref="BY30:CA30" si="46">BY3*2+BY4</f>
        <v>41.2</v>
      </c>
      <c r="BZ30" s="10">
        <f t="shared" si="46"/>
        <v>19.2</v>
      </c>
      <c r="CA30" s="11">
        <f t="shared" si="46"/>
        <v>138.19999999999999</v>
      </c>
    </row>
    <row r="31" spans="1:81" x14ac:dyDescent="0.25">
      <c r="A31" s="9" t="s">
        <v>48</v>
      </c>
      <c r="B31" s="10">
        <f>B3*2+B4</f>
        <v>890</v>
      </c>
      <c r="C31" s="10">
        <f>C3*2+C4</f>
        <v>41.2</v>
      </c>
      <c r="D31" s="10">
        <f>D3*2+D4</f>
        <v>19.2</v>
      </c>
      <c r="E31" s="11">
        <f>E3*2+E4</f>
        <v>138.19999999999999</v>
      </c>
      <c r="H31" s="9" t="s">
        <v>58</v>
      </c>
      <c r="I31" s="10">
        <f>I3*1.8+I4*0.9</f>
        <v>801</v>
      </c>
      <c r="J31" s="10">
        <f>J3*1.8+J4*0.9</f>
        <v>37.08</v>
      </c>
      <c r="K31" s="10">
        <f>K3*1.8+K4*0.9</f>
        <v>17.28</v>
      </c>
      <c r="L31" s="10">
        <f>L3*1.8+L4*0.9</f>
        <v>124.38</v>
      </c>
      <c r="M31" s="18"/>
      <c r="N31" s="18"/>
      <c r="O31" s="9" t="s">
        <v>58</v>
      </c>
      <c r="P31" s="10">
        <f>P3*1.8+P4*0.9</f>
        <v>801</v>
      </c>
      <c r="Q31" s="10">
        <f>Q3*1.8+Q4*0.9</f>
        <v>37.08</v>
      </c>
      <c r="R31" s="10">
        <f>R3*1.8+R4*0.9</f>
        <v>17.28</v>
      </c>
      <c r="S31" s="10">
        <f>S3*1.8+S4*0.9</f>
        <v>124.38</v>
      </c>
      <c r="V31" s="26"/>
      <c r="W31" s="10"/>
      <c r="X31" s="10"/>
      <c r="Y31" s="10"/>
      <c r="Z31" s="10"/>
      <c r="AC31" s="22" t="s">
        <v>48</v>
      </c>
      <c r="AD31" s="10">
        <f>AD3*2+AD4</f>
        <v>890</v>
      </c>
      <c r="AE31" s="10">
        <f t="shared" ref="AE31:AG31" si="47">AE3*2+AE4</f>
        <v>41.2</v>
      </c>
      <c r="AF31" s="10">
        <f t="shared" si="47"/>
        <v>19.2</v>
      </c>
      <c r="AG31" s="10">
        <f t="shared" si="47"/>
        <v>138.19999999999999</v>
      </c>
      <c r="AJ31" s="22" t="s">
        <v>82</v>
      </c>
      <c r="AK31" s="10">
        <f>AK3*2+AK4*0.8</f>
        <v>852</v>
      </c>
      <c r="AL31" s="10">
        <f t="shared" ref="AL31:AN31" si="48">AL3*2+AL4*0.8</f>
        <v>38</v>
      </c>
      <c r="AM31" s="10">
        <f t="shared" si="48"/>
        <v>16.400000000000002</v>
      </c>
      <c r="AN31" s="10">
        <f t="shared" si="48"/>
        <v>138.19999999999999</v>
      </c>
      <c r="AQ31" s="30" t="s">
        <v>53</v>
      </c>
      <c r="AS31" s="22" t="s">
        <v>82</v>
      </c>
      <c r="AT31" s="10">
        <f>AT3*2+AT4*0.8</f>
        <v>852</v>
      </c>
      <c r="AU31" s="10">
        <f t="shared" ref="AU31:AW31" si="49">AU3*2+AU4*0.8</f>
        <v>38</v>
      </c>
      <c r="AV31" s="10">
        <f t="shared" si="49"/>
        <v>16.400000000000002</v>
      </c>
      <c r="AW31" s="10">
        <f t="shared" si="49"/>
        <v>138.19999999999999</v>
      </c>
      <c r="BA31" s="22" t="s">
        <v>82</v>
      </c>
      <c r="BB31" s="10">
        <f>BB3*2+BB4*0.8</f>
        <v>852</v>
      </c>
      <c r="BC31" s="10">
        <f t="shared" ref="BC31:BE31" si="50">BC3*2+BC4*0.8</f>
        <v>38</v>
      </c>
      <c r="BD31" s="10">
        <f t="shared" si="50"/>
        <v>16.400000000000002</v>
      </c>
      <c r="BE31" s="10">
        <f t="shared" si="50"/>
        <v>138.19999999999999</v>
      </c>
      <c r="BI31" s="22" t="s">
        <v>93</v>
      </c>
      <c r="BJ31" s="10">
        <f>BJ3*2.5+BJ4</f>
        <v>1065</v>
      </c>
      <c r="BK31" s="10">
        <f t="shared" ref="BK31:BM31" si="51">BK3*2.5+BK4</f>
        <v>47.5</v>
      </c>
      <c r="BL31" s="10">
        <f t="shared" si="51"/>
        <v>20.5</v>
      </c>
      <c r="BM31" s="10">
        <f t="shared" si="51"/>
        <v>172.75</v>
      </c>
      <c r="BP31" s="22" t="s">
        <v>48</v>
      </c>
      <c r="BQ31" s="10">
        <f>BQ3*2+BQ4</f>
        <v>890</v>
      </c>
      <c r="BR31" s="10">
        <f t="shared" ref="BR31:BT31" si="52">BR3*2+BR4</f>
        <v>41.2</v>
      </c>
      <c r="BS31" s="10">
        <f t="shared" si="52"/>
        <v>19.2</v>
      </c>
      <c r="BT31" s="10">
        <f t="shared" si="52"/>
        <v>138.19999999999999</v>
      </c>
      <c r="BW31" s="22"/>
      <c r="BX31" s="10"/>
      <c r="BY31" s="10"/>
      <c r="BZ31" s="10"/>
      <c r="CA31" s="11"/>
    </row>
    <row r="32" spans="1:81" x14ac:dyDescent="0.25">
      <c r="A32" s="9"/>
      <c r="B32" s="10"/>
      <c r="C32" s="10"/>
      <c r="D32" s="10"/>
      <c r="E32" s="11"/>
      <c r="H32" s="9"/>
      <c r="I32" s="10"/>
      <c r="J32" s="10"/>
      <c r="K32" s="10"/>
      <c r="L32" s="11"/>
      <c r="M32" s="18"/>
      <c r="N32" s="18"/>
      <c r="O32" s="9" t="s">
        <v>61</v>
      </c>
      <c r="P32" s="10">
        <f>P9</f>
        <v>93</v>
      </c>
      <c r="Q32" s="10">
        <f t="shared" ref="Q32:S32" si="53">Q9</f>
        <v>1.4</v>
      </c>
      <c r="R32" s="10">
        <f t="shared" si="53"/>
        <v>0.4</v>
      </c>
      <c r="S32" s="10">
        <f t="shared" si="53"/>
        <v>21.6</v>
      </c>
      <c r="V32" s="23"/>
      <c r="W32" s="10"/>
      <c r="X32" s="10"/>
      <c r="Y32" s="10"/>
      <c r="Z32" s="10"/>
      <c r="AC32" s="9" t="s">
        <v>61</v>
      </c>
      <c r="AD32" s="10">
        <f>AD9</f>
        <v>93</v>
      </c>
      <c r="AE32" s="10">
        <f t="shared" ref="AE32:AG32" si="54">AE9</f>
        <v>1.4</v>
      </c>
      <c r="AF32" s="10">
        <f t="shared" si="54"/>
        <v>0.4</v>
      </c>
      <c r="AG32" s="11">
        <f t="shared" si="54"/>
        <v>21.6</v>
      </c>
      <c r="AJ32" s="22" t="s">
        <v>79</v>
      </c>
      <c r="AK32" s="29" t="s">
        <v>53</v>
      </c>
      <c r="AL32" s="10"/>
      <c r="AM32" s="10"/>
      <c r="AN32" s="11"/>
      <c r="AS32" s="22"/>
      <c r="AT32" s="29" t="s">
        <v>53</v>
      </c>
      <c r="AU32" s="10"/>
      <c r="AV32" s="10"/>
      <c r="AW32" s="11"/>
      <c r="BA32" s="22"/>
      <c r="BB32" s="29" t="s">
        <v>53</v>
      </c>
      <c r="BC32" s="10"/>
      <c r="BD32" s="10"/>
      <c r="BE32" s="11"/>
      <c r="BI32" s="22"/>
      <c r="BJ32" s="29" t="s">
        <v>53</v>
      </c>
      <c r="BK32" s="10"/>
      <c r="BL32" s="10"/>
      <c r="BM32" s="11"/>
      <c r="BP32" s="22"/>
      <c r="BQ32" s="29" t="s">
        <v>53</v>
      </c>
      <c r="BR32" s="10"/>
      <c r="BS32" s="10"/>
      <c r="BT32" s="11"/>
      <c r="BW32" s="22" t="s">
        <v>102</v>
      </c>
      <c r="BX32" s="29">
        <f>BX3</f>
        <v>350</v>
      </c>
      <c r="BY32" s="29">
        <f t="shared" ref="BY32:CA32" si="55">BY3</f>
        <v>12.6</v>
      </c>
      <c r="BZ32" s="29">
        <f t="shared" si="55"/>
        <v>2.6</v>
      </c>
      <c r="CA32" s="36">
        <f t="shared" si="55"/>
        <v>69.099999999999994</v>
      </c>
    </row>
    <row r="33" spans="1:79" ht="15.75" thickBot="1" x14ac:dyDescent="0.3">
      <c r="A33" s="12" t="s">
        <v>39</v>
      </c>
      <c r="B33" s="13">
        <f>B6*0.9</f>
        <v>351.90000000000003</v>
      </c>
      <c r="C33" s="13">
        <f>C6*0.9</f>
        <v>34.200000000000003</v>
      </c>
      <c r="D33" s="13">
        <f>D6*0.9</f>
        <v>2.7</v>
      </c>
      <c r="E33" s="14">
        <f>E6*0.9</f>
        <v>47.7</v>
      </c>
      <c r="H33" s="12" t="s">
        <v>39</v>
      </c>
      <c r="I33" s="13">
        <f>I6*0.9</f>
        <v>351.90000000000003</v>
      </c>
      <c r="J33" s="13">
        <f>J6*0.9</f>
        <v>34.200000000000003</v>
      </c>
      <c r="K33" s="13">
        <f>K6*0.9</f>
        <v>2.7</v>
      </c>
      <c r="L33" s="14">
        <f>L6*0.9</f>
        <v>47.7</v>
      </c>
      <c r="M33" s="18"/>
      <c r="N33" s="18"/>
      <c r="O33" s="12" t="s">
        <v>33</v>
      </c>
      <c r="P33" s="13">
        <f>P5</f>
        <v>89.7</v>
      </c>
      <c r="Q33" s="13">
        <f t="shared" ref="Q33:S33" si="56">Q5</f>
        <v>18</v>
      </c>
      <c r="R33" s="13">
        <f t="shared" si="56"/>
        <v>0.5</v>
      </c>
      <c r="S33" s="13">
        <f t="shared" si="56"/>
        <v>3.3</v>
      </c>
      <c r="V33" s="25" t="s">
        <v>72</v>
      </c>
      <c r="W33" s="13">
        <f>W3*1.5+W9</f>
        <v>618</v>
      </c>
      <c r="X33" s="13">
        <f t="shared" ref="X33:Z33" si="57">X3*1.5+X9</f>
        <v>20.299999999999997</v>
      </c>
      <c r="Y33" s="13">
        <f t="shared" si="57"/>
        <v>4.3000000000000007</v>
      </c>
      <c r="Z33" s="13">
        <f t="shared" si="57"/>
        <v>125.25</v>
      </c>
      <c r="AC33" s="12"/>
      <c r="AD33" s="13"/>
      <c r="AE33" s="13"/>
      <c r="AF33" s="13"/>
      <c r="AG33" s="14"/>
      <c r="AJ33" s="32" t="s">
        <v>84</v>
      </c>
      <c r="AK33" s="13">
        <f>AK14*0.3</f>
        <v>186.6</v>
      </c>
      <c r="AL33" s="13">
        <f t="shared" ref="AL33:AN33" si="58">AL14*0.3</f>
        <v>7.89</v>
      </c>
      <c r="AM33" s="13">
        <f t="shared" si="58"/>
        <v>13.56</v>
      </c>
      <c r="AN33" s="13">
        <f t="shared" si="58"/>
        <v>2.97</v>
      </c>
      <c r="AS33" s="32" t="s">
        <v>84</v>
      </c>
      <c r="AT33" s="13">
        <f>AT14*0.3</f>
        <v>186.6</v>
      </c>
      <c r="AU33" s="13">
        <f t="shared" ref="AU33:AW33" si="59">AU14*0.3</f>
        <v>7.89</v>
      </c>
      <c r="AV33" s="13">
        <f t="shared" si="59"/>
        <v>13.56</v>
      </c>
      <c r="AW33" s="13">
        <f t="shared" si="59"/>
        <v>2.97</v>
      </c>
      <c r="BA33" s="32" t="s">
        <v>84</v>
      </c>
      <c r="BB33" s="13">
        <f>BB14*0.3</f>
        <v>186.6</v>
      </c>
      <c r="BC33" s="13">
        <f t="shared" ref="BC33:BE33" si="60">BC14*0.3</f>
        <v>7.89</v>
      </c>
      <c r="BD33" s="13">
        <f t="shared" si="60"/>
        <v>13.56</v>
      </c>
      <c r="BE33" s="13">
        <f t="shared" si="60"/>
        <v>2.97</v>
      </c>
      <c r="BI33" s="32" t="s">
        <v>61</v>
      </c>
      <c r="BJ33" s="13">
        <f>BJ9</f>
        <v>93</v>
      </c>
      <c r="BK33" s="13">
        <f t="shared" ref="BK33:BM33" si="61">BK9</f>
        <v>1.4</v>
      </c>
      <c r="BL33" s="13">
        <f t="shared" si="61"/>
        <v>0.4</v>
      </c>
      <c r="BM33" s="13">
        <f t="shared" si="61"/>
        <v>21.6</v>
      </c>
      <c r="BP33" s="32" t="s">
        <v>99</v>
      </c>
      <c r="BQ33" s="13">
        <f>BQ3</f>
        <v>350</v>
      </c>
      <c r="BR33" s="13">
        <f t="shared" ref="BR33:BT33" si="62">BR3</f>
        <v>12.6</v>
      </c>
      <c r="BS33" s="13">
        <f t="shared" si="62"/>
        <v>2.6</v>
      </c>
      <c r="BT33" s="13">
        <f t="shared" si="62"/>
        <v>69.099999999999994</v>
      </c>
      <c r="BW33" s="32"/>
      <c r="BX33" s="13"/>
      <c r="BY33" s="13"/>
      <c r="BZ33" s="13"/>
      <c r="CA33" s="14"/>
    </row>
    <row r="35" spans="1:79" x14ac:dyDescent="0.25">
      <c r="A35" s="2" t="s">
        <v>49</v>
      </c>
      <c r="B35" s="2">
        <f>SUM(B21:B33)</f>
        <v>2507.8000000000002</v>
      </c>
      <c r="C35" s="2">
        <f t="shared" ref="C35:E35" si="63">SUM(C21:C33)</f>
        <v>160.44999999999999</v>
      </c>
      <c r="D35" s="2">
        <f t="shared" si="63"/>
        <v>44.95</v>
      </c>
      <c r="E35" s="2">
        <f t="shared" si="63"/>
        <v>365.59999999999997</v>
      </c>
      <c r="H35" s="2" t="s">
        <v>49</v>
      </c>
      <c r="I35" s="2">
        <f>SUM(I21:I33)</f>
        <v>2588.2400000000002</v>
      </c>
      <c r="J35" s="2">
        <f t="shared" ref="J35:L35" si="64">SUM(J21:J33)</f>
        <v>170.74</v>
      </c>
      <c r="K35" s="2">
        <f t="shared" si="64"/>
        <v>51.940000000000005</v>
      </c>
      <c r="L35" s="2">
        <f t="shared" si="64"/>
        <v>359.7</v>
      </c>
      <c r="O35" s="2" t="s">
        <v>49</v>
      </c>
      <c r="P35" s="2">
        <f>SUM(P21:P34)</f>
        <v>2539.04</v>
      </c>
      <c r="Q35" s="2">
        <f t="shared" ref="Q35:S35" si="65">SUM(Q21:Q34)</f>
        <v>179.94</v>
      </c>
      <c r="R35" s="2">
        <f t="shared" si="65"/>
        <v>51.14</v>
      </c>
      <c r="S35" s="2">
        <f t="shared" si="65"/>
        <v>339.90000000000003</v>
      </c>
      <c r="V35" s="2" t="s">
        <v>49</v>
      </c>
      <c r="W35" s="2">
        <f>SUM(W21:W34)</f>
        <v>2886.2750000000001</v>
      </c>
      <c r="X35" s="2">
        <f t="shared" ref="X35:Z35" si="66">SUM(X21:X34)</f>
        <v>190.435</v>
      </c>
      <c r="Y35" s="2">
        <f t="shared" si="66"/>
        <v>61.584999999999994</v>
      </c>
      <c r="Z35" s="2">
        <f t="shared" si="66"/>
        <v>402.34750000000003</v>
      </c>
      <c r="AC35" s="2" t="s">
        <v>49</v>
      </c>
      <c r="AD35" s="2">
        <f>SUM(AD21:AD34)</f>
        <v>3288.02</v>
      </c>
      <c r="AE35" s="2">
        <f t="shared" ref="AE35:AG35" si="67">SUM(AE21:AE34)</f>
        <v>161.91000000000003</v>
      </c>
      <c r="AF35" s="2">
        <f t="shared" si="67"/>
        <v>94.210000000000022</v>
      </c>
      <c r="AG35" s="2">
        <f t="shared" si="67"/>
        <v>432.74</v>
      </c>
      <c r="AJ35" s="2" t="s">
        <v>49</v>
      </c>
      <c r="AK35" s="2">
        <f>SUM(AK21:AK34)</f>
        <v>2773.5</v>
      </c>
      <c r="AL35" s="2">
        <f t="shared" ref="AL35" si="68">SUM(AL21:AL34)</f>
        <v>132.79</v>
      </c>
      <c r="AM35" s="2">
        <f t="shared" ref="AM35" si="69">SUM(AM21:AM34)</f>
        <v>77.100000000000009</v>
      </c>
      <c r="AN35" s="2">
        <f t="shared" ref="AN35" si="70">SUM(AN21:AN34)</f>
        <v>371.53</v>
      </c>
      <c r="AP35" s="30">
        <f>AL35+AM35+AN35</f>
        <v>581.41999999999996</v>
      </c>
      <c r="AS35" s="2" t="s">
        <v>49</v>
      </c>
      <c r="AT35" s="2">
        <f>SUM(AT21:AT34)</f>
        <v>2932.32</v>
      </c>
      <c r="AU35" s="2">
        <f t="shared" ref="AU35:AW35" si="71">SUM(AU21:AU34)</f>
        <v>147.36999999999998</v>
      </c>
      <c r="AV35" s="2">
        <f t="shared" si="71"/>
        <v>78.180000000000007</v>
      </c>
      <c r="AW35" s="2">
        <f t="shared" si="71"/>
        <v>394.24</v>
      </c>
      <c r="AX35" s="30" t="s">
        <v>85</v>
      </c>
      <c r="AY35" s="30">
        <f>AU35+AV35+AW35</f>
        <v>619.79</v>
      </c>
      <c r="AZ35" s="30" t="s">
        <v>85</v>
      </c>
      <c r="BA35" s="2" t="s">
        <v>49</v>
      </c>
      <c r="BB35" s="2">
        <f>SUM(BB21:BB34)</f>
        <v>3309.98</v>
      </c>
      <c r="BC35" s="2">
        <f t="shared" ref="BC35:BE35" si="72">SUM(BC21:BC34)</f>
        <v>159.72999999999996</v>
      </c>
      <c r="BD35" s="2">
        <f t="shared" si="72"/>
        <v>75.260000000000005</v>
      </c>
      <c r="BE35" s="2">
        <f t="shared" si="72"/>
        <v>412.86999999999995</v>
      </c>
      <c r="BI35" s="2" t="s">
        <v>49</v>
      </c>
      <c r="BJ35" s="2">
        <f>SUM(BJ21:BJ34)</f>
        <v>4122.7</v>
      </c>
      <c r="BK35" s="2">
        <f t="shared" ref="BK35:BM35" si="73">SUM(BK21:BK34)</f>
        <v>184.56</v>
      </c>
      <c r="BL35" s="2">
        <f t="shared" si="73"/>
        <v>52.06</v>
      </c>
      <c r="BM35" s="2">
        <f t="shared" si="73"/>
        <v>732.95999999999992</v>
      </c>
      <c r="BP35" s="2" t="s">
        <v>49</v>
      </c>
      <c r="BQ35" s="2">
        <f>SUM(BQ21:BQ34)</f>
        <v>3136</v>
      </c>
      <c r="BR35" s="2">
        <f t="shared" ref="BR35:BT35" si="74">SUM(BR21:BR34)</f>
        <v>118.92</v>
      </c>
      <c r="BS35" s="2">
        <f t="shared" si="74"/>
        <v>70.919999999999987</v>
      </c>
      <c r="BT35" s="2">
        <f t="shared" si="74"/>
        <v>501.62</v>
      </c>
      <c r="BW35" s="2" t="s">
        <v>49</v>
      </c>
      <c r="BX35" s="2">
        <f>SUM(BX21:BX34)</f>
        <v>2477</v>
      </c>
      <c r="BY35" s="2">
        <f t="shared" ref="BY35:CA35" si="75">SUM(BY21:BY34)</f>
        <v>123.7</v>
      </c>
      <c r="BZ35" s="2">
        <f t="shared" si="75"/>
        <v>66.5</v>
      </c>
      <c r="CA35" s="2">
        <f t="shared" si="75"/>
        <v>346.19999999999993</v>
      </c>
    </row>
    <row r="36" spans="1:79" x14ac:dyDescent="0.25">
      <c r="AJ36" s="28" t="s">
        <v>83</v>
      </c>
      <c r="AL36" s="31">
        <f>(AL35/$AP$35)*100</f>
        <v>22.838911630146882</v>
      </c>
      <c r="AM36" s="31">
        <f>(AM35/$AP$35)*100</f>
        <v>13.260637748959446</v>
      </c>
      <c r="AN36" s="31">
        <f t="shared" ref="AN36" si="76">(AN35/$AP$35)*100</f>
        <v>63.900450620893679</v>
      </c>
      <c r="AP36" s="30" t="s">
        <v>53</v>
      </c>
      <c r="AS36" s="28" t="s">
        <v>83</v>
      </c>
      <c r="AU36" s="31">
        <f>(AU35/$AP$35)*100</f>
        <v>25.346565305631042</v>
      </c>
      <c r="AV36" s="31">
        <f>(AV35/$AP$35)*100</f>
        <v>13.446389873069384</v>
      </c>
      <c r="AW36" s="31">
        <f t="shared" ref="AW36" si="77">(AW35/$AP$35)*100</f>
        <v>67.806405008427646</v>
      </c>
      <c r="AY36" s="30" t="s">
        <v>53</v>
      </c>
      <c r="BA36" s="28" t="s">
        <v>83</v>
      </c>
      <c r="BC36" s="31">
        <f>(BC35/$AP$35)*100</f>
        <v>27.47239517044477</v>
      </c>
      <c r="BD36" s="31">
        <f>(BD35/$AP$35)*100</f>
        <v>12.944171167142516</v>
      </c>
      <c r="BE36" s="31">
        <f t="shared" ref="BE36" si="78">(BE35/$AP$35)*100</f>
        <v>71.01062914932406</v>
      </c>
      <c r="BI36" s="28" t="s">
        <v>83</v>
      </c>
      <c r="BK36" s="31">
        <f>(BK35/$AP$35)*100</f>
        <v>31.742974097898252</v>
      </c>
      <c r="BL36" s="31">
        <f>(BL35/$AP$35)*100</f>
        <v>8.9539403529290365</v>
      </c>
      <c r="BM36" s="31">
        <f t="shared" ref="BM36" si="79">(BM35/$AP$35)*100</f>
        <v>126.06377489594441</v>
      </c>
      <c r="BP36" s="28"/>
      <c r="BR36" s="31"/>
      <c r="BS36" s="31"/>
      <c r="BT36" s="31"/>
      <c r="BW36" s="28"/>
      <c r="BY36" s="31"/>
      <c r="BZ36" s="31"/>
      <c r="CA36" s="31"/>
    </row>
    <row r="40" spans="1:79" x14ac:dyDescent="0.25">
      <c r="B40" s="2" t="s">
        <v>28</v>
      </c>
      <c r="C40" s="2" t="s">
        <v>24</v>
      </c>
      <c r="D40" s="2" t="s">
        <v>25</v>
      </c>
      <c r="E40" s="2" t="s">
        <v>26</v>
      </c>
    </row>
    <row r="41" spans="1:79" x14ac:dyDescent="0.25">
      <c r="A41" s="2" t="s">
        <v>27</v>
      </c>
      <c r="B41" s="2">
        <v>1</v>
      </c>
      <c r="C41" s="2">
        <v>4</v>
      </c>
      <c r="D41" s="2">
        <v>0.5</v>
      </c>
      <c r="E41" s="2">
        <v>5</v>
      </c>
    </row>
    <row r="42" spans="1:79" x14ac:dyDescent="0.25">
      <c r="A42" s="16">
        <v>42981</v>
      </c>
      <c r="B42" s="2">
        <v>62</v>
      </c>
      <c r="C42" s="2">
        <f>B42*C41</f>
        <v>248</v>
      </c>
      <c r="D42" s="2">
        <f>B42*D41</f>
        <v>31</v>
      </c>
      <c r="E42" s="2">
        <f>B42*E41</f>
        <v>310</v>
      </c>
    </row>
  </sheetData>
  <mergeCells count="22">
    <mergeCell ref="BW1:CA1"/>
    <mergeCell ref="BW19:CA19"/>
    <mergeCell ref="AC1:AG1"/>
    <mergeCell ref="AC19:AG19"/>
    <mergeCell ref="BP1:BT1"/>
    <mergeCell ref="BP19:BT19"/>
    <mergeCell ref="BI1:BM1"/>
    <mergeCell ref="BI19:BM19"/>
    <mergeCell ref="BA1:BE1"/>
    <mergeCell ref="BA19:BE19"/>
    <mergeCell ref="AS1:AW1"/>
    <mergeCell ref="AS19:AW19"/>
    <mergeCell ref="AJ1:AN1"/>
    <mergeCell ref="AJ19:AN19"/>
    <mergeCell ref="A1:E1"/>
    <mergeCell ref="H1:L1"/>
    <mergeCell ref="A19:E19"/>
    <mergeCell ref="H19:L19"/>
    <mergeCell ref="V1:Z1"/>
    <mergeCell ref="V19:Z19"/>
    <mergeCell ref="O19:S19"/>
    <mergeCell ref="O1: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Первая неделя (с 26.06.17)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</dc:creator>
  <cp:lastModifiedBy>Роман</cp:lastModifiedBy>
  <dcterms:created xsi:type="dcterms:W3CDTF">2017-06-25T13:52:58Z</dcterms:created>
  <dcterms:modified xsi:type="dcterms:W3CDTF">2018-09-08T07:00:46Z</dcterms:modified>
</cp:coreProperties>
</file>