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20" windowHeight="12220" tabRatio="921" firstSheet="1" activeTab="6"/>
  </bookViews>
  <sheets>
    <sheet name="ZADNA" sheetId="1" r:id="rId1"/>
    <sheet name="P&amp;L and Margins" sheetId="6" r:id="rId2"/>
    <sheet name="Working Capital Forecast Model" sheetId="3" r:id="rId3"/>
    <sheet name="CAPX &amp; Depreciation Forecast" sheetId="5" r:id="rId4"/>
    <sheet name="Cash Flow Forecast Model" sheetId="4" r:id="rId5"/>
    <sheet name="DCF Valuation Output" sheetId="2" r:id="rId6"/>
    <sheet name="Cap Table" sheetId="7" r:id="rId7"/>
  </sheets>
  <calcPr calcId="144525" iterate="1" iterateCount="10000" iterateDelta="0.001"/>
</workbook>
</file>

<file path=xl/sharedStrings.xml><?xml version="1.0" encoding="utf-8"?>
<sst xmlns="http://schemas.openxmlformats.org/spreadsheetml/2006/main" count="351" uniqueCount="172">
  <si>
    <t>ZADNA</t>
  </si>
  <si>
    <t>HISTORICAL PERFORMANCE</t>
  </si>
  <si>
    <t>MANAGEMENT PROJECTIONS</t>
  </si>
  <si>
    <t>P&amp;L - US$ Mn</t>
  </si>
  <si>
    <t>CY 2017 A</t>
  </si>
  <si>
    <t>CY 2018 A</t>
  </si>
  <si>
    <t>CY 2019 E</t>
  </si>
  <si>
    <t>CY 2020 E</t>
  </si>
  <si>
    <t>Q1</t>
  </si>
  <si>
    <t>Q2</t>
  </si>
  <si>
    <t>Q3</t>
  </si>
  <si>
    <t>Q4</t>
  </si>
  <si>
    <t>Gross Revenue</t>
  </si>
  <si>
    <t>Revenue from new customers</t>
  </si>
  <si>
    <t>Revenue from repeat customers</t>
  </si>
  <si>
    <t>Product Returns (%)</t>
  </si>
  <si>
    <t>Net Revenue</t>
  </si>
  <si>
    <t>Growth (%)</t>
  </si>
  <si>
    <t>Interest Income from investments*</t>
  </si>
  <si>
    <t>Total Revenue</t>
  </si>
  <si>
    <t>COGS</t>
  </si>
  <si>
    <t>Logistics</t>
  </si>
  <si>
    <t>Payment Gateway</t>
  </si>
  <si>
    <t>Customer support cost</t>
  </si>
  <si>
    <t>Other direct costs</t>
  </si>
  <si>
    <t>Gross Margin</t>
  </si>
  <si>
    <t>GM (%)</t>
  </si>
  <si>
    <t>Marketing spend</t>
  </si>
  <si>
    <t>G&amp;A</t>
  </si>
  <si>
    <t>PBT</t>
  </si>
  <si>
    <t>Tax (@ 15%)</t>
  </si>
  <si>
    <t>PAT</t>
  </si>
  <si>
    <t>* Assume 0.25% of net revenue</t>
  </si>
  <si>
    <t>Marketing Metrics</t>
  </si>
  <si>
    <t>Revenue from New Customers (A)</t>
  </si>
  <si>
    <t>US$ Mn</t>
  </si>
  <si>
    <t>Marketing spend (B)</t>
  </si>
  <si>
    <t>Marketing Eff (A/B)</t>
  </si>
  <si>
    <t>#</t>
  </si>
  <si>
    <t>Revenue Retention</t>
  </si>
  <si>
    <t>%</t>
  </si>
  <si>
    <t>Revenue</t>
  </si>
  <si>
    <t>Total</t>
  </si>
  <si>
    <t>Working Capital (Days)</t>
  </si>
  <si>
    <t>Inventory days</t>
  </si>
  <si>
    <t>Receivable days</t>
  </si>
  <si>
    <t>Payable Days (logistics, COGs &amp; PG)</t>
  </si>
  <si>
    <t>Delivery Time</t>
  </si>
  <si>
    <t>Avg Delivery Time from Order</t>
  </si>
  <si>
    <t>Revenue and Operating Cost</t>
  </si>
  <si>
    <t>[$mn]</t>
  </si>
  <si>
    <t>[%]</t>
  </si>
  <si>
    <t>Operating Cost and PAT</t>
  </si>
  <si>
    <t>EBITDA</t>
  </si>
  <si>
    <t>(%)</t>
  </si>
  <si>
    <t>Interest Expense (No Debt)</t>
  </si>
  <si>
    <t>EBIT</t>
  </si>
  <si>
    <t>Profit and Loss</t>
  </si>
  <si>
    <t>Working Capital Forecast Model</t>
  </si>
  <si>
    <t>Working Capital and Other</t>
  </si>
  <si>
    <t>% of Net Revenue of COGS</t>
  </si>
  <si>
    <t>Inventory Days</t>
  </si>
  <si>
    <t>[#]</t>
  </si>
  <si>
    <t>Inventory Turnover</t>
  </si>
  <si>
    <t>Receivale Days</t>
  </si>
  <si>
    <t>Receivale Turnover</t>
  </si>
  <si>
    <t>Payable Days</t>
  </si>
  <si>
    <t>Payable Turnover</t>
  </si>
  <si>
    <t>Inventory</t>
  </si>
  <si>
    <t>Receivale</t>
  </si>
  <si>
    <t>Payable</t>
  </si>
  <si>
    <t>Net Working Capital</t>
  </si>
  <si>
    <t>Net Working Capital as % of Net Sales</t>
  </si>
  <si>
    <t>Capital Expenditures &amp; Capital Assets Forecast Model</t>
  </si>
  <si>
    <t>1) Addition of Capital Asset</t>
  </si>
  <si>
    <t>Additions (Revenue from New Customers)</t>
  </si>
  <si>
    <t>Estimated Depreciation as % of Additions (@ 1.25%)</t>
  </si>
  <si>
    <t>Total Estimated Depreciation</t>
  </si>
  <si>
    <t>2) Esitimated Capital Expenditure</t>
  </si>
  <si>
    <t>Investment for Equipment, Property</t>
  </si>
  <si>
    <t>Estimated CAPX in Tangible Asset as % of Additions</t>
  </si>
  <si>
    <t>Investment for Intellectual Property, Patents and Tech</t>
  </si>
  <si>
    <t>Estimated CAPX in Intangible Asset as % of Additions ()</t>
  </si>
  <si>
    <t>Total Capital Expenditure for Tangible and Intangible Assets</t>
  </si>
  <si>
    <t>Accounting NOPAT</t>
  </si>
  <si>
    <t>Cash NOPAT and Free Cash Flow</t>
  </si>
  <si>
    <t>Inc Working Capital</t>
  </si>
  <si>
    <t>Working Capital Ratio</t>
  </si>
  <si>
    <t>Cash NOPAT</t>
  </si>
  <si>
    <t>Capital Expenditure (-)</t>
  </si>
  <si>
    <t>Depreciation (+)</t>
  </si>
  <si>
    <t>NCF</t>
  </si>
  <si>
    <t>WACC Calculation</t>
  </si>
  <si>
    <t>Valuation Output</t>
  </si>
  <si>
    <t>Benchmark Rate</t>
  </si>
  <si>
    <t>10-Year Treasury - Historical Annual Yield Data (2018)</t>
  </si>
  <si>
    <t>SUM PV NCFs</t>
  </si>
  <si>
    <t>Market Risk Premium</t>
  </si>
  <si>
    <t>10-Year Average Risk Premium (US) (2009 - 2018)</t>
  </si>
  <si>
    <t>Terminal Value</t>
  </si>
  <si>
    <t>Market Size Premium</t>
  </si>
  <si>
    <t>10-Year Average Size Premium (US) (2009 - 2018)</t>
  </si>
  <si>
    <t>PV Term Value</t>
  </si>
  <si>
    <t>Beta</t>
  </si>
  <si>
    <t>Retail (General) - Beta by Sector (US) - Capital IQ</t>
  </si>
  <si>
    <t>PV All Cash Fls</t>
  </si>
  <si>
    <t>CAPM Cost Of Equity</t>
  </si>
  <si>
    <t>Cash +</t>
  </si>
  <si>
    <t>Cost of debt</t>
  </si>
  <si>
    <t>Interest on Debt (US) (2018) - Capital IQ</t>
  </si>
  <si>
    <t>LT Debt -</t>
  </si>
  <si>
    <t>After Tax Cost Of Debt</t>
  </si>
  <si>
    <t>Legal Liability -</t>
  </si>
  <si>
    <t>Leverage Level</t>
  </si>
  <si>
    <t>Intrinsic Equity</t>
  </si>
  <si>
    <t>WACC</t>
  </si>
  <si>
    <t>Merger Offer</t>
  </si>
  <si>
    <t>800 for 20% Equiy</t>
  </si>
  <si>
    <t>Growth</t>
  </si>
  <si>
    <t>Implied Equity</t>
  </si>
  <si>
    <t>Free Cashflow Valuation</t>
  </si>
  <si>
    <t>Projected Fiscal Year Ending Dce 31</t>
  </si>
  <si>
    <t>Free Cash Flows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</si>
  <si>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</si>
  <si>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</si>
  <si>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</si>
  <si>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</si>
  <si>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</si>
  <si>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</si>
  <si>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</si>
  <si>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</si>
  <si>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</si>
  <si>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</si>
  <si>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</si>
  <si>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</si>
  <si>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</si>
  <si>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</si>
  <si>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</si>
  <si>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</si>
  <si>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Perp (Projected)</t>
  </si>
  <si>
    <t>Net Sales</t>
  </si>
  <si>
    <t>Total Cost of Sales</t>
  </si>
  <si>
    <t>Total Operating Expenses</t>
  </si>
  <si>
    <t>Adjusted EBITDA</t>
  </si>
  <si>
    <t>Marketing Expense, G&amp;A</t>
  </si>
  <si>
    <t>Adjusted EBIT</t>
  </si>
  <si>
    <t>Less: Tax (EBIT * Tax Rate)</t>
  </si>
  <si>
    <t>Less: Capital Expenditures</t>
  </si>
  <si>
    <t>Depreciation, amortization and impairment</t>
  </si>
  <si>
    <t>Change in working capital and other (cashflow statement)</t>
  </si>
  <si>
    <t>Free cash flows to the firm (FCFF)</t>
  </si>
  <si>
    <t>Years to discount</t>
  </si>
  <si>
    <t>Cost of capital</t>
  </si>
  <si>
    <t>Discount factor</t>
  </si>
  <si>
    <t>PV Free Cash Flows to the Firm (FCFF)</t>
  </si>
  <si>
    <t>ZN - Cap Table</t>
  </si>
  <si>
    <t>Series i Investment</t>
  </si>
  <si>
    <t>Shares</t>
  </si>
  <si>
    <t>Investor</t>
  </si>
  <si>
    <t>Common (Pre-Investment)</t>
  </si>
  <si>
    <t>% Ownership (pre)</t>
  </si>
  <si>
    <t>Total Shares</t>
  </si>
  <si>
    <t>% Ownership (post)</t>
  </si>
  <si>
    <t>Founder 1</t>
  </si>
  <si>
    <t>Founder 2</t>
  </si>
  <si>
    <t>Founder 3</t>
  </si>
  <si>
    <t>Shareholder X</t>
  </si>
  <si>
    <t>Shareholder Y</t>
  </si>
  <si>
    <t>Shareholder Z</t>
  </si>
  <si>
    <t>Alibaba</t>
  </si>
  <si>
    <t>Total Value</t>
  </si>
  <si>
    <t>% Total</t>
  </si>
</sst>
</file>

<file path=xl/styles.xml><?xml version="1.0" encoding="utf-8"?>
<styleSheet xmlns="http://schemas.openxmlformats.org/spreadsheetml/2006/main" xmlns:xr9="http://schemas.microsoft.com/office/spreadsheetml/2016/revision9">
  <numFmts count="1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-* #,##0_-;\-* #,##0_-;_-* &quot;-&quot;??_-;_-@_-"/>
    <numFmt numFmtId="178" formatCode="#,##0;[Red]\(#,##0\)"/>
    <numFmt numFmtId="179" formatCode="_(* #,##0_);_(* \(#,##0\);_(* &quot;-&quot;??_);_(@_)"/>
    <numFmt numFmtId="180" formatCode="&quot;$&quot;0&quot;M&quot;"/>
    <numFmt numFmtId="181" formatCode="0.0%"/>
    <numFmt numFmtId="182" formatCode="0.00_);[Red]\(0.00\)"/>
    <numFmt numFmtId="183" formatCode="#,##0.0;\(#,##0.0\);\-"/>
    <numFmt numFmtId="184" formatCode="0.0%;\(0.0%\);\-\%"/>
    <numFmt numFmtId="185" formatCode="#,##0.00;\(#,##0.00\);\-"/>
    <numFmt numFmtId="186" formatCode="[$-409]d\-mmm\-yy;@"/>
    <numFmt numFmtId="187" formatCode="0.00_ "/>
    <numFmt numFmtId="188" formatCode="#,##0;\(#,##0\);\-"/>
    <numFmt numFmtId="189" formatCode="_(* #,##0.0_);_(* \(#,##0.0\);_(* &quot;-&quot;??_);_(@_)"/>
    <numFmt numFmtId="190" formatCode="_(* #,##0.0_);_(* \(#,##0.0\);_(* &quot;-&quot;?_);_(@_)"/>
  </numFmts>
  <fonts count="63">
    <font>
      <sz val="11"/>
      <color theme="1"/>
      <name val="宋体"/>
      <charset val="134"/>
      <scheme val="minor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Times New Roman"/>
      <charset val="134"/>
    </font>
    <font>
      <sz val="11"/>
      <name val="Arial"/>
      <charset val="134"/>
    </font>
    <font>
      <sz val="10"/>
      <color rgb="FF0000FF"/>
      <name val="Arial"/>
      <charset val="134"/>
    </font>
    <font>
      <sz val="11"/>
      <color theme="0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 Regular"/>
      <charset val="134"/>
    </font>
    <font>
      <b/>
      <sz val="10"/>
      <color theme="0"/>
      <name val="Arial Regular"/>
      <charset val="134"/>
    </font>
    <font>
      <sz val="10"/>
      <name val="Arial Regular"/>
      <charset val="134"/>
    </font>
    <font>
      <b/>
      <sz val="10"/>
      <color theme="4" tint="-0.499984740745262"/>
      <name val="Arial Regular"/>
      <charset val="134"/>
    </font>
    <font>
      <sz val="10"/>
      <color indexed="12"/>
      <name val="Arial Regular"/>
      <charset val="134"/>
    </font>
    <font>
      <i/>
      <sz val="10"/>
      <color theme="1"/>
      <name val="Arial Regular"/>
      <charset val="134"/>
    </font>
    <font>
      <sz val="10"/>
      <color theme="4" tint="-0.499984740745262"/>
      <name val="Arial Regular"/>
      <charset val="134"/>
    </font>
    <font>
      <sz val="10"/>
      <color rgb="FF0000FF"/>
      <name val="Arial Regular"/>
      <charset val="134"/>
    </font>
    <font>
      <b/>
      <sz val="10"/>
      <name val="Arial Regular"/>
      <charset val="134"/>
    </font>
    <font>
      <i/>
      <sz val="10"/>
      <name val="Arial Regular"/>
      <charset val="134"/>
    </font>
    <font>
      <sz val="10"/>
      <color theme="0"/>
      <name val="Arial Regular"/>
      <charset val="134"/>
    </font>
    <font>
      <sz val="10"/>
      <color rgb="FF1F4E78"/>
      <name val="Arial Regular"/>
      <charset val="134"/>
    </font>
    <font>
      <b/>
      <sz val="10"/>
      <color rgb="FF1F4E78"/>
      <name val="Arial Regular"/>
      <charset val="134"/>
    </font>
    <font>
      <sz val="10"/>
      <color indexed="8"/>
      <name val="Arial Regular"/>
      <charset val="134"/>
    </font>
    <font>
      <sz val="11"/>
      <color theme="1"/>
      <name val="Arial Regular"/>
      <charset val="134"/>
    </font>
    <font>
      <b/>
      <sz val="10"/>
      <color theme="1"/>
      <name val="Arial Regular"/>
      <charset val="134"/>
    </font>
    <font>
      <b/>
      <sz val="10"/>
      <color indexed="12"/>
      <name val="Arial Regular"/>
      <charset val="134"/>
    </font>
    <font>
      <b/>
      <sz val="10"/>
      <color rgb="FF0000FF"/>
      <name val="Arial Regular"/>
      <charset val="134"/>
    </font>
    <font>
      <sz val="10"/>
      <color rgb="FFFF0000"/>
      <name val="Arial Regular"/>
      <charset val="134"/>
    </font>
    <font>
      <i/>
      <sz val="10"/>
      <color theme="5" tint="-0.25"/>
      <name val="Arial Regular"/>
      <charset val="134"/>
    </font>
    <font>
      <sz val="10"/>
      <color theme="5" tint="-0.25"/>
      <name val="Arial Regular"/>
      <charset val="134"/>
    </font>
    <font>
      <b/>
      <i/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i/>
      <sz val="11"/>
      <color theme="1"/>
      <name val="Calibri"/>
      <charset val="134"/>
    </font>
    <font>
      <b/>
      <i/>
      <sz val="11"/>
      <color theme="1"/>
      <name val="Calibri"/>
      <charset val="134"/>
    </font>
    <font>
      <i/>
      <u/>
      <sz val="11"/>
      <color theme="1"/>
      <name val="Calibri"/>
      <charset val="134"/>
    </font>
    <font>
      <b/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name val="Frutiger 45 Light"/>
      <charset val="134"/>
    </font>
    <font>
      <b/>
      <sz val="7"/>
      <name val="Arial"/>
      <charset val="134"/>
    </font>
    <font>
      <sz val="10"/>
      <color indexed="12"/>
      <name val="Arial"/>
      <charset val="134"/>
    </font>
    <font>
      <sz val="8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lightUp">
        <bgColor theme="0" tint="-0.0499893185216834"/>
      </patternFill>
    </fill>
    <fill>
      <patternFill patternType="lightUp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1" tint="0.24994659260841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8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4" borderId="54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55" applyNumberFormat="0" applyFill="0" applyAlignment="0" applyProtection="0">
      <alignment vertical="center"/>
    </xf>
    <xf numFmtId="0" fontId="45" fillId="0" borderId="55" applyNumberFormat="0" applyFill="0" applyAlignment="0" applyProtection="0">
      <alignment vertical="center"/>
    </xf>
    <xf numFmtId="0" fontId="46" fillId="0" borderId="5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5" borderId="57" applyNumberFormat="0" applyAlignment="0" applyProtection="0">
      <alignment vertical="center"/>
    </xf>
    <xf numFmtId="0" fontId="48" fillId="16" borderId="58" applyNumberFormat="0" applyAlignment="0" applyProtection="0">
      <alignment vertical="center"/>
    </xf>
    <xf numFmtId="0" fontId="49" fillId="16" borderId="57" applyNumberFormat="0" applyAlignment="0" applyProtection="0">
      <alignment vertical="center"/>
    </xf>
    <xf numFmtId="0" fontId="50" fillId="17" borderId="59" applyNumberFormat="0" applyAlignment="0" applyProtection="0">
      <alignment vertical="center"/>
    </xf>
    <xf numFmtId="0" fontId="51" fillId="0" borderId="60" applyNumberFormat="0" applyFill="0" applyAlignment="0" applyProtection="0">
      <alignment vertical="center"/>
    </xf>
    <xf numFmtId="0" fontId="52" fillId="0" borderId="61" applyNumberFormat="0" applyFill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8" fillId="0" borderId="0"/>
    <xf numFmtId="176" fontId="58" fillId="0" borderId="0" applyFont="0" applyFill="0" applyBorder="0" applyAlignment="0" applyProtection="0"/>
    <xf numFmtId="0" fontId="59" fillId="0" borderId="0"/>
    <xf numFmtId="9" fontId="58" fillId="0" borderId="0" applyFont="0" applyFill="0" applyBorder="0" applyAlignment="0" applyProtection="0"/>
    <xf numFmtId="0" fontId="60" fillId="0" borderId="62" applyNumberFormat="0" applyFont="0" applyFill="0" applyAlignment="0" applyProtection="0">
      <alignment horizontal="centerContinuous"/>
    </xf>
    <xf numFmtId="0" fontId="58" fillId="0" borderId="0">
      <alignment vertical="top"/>
    </xf>
    <xf numFmtId="0" fontId="58" fillId="0" borderId="0"/>
    <xf numFmtId="177" fontId="61" fillId="0" borderId="0" applyNumberFormat="0" applyFont="0" applyBorder="0" applyAlignment="0" applyProtection="0"/>
    <xf numFmtId="178" fontId="62" fillId="0" borderId="0"/>
    <xf numFmtId="0" fontId="58" fillId="0" borderId="0"/>
  </cellStyleXfs>
  <cellXfs count="450">
    <xf numFmtId="0" fontId="0" fillId="0" borderId="0" xfId="0"/>
    <xf numFmtId="0" fontId="1" fillId="2" borderId="0" xfId="0" applyFont="1" applyFill="1" applyAlignment="1"/>
    <xf numFmtId="179" fontId="2" fillId="2" borderId="0" xfId="0" applyNumberFormat="1" applyFont="1" applyFill="1" applyAlignment="1"/>
    <xf numFmtId="0" fontId="3" fillId="0" borderId="1" xfId="0" applyFont="1" applyFill="1" applyBorder="1" applyAlignment="1"/>
    <xf numFmtId="180" fontId="3" fillId="0" borderId="1" xfId="0" applyNumberFormat="1" applyFont="1" applyFill="1" applyBorder="1" applyAlignment="1"/>
    <xf numFmtId="179" fontId="4" fillId="0" borderId="1" xfId="0" applyNumberFormat="1" applyFont="1" applyFill="1" applyBorder="1" applyAlignment="1"/>
    <xf numFmtId="0" fontId="3" fillId="0" borderId="0" xfId="0" applyFont="1" applyFill="1" applyAlignment="1"/>
    <xf numFmtId="180" fontId="5" fillId="0" borderId="0" xfId="0" applyNumberFormat="1" applyFont="1" applyFill="1" applyAlignment="1">
      <alignment horizontal="right"/>
    </xf>
    <xf numFmtId="179" fontId="4" fillId="0" borderId="0" xfId="0" applyNumberFormat="1" applyFont="1" applyFill="1" applyAlignment="1"/>
    <xf numFmtId="0" fontId="3" fillId="0" borderId="2" xfId="0" applyFont="1" applyFill="1" applyBorder="1" applyAlignment="1"/>
    <xf numFmtId="179" fontId="3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/>
    <xf numFmtId="0" fontId="3" fillId="0" borderId="4" xfId="0" applyFont="1" applyFill="1" applyBorder="1" applyAlignment="1"/>
    <xf numFmtId="179" fontId="3" fillId="0" borderId="4" xfId="0" applyNumberFormat="1" applyFont="1" applyFill="1" applyBorder="1" applyAlignment="1"/>
    <xf numFmtId="179" fontId="3" fillId="0" borderId="5" xfId="0" applyNumberFormat="1" applyFont="1" applyFill="1" applyBorder="1" applyAlignment="1"/>
    <xf numFmtId="0" fontId="4" fillId="0" borderId="0" xfId="0" applyFont="1" applyFill="1" applyAlignment="1">
      <alignment horizontal="left"/>
    </xf>
    <xf numFmtId="179" fontId="7" fillId="0" borderId="0" xfId="0" applyNumberFormat="1" applyFont="1" applyFill="1" applyAlignment="1"/>
    <xf numFmtId="10" fontId="7" fillId="0" borderId="0" xfId="3" applyNumberFormat="1" applyFont="1" applyFill="1" applyAlignment="1"/>
    <xf numFmtId="179" fontId="7" fillId="0" borderId="0" xfId="0" applyNumberFormat="1" applyFont="1" applyFill="1" applyAlignment="1">
      <alignment horizontal="center"/>
    </xf>
    <xf numFmtId="0" fontId="3" fillId="0" borderId="6" xfId="0" applyFont="1" applyFill="1" applyBorder="1" applyAlignment="1"/>
    <xf numFmtId="179" fontId="3" fillId="0" borderId="7" xfId="0" applyNumberFormat="1" applyFont="1" applyFill="1" applyBorder="1" applyAlignment="1"/>
    <xf numFmtId="9" fontId="3" fillId="0" borderId="7" xfId="3" applyFont="1" applyFill="1" applyBorder="1" applyAlignment="1"/>
    <xf numFmtId="0" fontId="4" fillId="0" borderId="0" xfId="0" applyFont="1" applyFill="1" applyAlignment="1"/>
    <xf numFmtId="181" fontId="4" fillId="0" borderId="0" xfId="0" applyNumberFormat="1" applyFont="1" applyFill="1" applyAlignment="1"/>
    <xf numFmtId="0" fontId="8" fillId="2" borderId="0" xfId="0" applyFont="1" applyFill="1" applyAlignment="1"/>
    <xf numFmtId="179" fontId="3" fillId="0" borderId="1" xfId="0" applyNumberFormat="1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179" fontId="3" fillId="0" borderId="0" xfId="0" applyNumberFormat="1" applyFont="1" applyFill="1" applyAlignment="1"/>
    <xf numFmtId="0" fontId="9" fillId="0" borderId="0" xfId="0" applyFont="1" applyFill="1" applyAlignment="1"/>
    <xf numFmtId="0" fontId="6" fillId="0" borderId="9" xfId="0" applyFont="1" applyFill="1" applyBorder="1" applyAlignment="1"/>
    <xf numFmtId="179" fontId="3" fillId="0" borderId="10" xfId="0" applyNumberFormat="1" applyFont="1" applyFill="1" applyBorder="1" applyAlignment="1">
      <alignment horizontal="center"/>
    </xf>
    <xf numFmtId="179" fontId="3" fillId="0" borderId="11" xfId="0" applyNumberFormat="1" applyFont="1" applyFill="1" applyBorder="1" applyAlignment="1"/>
    <xf numFmtId="179" fontId="3" fillId="0" borderId="12" xfId="0" applyNumberFormat="1" applyFont="1" applyFill="1" applyBorder="1" applyAlignment="1"/>
    <xf numFmtId="10" fontId="10" fillId="0" borderId="0" xfId="0" applyNumberFormat="1" applyFont="1" applyFill="1" applyAlignment="1"/>
    <xf numFmtId="179" fontId="4" fillId="0" borderId="0" xfId="0" applyNumberFormat="1" applyFont="1" applyFill="1" applyAlignment="1">
      <alignment horizontal="center"/>
    </xf>
    <xf numFmtId="9" fontId="3" fillId="0" borderId="7" xfId="0" applyNumberFormat="1" applyFont="1" applyFill="1" applyBorder="1" applyAlignment="1"/>
    <xf numFmtId="10" fontId="4" fillId="0" borderId="0" xfId="0" applyNumberFormat="1" applyFont="1" applyFill="1" applyAlignment="1"/>
    <xf numFmtId="0" fontId="11" fillId="0" borderId="0" xfId="0" applyFont="1"/>
    <xf numFmtId="0" fontId="12" fillId="2" borderId="13" xfId="55" applyFont="1" applyFill="1" applyBorder="1"/>
    <xf numFmtId="0" fontId="13" fillId="2" borderId="0" xfId="54" applyFont="1" applyFill="1">
      <alignment vertical="top"/>
    </xf>
    <xf numFmtId="0" fontId="14" fillId="2" borderId="0" xfId="0" applyFont="1" applyFill="1" applyBorder="1" applyAlignment="1"/>
    <xf numFmtId="0" fontId="13" fillId="0" borderId="0" xfId="54" applyFont="1" applyFill="1">
      <alignment vertical="top"/>
    </xf>
    <xf numFmtId="10" fontId="15" fillId="0" borderId="0" xfId="3" applyNumberFormat="1" applyFont="1" applyFill="1" applyBorder="1" applyAlignment="1">
      <alignment horizontal="right" vertical="center"/>
    </xf>
    <xf numFmtId="0" fontId="16" fillId="0" borderId="0" xfId="0" applyFont="1"/>
    <xf numFmtId="0" fontId="17" fillId="0" borderId="0" xfId="0" applyFont="1" applyFill="1" applyBorder="1" applyAlignment="1"/>
    <xf numFmtId="10" fontId="18" fillId="0" borderId="0" xfId="3" applyNumberFormat="1" applyFont="1" applyFill="1" applyBorder="1" applyAlignment="1" applyProtection="1">
      <alignment horizontal="right"/>
    </xf>
    <xf numFmtId="0" fontId="13" fillId="0" borderId="14" xfId="54" applyFont="1" applyFill="1" applyBorder="1">
      <alignment vertical="top"/>
    </xf>
    <xf numFmtId="182" fontId="15" fillId="0" borderId="14" xfId="3" applyNumberFormat="1" applyFont="1" applyFill="1" applyBorder="1" applyAlignment="1">
      <alignment horizontal="right" vertical="center"/>
    </xf>
    <xf numFmtId="0" fontId="19" fillId="0" borderId="0" xfId="54" applyFont="1">
      <alignment vertical="top"/>
    </xf>
    <xf numFmtId="10" fontId="19" fillId="3" borderId="0" xfId="52" applyNumberFormat="1" applyFont="1" applyFill="1" applyBorder="1" applyAlignment="1">
      <alignment horizontal="right" vertical="center"/>
    </xf>
    <xf numFmtId="0" fontId="20" fillId="0" borderId="0" xfId="54" applyFont="1">
      <alignment vertical="top"/>
    </xf>
    <xf numFmtId="0" fontId="13" fillId="4" borderId="14" xfId="54" applyFont="1" applyFill="1" applyBorder="1">
      <alignment vertical="top"/>
    </xf>
    <xf numFmtId="181" fontId="18" fillId="0" borderId="14" xfId="56" applyNumberFormat="1" applyFont="1" applyFill="1" applyBorder="1" applyAlignment="1">
      <alignment horizontal="right" vertical="center"/>
    </xf>
    <xf numFmtId="181" fontId="19" fillId="3" borderId="0" xfId="49" applyNumberFormat="1" applyFont="1" applyFill="1" applyBorder="1" applyAlignment="1">
      <alignment horizontal="right"/>
    </xf>
    <xf numFmtId="181" fontId="11" fillId="0" borderId="14" xfId="56" applyNumberFormat="1" applyFont="1" applyFill="1" applyBorder="1" applyAlignment="1">
      <alignment horizontal="right" vertical="center"/>
    </xf>
    <xf numFmtId="0" fontId="19" fillId="0" borderId="0" xfId="54" applyFont="1" applyBorder="1">
      <alignment vertical="top"/>
    </xf>
    <xf numFmtId="10" fontId="19" fillId="3" borderId="0" xfId="49" applyNumberFormat="1" applyFont="1" applyFill="1" applyBorder="1" applyAlignment="1">
      <alignment horizontal="right"/>
    </xf>
    <xf numFmtId="0" fontId="12" fillId="5" borderId="0" xfId="49" applyFont="1" applyFill="1"/>
    <xf numFmtId="0" fontId="13" fillId="5" borderId="0" xfId="49" applyFont="1" applyFill="1"/>
    <xf numFmtId="0" fontId="13" fillId="0" borderId="0" xfId="49" applyFont="1"/>
    <xf numFmtId="181" fontId="15" fillId="0" borderId="0" xfId="49" applyNumberFormat="1" applyFont="1" applyAlignment="1">
      <alignment horizontal="right"/>
    </xf>
    <xf numFmtId="0" fontId="13" fillId="0" borderId="0" xfId="54" applyFont="1">
      <alignment vertical="top"/>
    </xf>
    <xf numFmtId="0" fontId="19" fillId="0" borderId="8" xfId="49" applyFont="1" applyBorder="1"/>
    <xf numFmtId="0" fontId="13" fillId="0" borderId="8" xfId="49" applyFont="1" applyBorder="1"/>
    <xf numFmtId="0" fontId="19" fillId="0" borderId="0" xfId="49" applyFont="1"/>
    <xf numFmtId="0" fontId="19" fillId="0" borderId="15" xfId="49" applyFont="1" applyBorder="1"/>
    <xf numFmtId="0" fontId="13" fillId="0" borderId="15" xfId="49" applyFont="1" applyBorder="1"/>
    <xf numFmtId="183" fontId="13" fillId="0" borderId="0" xfId="51" applyNumberFormat="1" applyFont="1"/>
    <xf numFmtId="183" fontId="19" fillId="0" borderId="15" xfId="51" applyNumberFormat="1" applyFont="1" applyBorder="1"/>
    <xf numFmtId="0" fontId="20" fillId="0" borderId="0" xfId="49" applyFont="1" applyAlignment="1">
      <alignment horizontal="left" indent="1"/>
    </xf>
    <xf numFmtId="183" fontId="13" fillId="0" borderId="15" xfId="51" applyNumberFormat="1" applyFont="1" applyBorder="1"/>
    <xf numFmtId="0" fontId="12" fillId="2" borderId="0" xfId="55" applyFont="1" applyFill="1" applyBorder="1"/>
    <xf numFmtId="0" fontId="21" fillId="2" borderId="0" xfId="49" applyFont="1" applyFill="1" applyBorder="1"/>
    <xf numFmtId="0" fontId="22" fillId="0" borderId="0" xfId="0" applyFont="1" applyFill="1" applyBorder="1" applyAlignment="1">
      <alignment horizontal="left" vertical="center"/>
    </xf>
    <xf numFmtId="182" fontId="15" fillId="0" borderId="0" xfId="3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84" fontId="24" fillId="0" borderId="0" xfId="3" applyNumberFormat="1" applyFont="1" applyFill="1" applyAlignment="1">
      <alignment horizontal="right"/>
    </xf>
    <xf numFmtId="0" fontId="13" fillId="0" borderId="8" xfId="49" applyFont="1" applyBorder="1" applyAlignment="1">
      <alignment horizontal="right"/>
    </xf>
    <xf numFmtId="185" fontId="19" fillId="0" borderId="0" xfId="49" applyNumberFormat="1" applyFont="1" applyFill="1"/>
    <xf numFmtId="185" fontId="13" fillId="0" borderId="0" xfId="49" applyNumberFormat="1" applyFont="1" applyFill="1"/>
    <xf numFmtId="185" fontId="13" fillId="6" borderId="15" xfId="49" applyNumberFormat="1" applyFont="1" applyFill="1" applyBorder="1"/>
    <xf numFmtId="185" fontId="13" fillId="6" borderId="0" xfId="49" applyNumberFormat="1" applyFont="1" applyFill="1"/>
    <xf numFmtId="185" fontId="19" fillId="6" borderId="15" xfId="49" applyNumberFormat="1" applyFont="1" applyFill="1" applyBorder="1"/>
    <xf numFmtId="185" fontId="13" fillId="7" borderId="0" xfId="49" applyNumberFormat="1" applyFont="1" applyFill="1"/>
    <xf numFmtId="185" fontId="13" fillId="7" borderId="15" xfId="49" applyNumberFormat="1" applyFont="1" applyFill="1" applyBorder="1"/>
    <xf numFmtId="0" fontId="21" fillId="0" borderId="0" xfId="49" applyFont="1" applyFill="1" applyBorder="1"/>
    <xf numFmtId="0" fontId="25" fillId="2" borderId="0" xfId="0" applyFont="1" applyFill="1"/>
    <xf numFmtId="0" fontId="11" fillId="0" borderId="0" xfId="0" applyFont="1" applyFill="1" applyAlignment="1">
      <alignment horizontal="left" vertical="center"/>
    </xf>
    <xf numFmtId="182" fontId="13" fillId="3" borderId="0" xfId="3" applyNumberFormat="1" applyFont="1" applyFill="1" applyBorder="1" applyAlignment="1">
      <alignment horizontal="left" vertical="center"/>
    </xf>
    <xf numFmtId="182" fontId="13" fillId="0" borderId="0" xfId="3" applyNumberFormat="1" applyFont="1" applyFill="1" applyBorder="1" applyAlignment="1">
      <alignment horizontal="left" vertical="center"/>
    </xf>
    <xf numFmtId="182" fontId="18" fillId="8" borderId="0" xfId="3" applyNumberFormat="1" applyFont="1" applyFill="1" applyBorder="1" applyAlignment="1">
      <alignment horizontal="left" vertical="center"/>
    </xf>
    <xf numFmtId="182" fontId="18" fillId="0" borderId="0" xfId="3" applyNumberFormat="1" applyFont="1" applyFill="1" applyBorder="1" applyAlignment="1">
      <alignment horizontal="left" vertical="center"/>
    </xf>
    <xf numFmtId="182" fontId="15" fillId="8" borderId="0" xfId="3" applyNumberFormat="1" applyFont="1" applyFill="1" applyBorder="1" applyAlignment="1">
      <alignment horizontal="left" vertical="center"/>
    </xf>
    <xf numFmtId="182" fontId="15" fillId="0" borderId="0" xfId="3" applyNumberFormat="1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182" fontId="19" fillId="3" borderId="0" xfId="3" applyNumberFormat="1" applyFont="1" applyFill="1" applyBorder="1" applyAlignment="1">
      <alignment horizontal="left" vertical="center"/>
    </xf>
    <xf numFmtId="182" fontId="19" fillId="0" borderId="0" xfId="3" applyNumberFormat="1" applyFont="1" applyFill="1" applyBorder="1" applyAlignment="1">
      <alignment horizontal="left" vertical="center"/>
    </xf>
    <xf numFmtId="182" fontId="11" fillId="3" borderId="0" xfId="3" applyNumberFormat="1" applyFont="1" applyFill="1" applyBorder="1" applyAlignment="1">
      <alignment horizontal="left" vertical="center"/>
    </xf>
    <xf numFmtId="182" fontId="11" fillId="0" borderId="0" xfId="3" applyNumberFormat="1" applyFont="1" applyFill="1" applyBorder="1" applyAlignment="1">
      <alignment horizontal="left" vertical="center"/>
    </xf>
    <xf numFmtId="0" fontId="26" fillId="0" borderId="14" xfId="0" applyFont="1" applyFill="1" applyBorder="1" applyAlignment="1">
      <alignment horizontal="left" vertical="center"/>
    </xf>
    <xf numFmtId="182" fontId="27" fillId="8" borderId="0" xfId="3" applyNumberFormat="1" applyFont="1" applyFill="1" applyBorder="1" applyAlignment="1">
      <alignment horizontal="left" vertical="center"/>
    </xf>
    <xf numFmtId="182" fontId="27" fillId="0" borderId="0" xfId="3" applyNumberFormat="1" applyFont="1" applyFill="1" applyBorder="1" applyAlignment="1">
      <alignment horizontal="left" vertical="center"/>
    </xf>
    <xf numFmtId="0" fontId="0" fillId="0" borderId="0" xfId="0" applyFill="1"/>
    <xf numFmtId="0" fontId="13" fillId="2" borderId="0" xfId="49" applyFont="1" applyFill="1"/>
    <xf numFmtId="186" fontId="19" fillId="0" borderId="14" xfId="49" applyNumberFormat="1" applyFont="1" applyBorder="1" applyAlignment="1">
      <alignment horizontal="center"/>
    </xf>
    <xf numFmtId="185" fontId="19" fillId="0" borderId="15" xfId="49" applyNumberFormat="1" applyFont="1" applyFill="1" applyBorder="1"/>
    <xf numFmtId="182" fontId="13" fillId="0" borderId="0" xfId="49" applyNumberFormat="1" applyFont="1" applyFill="1"/>
    <xf numFmtId="10" fontId="13" fillId="0" borderId="0" xfId="3" applyNumberFormat="1" applyFont="1" applyFill="1" applyBorder="1" applyAlignment="1" applyProtection="1"/>
    <xf numFmtId="185" fontId="13" fillId="0" borderId="14" xfId="49" applyNumberFormat="1" applyFont="1" applyFill="1" applyBorder="1"/>
    <xf numFmtId="185" fontId="19" fillId="0" borderId="0" xfId="49" applyNumberFormat="1" applyFont="1" applyFill="1" applyBorder="1"/>
    <xf numFmtId="0" fontId="25" fillId="0" borderId="0" xfId="0" applyFont="1"/>
    <xf numFmtId="185" fontId="28" fillId="8" borderId="0" xfId="49" applyNumberFormat="1" applyFont="1" applyFill="1"/>
    <xf numFmtId="185" fontId="28" fillId="8" borderId="15" xfId="49" applyNumberFormat="1" applyFont="1" applyFill="1" applyBorder="1"/>
    <xf numFmtId="182" fontId="13" fillId="3" borderId="0" xfId="49" applyNumberFormat="1" applyFont="1" applyFill="1"/>
    <xf numFmtId="185" fontId="19" fillId="3" borderId="15" xfId="49" applyNumberFormat="1" applyFont="1" applyFill="1" applyBorder="1"/>
    <xf numFmtId="185" fontId="19" fillId="3" borderId="0" xfId="49" applyNumberFormat="1" applyFont="1" applyFill="1" applyBorder="1"/>
    <xf numFmtId="0" fontId="13" fillId="0" borderId="0" xfId="49" applyFont="1" applyAlignment="1">
      <alignment horizontal="left"/>
    </xf>
    <xf numFmtId="0" fontId="13" fillId="0" borderId="0" xfId="49" applyFont="1" applyAlignment="1">
      <alignment horizontal="center"/>
    </xf>
    <xf numFmtId="0" fontId="19" fillId="0" borderId="8" xfId="49" applyFont="1" applyBorder="1" applyAlignment="1">
      <alignment horizontal="left"/>
    </xf>
    <xf numFmtId="0" fontId="19" fillId="0" borderId="0" xfId="49" applyFont="1" applyFill="1" applyAlignment="1">
      <alignment horizontal="left"/>
    </xf>
    <xf numFmtId="0" fontId="13" fillId="0" borderId="0" xfId="49" applyFont="1" applyBorder="1"/>
    <xf numFmtId="0" fontId="19" fillId="0" borderId="0" xfId="49" applyFont="1" applyBorder="1"/>
    <xf numFmtId="187" fontId="26" fillId="0" borderId="0" xfId="3" applyNumberFormat="1" applyFont="1" applyFill="1" applyBorder="1" applyAlignment="1" applyProtection="1"/>
    <xf numFmtId="0" fontId="20" fillId="0" borderId="0" xfId="51" applyFont="1" applyFill="1"/>
    <xf numFmtId="187" fontId="11" fillId="0" borderId="0" xfId="3" applyNumberFormat="1" applyFont="1" applyFill="1" applyBorder="1" applyAlignment="1" applyProtection="1"/>
    <xf numFmtId="0" fontId="20" fillId="0" borderId="14" xfId="51" applyFont="1" applyFill="1" applyBorder="1"/>
    <xf numFmtId="0" fontId="13" fillId="0" borderId="14" xfId="49" applyFont="1" applyBorder="1"/>
    <xf numFmtId="187" fontId="11" fillId="0" borderId="14" xfId="3" applyNumberFormat="1" applyFont="1" applyFill="1" applyBorder="1" applyAlignment="1" applyProtection="1"/>
    <xf numFmtId="0" fontId="19" fillId="0" borderId="0" xfId="51" applyFont="1" applyFill="1"/>
    <xf numFmtId="0" fontId="13" fillId="0" borderId="0" xfId="51" applyFont="1" applyFill="1" applyBorder="1"/>
    <xf numFmtId="0" fontId="13" fillId="0" borderId="0" xfId="49" applyFont="1" applyFill="1" applyBorder="1"/>
    <xf numFmtId="187" fontId="11" fillId="0" borderId="0" xfId="49" applyNumberFormat="1" applyFont="1" applyFill="1" applyBorder="1"/>
    <xf numFmtId="187" fontId="19" fillId="0" borderId="0" xfId="49" applyNumberFormat="1" applyFont="1"/>
    <xf numFmtId="0" fontId="20" fillId="0" borderId="0" xfId="49" applyFont="1" applyFill="1" applyAlignment="1">
      <alignment horizontal="left"/>
    </xf>
    <xf numFmtId="187" fontId="11" fillId="0" borderId="0" xfId="3" applyNumberFormat="1" applyFont="1" applyFill="1" applyAlignment="1" applyProtection="1"/>
    <xf numFmtId="0" fontId="20" fillId="0" borderId="14" xfId="49" applyFont="1" applyFill="1" applyBorder="1" applyAlignment="1">
      <alignment horizontal="left"/>
    </xf>
    <xf numFmtId="187" fontId="11" fillId="0" borderId="14" xfId="49" applyNumberFormat="1" applyFont="1" applyBorder="1"/>
    <xf numFmtId="187" fontId="26" fillId="0" borderId="0" xfId="49" applyNumberFormat="1" applyFont="1" applyBorder="1"/>
    <xf numFmtId="187" fontId="11" fillId="0" borderId="0" xfId="49" applyNumberFormat="1" applyFont="1" applyBorder="1"/>
    <xf numFmtId="0" fontId="11" fillId="0" borderId="0" xfId="0" applyFont="1" applyBorder="1"/>
    <xf numFmtId="187" fontId="26" fillId="0" borderId="0" xfId="0" applyNumberFormat="1" applyFont="1" applyBorder="1"/>
    <xf numFmtId="0" fontId="11" fillId="0" borderId="14" xfId="0" applyFont="1" applyBorder="1"/>
    <xf numFmtId="187" fontId="11" fillId="0" borderId="14" xfId="0" applyNumberFormat="1" applyFont="1" applyBorder="1"/>
    <xf numFmtId="187" fontId="19" fillId="0" borderId="0" xfId="49" applyNumberFormat="1" applyFont="1" applyFill="1" applyAlignment="1">
      <alignment horizontal="left"/>
    </xf>
    <xf numFmtId="187" fontId="13" fillId="0" borderId="0" xfId="49" applyNumberFormat="1" applyFont="1" applyBorder="1"/>
    <xf numFmtId="187" fontId="13" fillId="0" borderId="0" xfId="49" applyNumberFormat="1" applyFont="1"/>
    <xf numFmtId="187" fontId="19" fillId="0" borderId="0" xfId="49" applyNumberFormat="1" applyFont="1" applyAlignment="1">
      <alignment horizontal="right"/>
    </xf>
    <xf numFmtId="187" fontId="20" fillId="0" borderId="14" xfId="49" applyNumberFormat="1" applyFont="1" applyFill="1" applyBorder="1" applyAlignment="1">
      <alignment horizontal="left"/>
    </xf>
    <xf numFmtId="187" fontId="13" fillId="0" borderId="14" xfId="49" applyNumberFormat="1" applyFont="1" applyBorder="1"/>
    <xf numFmtId="187" fontId="11" fillId="3" borderId="14" xfId="3" applyNumberFormat="1" applyFont="1" applyFill="1" applyBorder="1" applyAlignment="1" applyProtection="1"/>
    <xf numFmtId="187" fontId="26" fillId="0" borderId="0" xfId="0" applyNumberFormat="1" applyFont="1"/>
    <xf numFmtId="187" fontId="11" fillId="0" borderId="0" xfId="0" applyNumberFormat="1" applyFont="1"/>
    <xf numFmtId="0" fontId="16" fillId="0" borderId="14" xfId="0" applyFont="1" applyBorder="1"/>
    <xf numFmtId="0" fontId="26" fillId="0" borderId="0" xfId="0" applyFont="1"/>
    <xf numFmtId="184" fontId="24" fillId="0" borderId="0" xfId="3" applyNumberFormat="1" applyFont="1" applyFill="1" applyAlignment="1">
      <alignment horizontal="center"/>
    </xf>
    <xf numFmtId="9" fontId="29" fillId="0" borderId="0" xfId="3" applyFont="1"/>
    <xf numFmtId="187" fontId="26" fillId="9" borderId="0" xfId="3" applyNumberFormat="1" applyFont="1" applyFill="1" applyBorder="1" applyAlignment="1" applyProtection="1"/>
    <xf numFmtId="187" fontId="11" fillId="9" borderId="0" xfId="3" applyNumberFormat="1" applyFont="1" applyFill="1" applyBorder="1" applyAlignment="1" applyProtection="1"/>
    <xf numFmtId="187" fontId="11" fillId="9" borderId="14" xfId="3" applyNumberFormat="1" applyFont="1" applyFill="1" applyBorder="1" applyAlignment="1" applyProtection="1"/>
    <xf numFmtId="187" fontId="19" fillId="9" borderId="0" xfId="49" applyNumberFormat="1" applyFont="1" applyFill="1"/>
    <xf numFmtId="187" fontId="11" fillId="9" borderId="0" xfId="3" applyNumberFormat="1" applyFont="1" applyFill="1" applyAlignment="1" applyProtection="1"/>
    <xf numFmtId="187" fontId="11" fillId="9" borderId="14" xfId="49" applyNumberFormat="1" applyFont="1" applyFill="1" applyBorder="1"/>
    <xf numFmtId="187" fontId="26" fillId="9" borderId="0" xfId="49" applyNumberFormat="1" applyFont="1" applyFill="1" applyBorder="1"/>
    <xf numFmtId="187" fontId="11" fillId="9" borderId="0" xfId="49" applyNumberFormat="1" applyFont="1" applyFill="1" applyBorder="1"/>
    <xf numFmtId="187" fontId="26" fillId="9" borderId="0" xfId="0" applyNumberFormat="1" applyFont="1" applyFill="1" applyBorder="1"/>
    <xf numFmtId="187" fontId="11" fillId="9" borderId="14" xfId="0" applyNumberFormat="1" applyFont="1" applyFill="1" applyBorder="1"/>
    <xf numFmtId="187" fontId="26" fillId="0" borderId="0" xfId="0" applyNumberFormat="1" applyFont="1" applyFill="1" applyBorder="1"/>
    <xf numFmtId="0" fontId="11" fillId="0" borderId="0" xfId="0" applyFont="1" applyFill="1" applyBorder="1"/>
    <xf numFmtId="0" fontId="13" fillId="0" borderId="8" xfId="49" applyFont="1" applyFill="1" applyBorder="1"/>
    <xf numFmtId="187" fontId="19" fillId="0" borderId="0" xfId="49" applyNumberFormat="1" applyFont="1" applyFill="1"/>
    <xf numFmtId="187" fontId="26" fillId="0" borderId="0" xfId="0" applyNumberFormat="1" applyFont="1" applyFill="1"/>
    <xf numFmtId="187" fontId="11" fillId="3" borderId="0" xfId="0" applyNumberFormat="1" applyFont="1" applyFill="1"/>
    <xf numFmtId="0" fontId="11" fillId="3" borderId="14" xfId="0" applyFont="1" applyFill="1" applyBorder="1"/>
    <xf numFmtId="187" fontId="11" fillId="3" borderId="14" xfId="0" applyNumberFormat="1" applyFont="1" applyFill="1" applyBorder="1"/>
    <xf numFmtId="182" fontId="13" fillId="0" borderId="0" xfId="49" applyNumberFormat="1" applyFont="1"/>
    <xf numFmtId="0" fontId="25" fillId="0" borderId="0" xfId="0" applyFont="1" applyFill="1" applyBorder="1"/>
    <xf numFmtId="0" fontId="25" fillId="0" borderId="0" xfId="0" applyFont="1" applyBorder="1"/>
    <xf numFmtId="0" fontId="0" fillId="0" borderId="0" xfId="0" applyBorder="1"/>
    <xf numFmtId="0" fontId="13" fillId="0" borderId="0" xfId="49" applyFont="1" applyAlignment="1">
      <alignment horizontal="left" indent="1"/>
    </xf>
    <xf numFmtId="0" fontId="13" fillId="0" borderId="15" xfId="49" applyFont="1" applyBorder="1" applyAlignment="1">
      <alignment horizontal="left" indent="1"/>
    </xf>
    <xf numFmtId="182" fontId="11" fillId="0" borderId="15" xfId="49" applyNumberFormat="1" applyFont="1" applyFill="1" applyBorder="1"/>
    <xf numFmtId="0" fontId="20" fillId="0" borderId="14" xfId="49" applyFont="1" applyBorder="1" applyAlignment="1">
      <alignment horizontal="left" indent="1"/>
    </xf>
    <xf numFmtId="0" fontId="20" fillId="0" borderId="14" xfId="49" applyFont="1" applyBorder="1"/>
    <xf numFmtId="10" fontId="18" fillId="8" borderId="14" xfId="3" applyNumberFormat="1" applyFont="1" applyFill="1" applyBorder="1" applyAlignment="1" applyProtection="1"/>
    <xf numFmtId="0" fontId="19" fillId="0" borderId="0" xfId="49" applyFont="1" applyAlignment="1">
      <alignment horizontal="left" indent="1"/>
    </xf>
    <xf numFmtId="185" fontId="13" fillId="3" borderId="0" xfId="49" applyNumberFormat="1" applyFont="1" applyFill="1"/>
    <xf numFmtId="188" fontId="13" fillId="0" borderId="0" xfId="49" applyNumberFormat="1" applyFont="1" applyFill="1"/>
    <xf numFmtId="10" fontId="18" fillId="8" borderId="0" xfId="3" applyNumberFormat="1" applyFont="1" applyFill="1" applyBorder="1" applyAlignment="1" applyProtection="1"/>
    <xf numFmtId="0" fontId="13" fillId="0" borderId="0" xfId="49" applyFont="1" applyBorder="1" applyAlignment="1">
      <alignment horizontal="left" indent="1"/>
    </xf>
    <xf numFmtId="10" fontId="18" fillId="8" borderId="14" xfId="49" applyNumberFormat="1" applyFont="1" applyFill="1" applyBorder="1"/>
    <xf numFmtId="10" fontId="13" fillId="0" borderId="14" xfId="3" applyNumberFormat="1" applyFont="1" applyFill="1" applyBorder="1" applyAlignment="1" applyProtection="1"/>
    <xf numFmtId="0" fontId="19" fillId="0" borderId="0" xfId="49" applyFont="1" applyAlignment="1">
      <alignment horizontal="left"/>
    </xf>
    <xf numFmtId="0" fontId="13" fillId="0" borderId="0" xfId="49" applyFont="1" applyFill="1" applyAlignment="1">
      <alignment horizontal="left"/>
    </xf>
    <xf numFmtId="0" fontId="13" fillId="0" borderId="0" xfId="51" applyFont="1" applyFill="1"/>
    <xf numFmtId="187" fontId="11" fillId="3" borderId="0" xfId="49" applyNumberFormat="1" applyFont="1" applyFill="1"/>
    <xf numFmtId="182" fontId="11" fillId="0" borderId="0" xfId="49" applyNumberFormat="1" applyFont="1"/>
    <xf numFmtId="182" fontId="11" fillId="3" borderId="0" xfId="49" applyNumberFormat="1" applyFont="1" applyFill="1"/>
    <xf numFmtId="0" fontId="13" fillId="0" borderId="15" xfId="51" applyFont="1" applyFill="1" applyBorder="1"/>
    <xf numFmtId="187" fontId="11" fillId="0" borderId="15" xfId="49" applyNumberFormat="1" applyFont="1" applyBorder="1"/>
    <xf numFmtId="187" fontId="11" fillId="0" borderId="0" xfId="49" applyNumberFormat="1" applyFont="1"/>
    <xf numFmtId="0" fontId="13" fillId="0" borderId="15" xfId="49" applyFont="1" applyFill="1" applyBorder="1" applyAlignment="1">
      <alignment horizontal="left" indent="1"/>
    </xf>
    <xf numFmtId="187" fontId="11" fillId="0" borderId="15" xfId="51" applyNumberFormat="1" applyFont="1" applyBorder="1"/>
    <xf numFmtId="0" fontId="19" fillId="0" borderId="0" xfId="49" applyFont="1" applyFill="1" applyAlignment="1">
      <alignment horizontal="left" indent="1"/>
    </xf>
    <xf numFmtId="10" fontId="11" fillId="0" borderId="0" xfId="3" applyNumberFormat="1" applyFont="1" applyFill="1" applyBorder="1" applyAlignment="1" applyProtection="1"/>
    <xf numFmtId="187" fontId="11" fillId="0" borderId="0" xfId="3" applyNumberFormat="1" applyFont="1"/>
    <xf numFmtId="182" fontId="11" fillId="0" borderId="0" xfId="49" applyNumberFormat="1" applyFont="1" applyFill="1"/>
    <xf numFmtId="187" fontId="11" fillId="0" borderId="15" xfId="49" applyNumberFormat="1" applyFont="1" applyFill="1" applyBorder="1"/>
    <xf numFmtId="187" fontId="11" fillId="0" borderId="0" xfId="49" applyNumberFormat="1" applyFont="1" applyFill="1"/>
    <xf numFmtId="187" fontId="11" fillId="0" borderId="15" xfId="51" applyNumberFormat="1" applyFont="1" applyFill="1" applyBorder="1"/>
    <xf numFmtId="0" fontId="30" fillId="8" borderId="14" xfId="49" applyFont="1" applyFill="1" applyBorder="1" applyAlignment="1">
      <alignment horizontal="left"/>
    </xf>
    <xf numFmtId="0" fontId="31" fillId="8" borderId="14" xfId="49" applyFont="1" applyFill="1" applyBorder="1"/>
    <xf numFmtId="0" fontId="31" fillId="8" borderId="14" xfId="0" applyFont="1" applyFill="1" applyBorder="1"/>
    <xf numFmtId="187" fontId="31" fillId="8" borderId="14" xfId="0" applyNumberFormat="1" applyFont="1" applyFill="1" applyBorder="1"/>
    <xf numFmtId="187" fontId="11" fillId="0" borderId="0" xfId="0" applyNumberFormat="1" applyFont="1" applyBorder="1"/>
    <xf numFmtId="187" fontId="11" fillId="0" borderId="14" xfId="49" applyNumberFormat="1" applyFont="1" applyFill="1" applyBorder="1"/>
    <xf numFmtId="187" fontId="26" fillId="0" borderId="0" xfId="49" applyNumberFormat="1" applyFont="1" applyFill="1" applyBorder="1"/>
    <xf numFmtId="187" fontId="11" fillId="0" borderId="0" xfId="0" applyNumberFormat="1" applyFont="1" applyFill="1" applyBorder="1"/>
    <xf numFmtId="187" fontId="11" fillId="0" borderId="14" xfId="0" applyNumberFormat="1" applyFont="1" applyFill="1" applyBorder="1"/>
    <xf numFmtId="0" fontId="10" fillId="0" borderId="0" xfId="0" applyFont="1" applyFill="1"/>
    <xf numFmtId="0" fontId="32" fillId="0" borderId="0" xfId="0" applyFont="1" applyFill="1"/>
    <xf numFmtId="0" fontId="33" fillId="10" borderId="16" xfId="0" applyFont="1" applyFill="1" applyBorder="1" applyAlignment="1">
      <alignment horizontal="center" vertical="center"/>
    </xf>
    <xf numFmtId="0" fontId="33" fillId="10" borderId="17" xfId="0" applyFont="1" applyFill="1" applyBorder="1" applyAlignment="1">
      <alignment horizontal="center" vertical="center"/>
    </xf>
    <xf numFmtId="0" fontId="10" fillId="0" borderId="18" xfId="0" applyFont="1" applyFill="1" applyBorder="1"/>
    <xf numFmtId="0" fontId="33" fillId="10" borderId="19" xfId="0" applyFont="1" applyFill="1" applyBorder="1" applyAlignment="1">
      <alignment horizontal="center" vertical="center"/>
    </xf>
    <xf numFmtId="0" fontId="33" fillId="10" borderId="20" xfId="0" applyFont="1" applyFill="1" applyBorder="1" applyAlignment="1">
      <alignment horizontal="center" vertical="center"/>
    </xf>
    <xf numFmtId="0" fontId="10" fillId="0" borderId="21" xfId="0" applyFont="1" applyFill="1" applyBorder="1"/>
    <xf numFmtId="0" fontId="34" fillId="0" borderId="22" xfId="0" applyFont="1" applyFill="1" applyBorder="1"/>
    <xf numFmtId="0" fontId="34" fillId="0" borderId="23" xfId="0" applyFont="1" applyFill="1" applyBorder="1"/>
    <xf numFmtId="0" fontId="34" fillId="0" borderId="24" xfId="0" applyFont="1" applyFill="1" applyBorder="1"/>
    <xf numFmtId="0" fontId="35" fillId="0" borderId="22" xfId="0" applyFont="1" applyFill="1" applyBorder="1"/>
    <xf numFmtId="0" fontId="10" fillId="0" borderId="0" xfId="0" applyFont="1" applyFill="1" applyBorder="1"/>
    <xf numFmtId="0" fontId="10" fillId="0" borderId="24" xfId="0" applyFont="1" applyFill="1" applyBorder="1"/>
    <xf numFmtId="0" fontId="10" fillId="0" borderId="22" xfId="0" applyFont="1" applyFill="1" applyBorder="1"/>
    <xf numFmtId="0" fontId="35" fillId="0" borderId="23" xfId="0" applyFont="1" applyFill="1" applyBorder="1"/>
    <xf numFmtId="0" fontId="36" fillId="0" borderId="23" xfId="0" applyFont="1" applyFill="1" applyBorder="1"/>
    <xf numFmtId="0" fontId="10" fillId="0" borderId="23" xfId="0" applyFont="1" applyFill="1" applyBorder="1"/>
    <xf numFmtId="0" fontId="10" fillId="0" borderId="25" xfId="0" applyFont="1" applyFill="1" applyBorder="1"/>
    <xf numFmtId="0" fontId="35" fillId="0" borderId="26" xfId="0" applyFont="1" applyFill="1" applyBorder="1"/>
    <xf numFmtId="0" fontId="35" fillId="0" borderId="0" xfId="0" applyFont="1" applyFill="1"/>
    <xf numFmtId="0" fontId="37" fillId="0" borderId="0" xfId="0" applyFont="1" applyFill="1" applyBorder="1"/>
    <xf numFmtId="0" fontId="32" fillId="0" borderId="27" xfId="0" applyFont="1" applyFill="1" applyBorder="1"/>
    <xf numFmtId="0" fontId="10" fillId="0" borderId="28" xfId="0" applyFont="1" applyFill="1" applyBorder="1"/>
    <xf numFmtId="0" fontId="10" fillId="0" borderId="29" xfId="0" applyFont="1" applyFill="1" applyBorder="1"/>
    <xf numFmtId="0" fontId="10" fillId="0" borderId="30" xfId="0" applyFont="1" applyFill="1" applyBorder="1"/>
    <xf numFmtId="0" fontId="10" fillId="0" borderId="26" xfId="0" applyFont="1" applyFill="1" applyBorder="1"/>
    <xf numFmtId="0" fontId="32" fillId="11" borderId="27" xfId="0" applyFont="1" applyFill="1" applyBorder="1"/>
    <xf numFmtId="0" fontId="10" fillId="11" borderId="31" xfId="0" applyFont="1" applyFill="1" applyBorder="1"/>
    <xf numFmtId="0" fontId="10" fillId="11" borderId="32" xfId="0" applyFont="1" applyFill="1" applyBorder="1"/>
    <xf numFmtId="0" fontId="10" fillId="11" borderId="33" xfId="0" applyFont="1" applyFill="1" applyBorder="1"/>
    <xf numFmtId="0" fontId="10" fillId="11" borderId="0" xfId="0" applyFont="1" applyFill="1" applyBorder="1"/>
    <xf numFmtId="0" fontId="10" fillId="11" borderId="34" xfId="0" applyFont="1" applyFill="1" applyBorder="1"/>
    <xf numFmtId="0" fontId="32" fillId="11" borderId="33" xfId="0" applyFont="1" applyFill="1" applyBorder="1"/>
    <xf numFmtId="0" fontId="34" fillId="11" borderId="0" xfId="0" applyFont="1" applyFill="1" applyBorder="1"/>
    <xf numFmtId="0" fontId="34" fillId="11" borderId="34" xfId="0" applyFont="1" applyFill="1" applyBorder="1"/>
    <xf numFmtId="0" fontId="34" fillId="11" borderId="34" xfId="0" applyFont="1" applyFill="1" applyBorder="1" applyAlignment="1">
      <alignment horizontal="center"/>
    </xf>
    <xf numFmtId="0" fontId="10" fillId="11" borderId="35" xfId="0" applyFont="1" applyFill="1" applyBorder="1"/>
    <xf numFmtId="0" fontId="10" fillId="11" borderId="36" xfId="0" applyFont="1" applyFill="1" applyBorder="1"/>
    <xf numFmtId="0" fontId="34" fillId="11" borderId="32" xfId="0" applyFont="1" applyFill="1" applyBorder="1" applyAlignment="1">
      <alignment horizontal="center"/>
    </xf>
    <xf numFmtId="0" fontId="34" fillId="11" borderId="35" xfId="0" applyFont="1" applyFill="1" applyBorder="1" applyAlignment="1">
      <alignment horizontal="left" vertical="center"/>
    </xf>
    <xf numFmtId="0" fontId="34" fillId="11" borderId="37" xfId="0" applyFont="1" applyFill="1" applyBorder="1" applyAlignment="1">
      <alignment horizontal="center" vertical="center"/>
    </xf>
    <xf numFmtId="0" fontId="10" fillId="11" borderId="28" xfId="0" applyFont="1" applyFill="1" applyBorder="1"/>
    <xf numFmtId="0" fontId="34" fillId="11" borderId="19" xfId="0" applyFont="1" applyFill="1" applyBorder="1" applyAlignment="1">
      <alignment horizontal="center" vertical="center"/>
    </xf>
    <xf numFmtId="0" fontId="34" fillId="11" borderId="20" xfId="0" applyFont="1" applyFill="1" applyBorder="1" applyAlignment="1">
      <alignment horizontal="center" vertical="center"/>
    </xf>
    <xf numFmtId="0" fontId="10" fillId="11" borderId="38" xfId="0" applyFont="1" applyFill="1" applyBorder="1"/>
    <xf numFmtId="0" fontId="10" fillId="11" borderId="29" xfId="0" applyFont="1" applyFill="1" applyBorder="1"/>
    <xf numFmtId="0" fontId="10" fillId="11" borderId="30" xfId="0" applyFont="1" applyFill="1" applyBorder="1"/>
    <xf numFmtId="0" fontId="10" fillId="11" borderId="22" xfId="0" applyFont="1" applyFill="1" applyBorder="1"/>
    <xf numFmtId="0" fontId="10" fillId="11" borderId="23" xfId="0" applyFont="1" applyFill="1" applyBorder="1"/>
    <xf numFmtId="0" fontId="10" fillId="11" borderId="25" xfId="0" applyFont="1" applyFill="1" applyBorder="1"/>
    <xf numFmtId="0" fontId="10" fillId="11" borderId="26" xfId="0" applyFont="1" applyFill="1" applyBorder="1"/>
    <xf numFmtId="9" fontId="10" fillId="0" borderId="0" xfId="0" applyNumberFormat="1" applyFont="1" applyFill="1"/>
    <xf numFmtId="181" fontId="34" fillId="11" borderId="35" xfId="3" applyNumberFormat="1" applyFont="1" applyFill="1" applyBorder="1" applyAlignment="1">
      <alignment horizontal="center"/>
    </xf>
    <xf numFmtId="181" fontId="34" fillId="11" borderId="36" xfId="3" applyNumberFormat="1" applyFont="1" applyFill="1" applyBorder="1" applyAlignment="1">
      <alignment horizontal="center"/>
    </xf>
    <xf numFmtId="0" fontId="34" fillId="11" borderId="39" xfId="0" applyFont="1" applyFill="1" applyBorder="1" applyAlignment="1">
      <alignment horizontal="center"/>
    </xf>
    <xf numFmtId="0" fontId="34" fillId="11" borderId="40" xfId="0" applyFont="1" applyFill="1" applyBorder="1" applyAlignment="1">
      <alignment horizontal="center"/>
    </xf>
    <xf numFmtId="0" fontId="34" fillId="11" borderId="41" xfId="0" applyFont="1" applyFill="1" applyBorder="1" applyAlignment="1">
      <alignment horizontal="center"/>
    </xf>
    <xf numFmtId="0" fontId="34" fillId="11" borderId="25" xfId="0" applyFont="1" applyFill="1" applyBorder="1" applyAlignment="1">
      <alignment horizontal="center"/>
    </xf>
    <xf numFmtId="0" fontId="34" fillId="11" borderId="26" xfId="0" applyFont="1" applyFill="1" applyBorder="1" applyAlignment="1">
      <alignment horizontal="center"/>
    </xf>
    <xf numFmtId="0" fontId="34" fillId="11" borderId="42" xfId="0" applyFont="1" applyFill="1" applyBorder="1" applyAlignment="1">
      <alignment horizontal="center"/>
    </xf>
    <xf numFmtId="179" fontId="34" fillId="11" borderId="22" xfId="0" applyNumberFormat="1" applyFont="1" applyFill="1" applyBorder="1"/>
    <xf numFmtId="179" fontId="35" fillId="11" borderId="22" xfId="0" applyNumberFormat="1" applyFont="1" applyFill="1" applyBorder="1"/>
    <xf numFmtId="179" fontId="35" fillId="11" borderId="23" xfId="0" applyNumberFormat="1" applyFont="1" applyFill="1" applyBorder="1"/>
    <xf numFmtId="179" fontId="35" fillId="11" borderId="43" xfId="0" applyNumberFormat="1" applyFont="1" applyFill="1" applyBorder="1"/>
    <xf numFmtId="9" fontId="10" fillId="11" borderId="22" xfId="0" applyNumberFormat="1" applyFont="1" applyFill="1" applyBorder="1"/>
    <xf numFmtId="9" fontId="10" fillId="11" borderId="23" xfId="3" applyFont="1" applyFill="1" applyBorder="1"/>
    <xf numFmtId="9" fontId="10" fillId="11" borderId="43" xfId="3" applyFont="1" applyFill="1" applyBorder="1"/>
    <xf numFmtId="179" fontId="34" fillId="11" borderId="22" xfId="1" applyNumberFormat="1" applyFont="1" applyFill="1" applyBorder="1"/>
    <xf numFmtId="179" fontId="34" fillId="11" borderId="23" xfId="1" applyNumberFormat="1" applyFont="1" applyFill="1" applyBorder="1"/>
    <xf numFmtId="179" fontId="34" fillId="11" borderId="43" xfId="1" applyNumberFormat="1" applyFont="1" applyFill="1" applyBorder="1"/>
    <xf numFmtId="179" fontId="10" fillId="11" borderId="22" xfId="1" applyNumberFormat="1" applyFont="1" applyFill="1" applyBorder="1"/>
    <xf numFmtId="9" fontId="35" fillId="11" borderId="23" xfId="3" applyFont="1" applyFill="1" applyBorder="1"/>
    <xf numFmtId="9" fontId="35" fillId="11" borderId="43" xfId="3" applyFont="1" applyFill="1" applyBorder="1"/>
    <xf numFmtId="189" fontId="10" fillId="11" borderId="22" xfId="1" applyNumberFormat="1" applyFont="1" applyFill="1" applyBorder="1"/>
    <xf numFmtId="179" fontId="10" fillId="11" borderId="23" xfId="1" applyNumberFormat="1" applyFont="1" applyFill="1" applyBorder="1"/>
    <xf numFmtId="179" fontId="10" fillId="11" borderId="43" xfId="1" applyNumberFormat="1" applyFont="1" applyFill="1" applyBorder="1"/>
    <xf numFmtId="9" fontId="35" fillId="11" borderId="22" xfId="3" applyFont="1" applyFill="1" applyBorder="1"/>
    <xf numFmtId="179" fontId="10" fillId="11" borderId="22" xfId="0" applyNumberFormat="1" applyFont="1" applyFill="1" applyBorder="1"/>
    <xf numFmtId="179" fontId="10" fillId="11" borderId="23" xfId="0" applyNumberFormat="1" applyFont="1" applyFill="1" applyBorder="1"/>
    <xf numFmtId="179" fontId="10" fillId="11" borderId="43" xfId="0" applyNumberFormat="1" applyFont="1" applyFill="1" applyBorder="1"/>
    <xf numFmtId="179" fontId="35" fillId="11" borderId="22" xfId="1" applyNumberFormat="1" applyFont="1" applyFill="1" applyBorder="1"/>
    <xf numFmtId="179" fontId="35" fillId="11" borderId="23" xfId="1" applyNumberFormat="1" applyFont="1" applyFill="1" applyBorder="1"/>
    <xf numFmtId="179" fontId="35" fillId="11" borderId="43" xfId="1" applyNumberFormat="1" applyFont="1" applyFill="1" applyBorder="1"/>
    <xf numFmtId="179" fontId="35" fillId="11" borderId="25" xfId="3" applyNumberFormat="1" applyFont="1" applyFill="1" applyBorder="1"/>
    <xf numFmtId="179" fontId="35" fillId="11" borderId="26" xfId="3" applyNumberFormat="1" applyFont="1" applyFill="1" applyBorder="1"/>
    <xf numFmtId="179" fontId="35" fillId="11" borderId="42" xfId="3" applyNumberFormat="1" applyFont="1" applyFill="1" applyBorder="1"/>
    <xf numFmtId="9" fontId="35" fillId="0" borderId="0" xfId="3" applyFont="1" applyFill="1"/>
    <xf numFmtId="189" fontId="35" fillId="0" borderId="0" xfId="1" applyNumberFormat="1" applyFont="1" applyFill="1"/>
    <xf numFmtId="0" fontId="34" fillId="11" borderId="28" xfId="0" applyFont="1" applyFill="1" applyBorder="1" applyAlignment="1">
      <alignment horizontal="center"/>
    </xf>
    <xf numFmtId="0" fontId="34" fillId="11" borderId="30" xfId="0" applyFont="1" applyFill="1" applyBorder="1" applyAlignment="1">
      <alignment horizontal="center"/>
    </xf>
    <xf numFmtId="189" fontId="10" fillId="11" borderId="23" xfId="1" applyNumberFormat="1" applyFont="1" applyFill="1" applyBorder="1"/>
    <xf numFmtId="9" fontId="10" fillId="11" borderId="26" xfId="0" applyNumberFormat="1" applyFont="1" applyFill="1" applyBorder="1"/>
    <xf numFmtId="189" fontId="10" fillId="0" borderId="0" xfId="1" applyNumberFormat="1" applyFont="1" applyFill="1"/>
    <xf numFmtId="0" fontId="34" fillId="11" borderId="37" xfId="0" applyFont="1" applyFill="1" applyBorder="1" applyAlignment="1">
      <alignment horizontal="center"/>
    </xf>
    <xf numFmtId="0" fontId="34" fillId="11" borderId="35" xfId="0" applyFont="1" applyFill="1" applyBorder="1" applyAlignment="1">
      <alignment horizontal="center"/>
    </xf>
    <xf numFmtId="0" fontId="34" fillId="11" borderId="36" xfId="0" applyFont="1" applyFill="1" applyBorder="1" applyAlignment="1">
      <alignment horizontal="center"/>
    </xf>
    <xf numFmtId="0" fontId="34" fillId="11" borderId="44" xfId="0" applyFont="1" applyFill="1" applyBorder="1" applyAlignment="1">
      <alignment horizontal="center"/>
    </xf>
    <xf numFmtId="9" fontId="34" fillId="11" borderId="33" xfId="3" applyFont="1" applyFill="1" applyBorder="1"/>
    <xf numFmtId="9" fontId="34" fillId="11" borderId="0" xfId="3" applyFont="1" applyFill="1" applyBorder="1"/>
    <xf numFmtId="9" fontId="34" fillId="11" borderId="45" xfId="3" applyFont="1" applyFill="1" applyBorder="1"/>
    <xf numFmtId="179" fontId="10" fillId="11" borderId="33" xfId="1" applyNumberFormat="1" applyFont="1" applyFill="1" applyBorder="1"/>
    <xf numFmtId="179" fontId="10" fillId="11" borderId="0" xfId="1" applyNumberFormat="1" applyFont="1" applyFill="1" applyBorder="1"/>
    <xf numFmtId="179" fontId="10" fillId="11" borderId="45" xfId="1" applyNumberFormat="1" applyFont="1" applyFill="1" applyBorder="1"/>
    <xf numFmtId="179" fontId="10" fillId="11" borderId="35" xfId="1" applyNumberFormat="1" applyFont="1" applyFill="1" applyBorder="1"/>
    <xf numFmtId="179" fontId="10" fillId="11" borderId="36" xfId="1" applyNumberFormat="1" applyFont="1" applyFill="1" applyBorder="1"/>
    <xf numFmtId="179" fontId="10" fillId="11" borderId="44" xfId="1" applyNumberFormat="1" applyFont="1" applyFill="1" applyBorder="1"/>
    <xf numFmtId="179" fontId="10" fillId="0" borderId="0" xfId="1" applyNumberFormat="1" applyFont="1" applyFill="1"/>
    <xf numFmtId="0" fontId="34" fillId="11" borderId="31" xfId="0" applyFont="1" applyFill="1" applyBorder="1" applyAlignment="1">
      <alignment horizontal="center"/>
    </xf>
    <xf numFmtId="0" fontId="34" fillId="11" borderId="38" xfId="0" applyFont="1" applyFill="1" applyBorder="1" applyAlignment="1">
      <alignment horizontal="center"/>
    </xf>
    <xf numFmtId="189" fontId="10" fillId="11" borderId="30" xfId="1" applyNumberFormat="1" applyFont="1" applyFill="1" applyBorder="1"/>
    <xf numFmtId="189" fontId="10" fillId="11" borderId="26" xfId="1" applyNumberFormat="1" applyFont="1" applyFill="1" applyBorder="1"/>
    <xf numFmtId="181" fontId="34" fillId="11" borderId="44" xfId="3" applyNumberFormat="1" applyFont="1" applyFill="1" applyBorder="1" applyAlignment="1">
      <alignment horizontal="center"/>
    </xf>
    <xf numFmtId="0" fontId="34" fillId="11" borderId="18" xfId="0" applyFont="1" applyFill="1" applyBorder="1" applyAlignment="1">
      <alignment horizontal="center"/>
    </xf>
    <xf numFmtId="0" fontId="34" fillId="11" borderId="21" xfId="0" applyFont="1" applyFill="1" applyBorder="1" applyAlignment="1">
      <alignment horizontal="center"/>
    </xf>
    <xf numFmtId="179" fontId="35" fillId="11" borderId="24" xfId="0" applyNumberFormat="1" applyFont="1" applyFill="1" applyBorder="1"/>
    <xf numFmtId="9" fontId="10" fillId="11" borderId="22" xfId="3" applyFont="1" applyFill="1" applyBorder="1"/>
    <xf numFmtId="9" fontId="10" fillId="11" borderId="24" xfId="3" applyFont="1" applyFill="1" applyBorder="1"/>
    <xf numFmtId="179" fontId="34" fillId="11" borderId="24" xfId="1" applyNumberFormat="1" applyFont="1" applyFill="1" applyBorder="1"/>
    <xf numFmtId="9" fontId="35" fillId="11" borderId="24" xfId="3" applyFont="1" applyFill="1" applyBorder="1"/>
    <xf numFmtId="179" fontId="10" fillId="11" borderId="24" xfId="1" applyNumberFormat="1" applyFont="1" applyFill="1" applyBorder="1"/>
    <xf numFmtId="179" fontId="10" fillId="11" borderId="24" xfId="0" applyNumberFormat="1" applyFont="1" applyFill="1" applyBorder="1"/>
    <xf numFmtId="179" fontId="35" fillId="11" borderId="24" xfId="1" applyNumberFormat="1" applyFont="1" applyFill="1" applyBorder="1"/>
    <xf numFmtId="179" fontId="35" fillId="11" borderId="21" xfId="3" applyNumberFormat="1" applyFont="1" applyFill="1" applyBorder="1"/>
    <xf numFmtId="0" fontId="34" fillId="11" borderId="46" xfId="0" applyFont="1" applyFill="1" applyBorder="1" applyAlignment="1">
      <alignment horizontal="center"/>
    </xf>
    <xf numFmtId="0" fontId="34" fillId="11" borderId="47" xfId="0" applyFont="1" applyFill="1" applyBorder="1" applyAlignment="1">
      <alignment horizontal="center"/>
    </xf>
    <xf numFmtId="189" fontId="10" fillId="11" borderId="43" xfId="1" applyNumberFormat="1" applyFont="1" applyFill="1" applyBorder="1"/>
    <xf numFmtId="9" fontId="10" fillId="11" borderId="42" xfId="0" applyNumberFormat="1" applyFont="1" applyFill="1" applyBorder="1"/>
    <xf numFmtId="0" fontId="34" fillId="11" borderId="48" xfId="0" applyFont="1" applyFill="1" applyBorder="1" applyAlignment="1">
      <alignment horizontal="center"/>
    </xf>
    <xf numFmtId="189" fontId="10" fillId="11" borderId="47" xfId="1" applyNumberFormat="1" applyFont="1" applyFill="1" applyBorder="1"/>
    <xf numFmtId="189" fontId="10" fillId="11" borderId="42" xfId="1" applyNumberFormat="1" applyFont="1" applyFill="1" applyBorder="1"/>
    <xf numFmtId="9" fontId="10" fillId="0" borderId="0" xfId="3" applyFont="1" applyFill="1"/>
    <xf numFmtId="181" fontId="34" fillId="12" borderId="35" xfId="3" applyNumberFormat="1" applyFont="1" applyFill="1" applyBorder="1" applyAlignment="1">
      <alignment horizontal="center"/>
    </xf>
    <xf numFmtId="181" fontId="34" fillId="12" borderId="36" xfId="3" applyNumberFormat="1" applyFont="1" applyFill="1" applyBorder="1" applyAlignment="1">
      <alignment horizontal="center"/>
    </xf>
    <xf numFmtId="0" fontId="34" fillId="12" borderId="39" xfId="0" applyFont="1" applyFill="1" applyBorder="1" applyAlignment="1">
      <alignment horizontal="center"/>
    </xf>
    <xf numFmtId="0" fontId="34" fillId="12" borderId="40" xfId="0" applyFont="1" applyFill="1" applyBorder="1" applyAlignment="1">
      <alignment horizontal="center"/>
    </xf>
    <xf numFmtId="0" fontId="34" fillId="12" borderId="41" xfId="0" applyFont="1" applyFill="1" applyBorder="1" applyAlignment="1">
      <alignment horizontal="center"/>
    </xf>
    <xf numFmtId="0" fontId="34" fillId="12" borderId="25" xfId="0" applyFont="1" applyFill="1" applyBorder="1" applyAlignment="1">
      <alignment horizontal="center"/>
    </xf>
    <xf numFmtId="0" fontId="34" fillId="12" borderId="26" xfId="0" applyFont="1" applyFill="1" applyBorder="1" applyAlignment="1">
      <alignment horizontal="center"/>
    </xf>
    <xf numFmtId="0" fontId="34" fillId="12" borderId="42" xfId="0" applyFont="1" applyFill="1" applyBorder="1" applyAlignment="1">
      <alignment horizontal="center"/>
    </xf>
    <xf numFmtId="179" fontId="34" fillId="12" borderId="22" xfId="0" applyNumberFormat="1" applyFont="1" applyFill="1" applyBorder="1"/>
    <xf numFmtId="179" fontId="35" fillId="12" borderId="22" xfId="0" applyNumberFormat="1" applyFont="1" applyFill="1" applyBorder="1"/>
    <xf numFmtId="179" fontId="35" fillId="12" borderId="23" xfId="0" applyNumberFormat="1" applyFont="1" applyFill="1" applyBorder="1"/>
    <xf numFmtId="179" fontId="35" fillId="12" borderId="43" xfId="0" applyNumberFormat="1" applyFont="1" applyFill="1" applyBorder="1"/>
    <xf numFmtId="9" fontId="10" fillId="12" borderId="22" xfId="3" applyFont="1" applyFill="1" applyBorder="1"/>
    <xf numFmtId="9" fontId="10" fillId="12" borderId="23" xfId="3" applyFont="1" applyFill="1" applyBorder="1"/>
    <xf numFmtId="9" fontId="10" fillId="12" borderId="43" xfId="3" applyFont="1" applyFill="1" applyBorder="1"/>
    <xf numFmtId="179" fontId="34" fillId="12" borderId="22" xfId="1" applyNumberFormat="1" applyFont="1" applyFill="1" applyBorder="1"/>
    <xf numFmtId="179" fontId="34" fillId="12" borderId="23" xfId="1" applyNumberFormat="1" applyFont="1" applyFill="1" applyBorder="1"/>
    <xf numFmtId="179" fontId="34" fillId="12" borderId="43" xfId="1" applyNumberFormat="1" applyFont="1" applyFill="1" applyBorder="1"/>
    <xf numFmtId="9" fontId="35" fillId="12" borderId="22" xfId="3" applyFont="1" applyFill="1" applyBorder="1"/>
    <xf numFmtId="9" fontId="35" fillId="12" borderId="23" xfId="3" applyFont="1" applyFill="1" applyBorder="1"/>
    <xf numFmtId="9" fontId="35" fillId="12" borderId="43" xfId="3" applyFont="1" applyFill="1" applyBorder="1"/>
    <xf numFmtId="189" fontId="35" fillId="12" borderId="22" xfId="3" applyNumberFormat="1" applyFont="1" applyFill="1" applyBorder="1"/>
    <xf numFmtId="189" fontId="35" fillId="12" borderId="23" xfId="3" applyNumberFormat="1" applyFont="1" applyFill="1" applyBorder="1"/>
    <xf numFmtId="189" fontId="35" fillId="12" borderId="43" xfId="3" applyNumberFormat="1" applyFont="1" applyFill="1" applyBorder="1"/>
    <xf numFmtId="179" fontId="10" fillId="12" borderId="22" xfId="1" applyNumberFormat="1" applyFont="1" applyFill="1" applyBorder="1"/>
    <xf numFmtId="179" fontId="10" fillId="12" borderId="23" xfId="1" applyNumberFormat="1" applyFont="1" applyFill="1" applyBorder="1"/>
    <xf numFmtId="179" fontId="10" fillId="12" borderId="43" xfId="1" applyNumberFormat="1" applyFont="1" applyFill="1" applyBorder="1"/>
    <xf numFmtId="179" fontId="10" fillId="12" borderId="22" xfId="0" applyNumberFormat="1" applyFont="1" applyFill="1" applyBorder="1"/>
    <xf numFmtId="179" fontId="10" fillId="12" borderId="23" xfId="0" applyNumberFormat="1" applyFont="1" applyFill="1" applyBorder="1"/>
    <xf numFmtId="179" fontId="10" fillId="12" borderId="43" xfId="0" applyNumberFormat="1" applyFont="1" applyFill="1" applyBorder="1"/>
    <xf numFmtId="179" fontId="35" fillId="12" borderId="22" xfId="1" applyNumberFormat="1" applyFont="1" applyFill="1" applyBorder="1"/>
    <xf numFmtId="179" fontId="35" fillId="12" borderId="23" xfId="1" applyNumberFormat="1" applyFont="1" applyFill="1" applyBorder="1"/>
    <xf numFmtId="179" fontId="35" fillId="12" borderId="43" xfId="1" applyNumberFormat="1" applyFont="1" applyFill="1" applyBorder="1"/>
    <xf numFmtId="179" fontId="35" fillId="12" borderId="25" xfId="3" applyNumberFormat="1" applyFont="1" applyFill="1" applyBorder="1"/>
    <xf numFmtId="179" fontId="35" fillId="12" borderId="26" xfId="3" applyNumberFormat="1" applyFont="1" applyFill="1" applyBorder="1"/>
    <xf numFmtId="179" fontId="35" fillId="12" borderId="42" xfId="3" applyNumberFormat="1" applyFont="1" applyFill="1" applyBorder="1"/>
    <xf numFmtId="0" fontId="34" fillId="12" borderId="27" xfId="0" applyFont="1" applyFill="1" applyBorder="1" applyAlignment="1">
      <alignment horizontal="center"/>
    </xf>
    <xf numFmtId="0" fontId="34" fillId="12" borderId="28" xfId="0" applyFont="1" applyFill="1" applyBorder="1" applyAlignment="1">
      <alignment horizontal="center"/>
    </xf>
    <xf numFmtId="0" fontId="34" fillId="12" borderId="46" xfId="0" applyFont="1" applyFill="1" applyBorder="1" applyAlignment="1">
      <alignment horizontal="center"/>
    </xf>
    <xf numFmtId="0" fontId="34" fillId="13" borderId="30" xfId="0" applyFont="1" applyFill="1" applyBorder="1" applyAlignment="1">
      <alignment horizontal="center"/>
    </xf>
    <xf numFmtId="0" fontId="34" fillId="13" borderId="49" xfId="0" applyFont="1" applyFill="1" applyBorder="1" applyAlignment="1">
      <alignment horizontal="center"/>
    </xf>
    <xf numFmtId="179" fontId="10" fillId="13" borderId="50" xfId="0" applyNumberFormat="1" applyFont="1" applyFill="1" applyBorder="1"/>
    <xf numFmtId="179" fontId="10" fillId="13" borderId="23" xfId="0" applyNumberFormat="1" applyFont="1" applyFill="1" applyBorder="1"/>
    <xf numFmtId="179" fontId="10" fillId="13" borderId="24" xfId="0" applyNumberFormat="1" applyFont="1" applyFill="1" applyBorder="1"/>
    <xf numFmtId="189" fontId="10" fillId="13" borderId="50" xfId="1" applyNumberFormat="1" applyFont="1" applyFill="1" applyBorder="1"/>
    <xf numFmtId="189" fontId="10" fillId="13" borderId="23" xfId="1" applyNumberFormat="1" applyFont="1" applyFill="1" applyBorder="1"/>
    <xf numFmtId="189" fontId="10" fillId="13" borderId="24" xfId="1" applyNumberFormat="1" applyFont="1" applyFill="1" applyBorder="1"/>
    <xf numFmtId="9" fontId="10" fillId="13" borderId="26" xfId="0" applyNumberFormat="1" applyFont="1" applyFill="1" applyBorder="1"/>
    <xf numFmtId="9" fontId="10" fillId="13" borderId="21" xfId="0" applyNumberFormat="1" applyFont="1" applyFill="1" applyBorder="1"/>
    <xf numFmtId="0" fontId="34" fillId="13" borderId="37" xfId="0" applyFont="1" applyFill="1" applyBorder="1" applyAlignment="1">
      <alignment horizontal="center"/>
    </xf>
    <xf numFmtId="0" fontId="34" fillId="13" borderId="28" xfId="0" applyFont="1" applyFill="1" applyBorder="1" applyAlignment="1">
      <alignment horizontal="center"/>
    </xf>
    <xf numFmtId="0" fontId="34" fillId="13" borderId="31" xfId="0" applyFont="1" applyFill="1" applyBorder="1" applyAlignment="1">
      <alignment horizontal="center"/>
    </xf>
    <xf numFmtId="0" fontId="34" fillId="13" borderId="35" xfId="0" applyFont="1" applyFill="1" applyBorder="1" applyAlignment="1">
      <alignment horizontal="center"/>
    </xf>
    <xf numFmtId="0" fontId="34" fillId="13" borderId="36" xfId="0" applyFont="1" applyFill="1" applyBorder="1" applyAlignment="1">
      <alignment horizontal="center"/>
    </xf>
    <xf numFmtId="0" fontId="34" fillId="13" borderId="44" xfId="0" applyFont="1" applyFill="1" applyBorder="1" applyAlignment="1">
      <alignment horizontal="center"/>
    </xf>
    <xf numFmtId="9" fontId="34" fillId="13" borderId="33" xfId="3" applyFont="1" applyFill="1" applyBorder="1"/>
    <xf numFmtId="9" fontId="34" fillId="13" borderId="0" xfId="3" applyFont="1" applyFill="1" applyBorder="1"/>
    <xf numFmtId="9" fontId="34" fillId="13" borderId="45" xfId="3" applyFont="1" applyFill="1" applyBorder="1"/>
    <xf numFmtId="179" fontId="10" fillId="13" borderId="33" xfId="1" applyNumberFormat="1" applyFont="1" applyFill="1" applyBorder="1"/>
    <xf numFmtId="179" fontId="10" fillId="13" borderId="0" xfId="1" applyNumberFormat="1" applyFont="1" applyFill="1" applyBorder="1"/>
    <xf numFmtId="179" fontId="10" fillId="13" borderId="45" xfId="1" applyNumberFormat="1" applyFont="1" applyFill="1" applyBorder="1"/>
    <xf numFmtId="179" fontId="10" fillId="13" borderId="35" xfId="1" applyNumberFormat="1" applyFont="1" applyFill="1" applyBorder="1"/>
    <xf numFmtId="179" fontId="10" fillId="13" borderId="36" xfId="1" applyNumberFormat="1" applyFont="1" applyFill="1" applyBorder="1"/>
    <xf numFmtId="179" fontId="10" fillId="13" borderId="44" xfId="1" applyNumberFormat="1" applyFont="1" applyFill="1" applyBorder="1"/>
    <xf numFmtId="0" fontId="34" fillId="12" borderId="35" xfId="0" applyFont="1" applyFill="1" applyBorder="1" applyAlignment="1">
      <alignment horizontal="center"/>
    </xf>
    <xf numFmtId="0" fontId="34" fillId="12" borderId="36" xfId="0" applyFont="1" applyFill="1" applyBorder="1" applyAlignment="1">
      <alignment horizontal="center"/>
    </xf>
    <xf numFmtId="0" fontId="34" fillId="12" borderId="37" xfId="0" applyFont="1" applyFill="1" applyBorder="1" applyAlignment="1">
      <alignment horizontal="center"/>
    </xf>
    <xf numFmtId="0" fontId="34" fillId="12" borderId="51" xfId="0" applyFont="1" applyFill="1" applyBorder="1" applyAlignment="1">
      <alignment horizontal="center"/>
    </xf>
    <xf numFmtId="0" fontId="34" fillId="12" borderId="38" xfId="0" applyFont="1" applyFill="1" applyBorder="1" applyAlignment="1">
      <alignment horizontal="center"/>
    </xf>
    <xf numFmtId="190" fontId="10" fillId="12" borderId="33" xfId="0" applyNumberFormat="1" applyFont="1" applyFill="1" applyBorder="1"/>
    <xf numFmtId="190" fontId="10" fillId="12" borderId="0" xfId="0" applyNumberFormat="1" applyFont="1" applyFill="1" applyBorder="1"/>
    <xf numFmtId="189" fontId="10" fillId="12" borderId="33" xfId="1" applyNumberFormat="1" applyFont="1" applyFill="1" applyBorder="1"/>
    <xf numFmtId="189" fontId="10" fillId="12" borderId="0" xfId="1" applyNumberFormat="1" applyFont="1" applyFill="1" applyBorder="1"/>
    <xf numFmtId="189" fontId="10" fillId="12" borderId="19" xfId="1" applyNumberFormat="1" applyFont="1" applyFill="1" applyBorder="1"/>
    <xf numFmtId="189" fontId="10" fillId="12" borderId="8" xfId="1" applyNumberFormat="1" applyFont="1" applyFill="1" applyBorder="1"/>
    <xf numFmtId="181" fontId="34" fillId="12" borderId="44" xfId="3" applyNumberFormat="1" applyFont="1" applyFill="1" applyBorder="1" applyAlignment="1">
      <alignment horizontal="center"/>
    </xf>
    <xf numFmtId="179" fontId="38" fillId="12" borderId="52" xfId="0" applyNumberFormat="1" applyFont="1" applyFill="1" applyBorder="1"/>
    <xf numFmtId="9" fontId="35" fillId="12" borderId="43" xfId="3" applyNumberFormat="1" applyFont="1" applyFill="1" applyBorder="1"/>
    <xf numFmtId="0" fontId="34" fillId="13" borderId="29" xfId="0" applyFont="1" applyFill="1" applyBorder="1" applyAlignment="1">
      <alignment horizontal="center"/>
    </xf>
    <xf numFmtId="0" fontId="34" fillId="13" borderId="47" xfId="0" applyFont="1" applyFill="1" applyBorder="1" applyAlignment="1">
      <alignment horizontal="center"/>
    </xf>
    <xf numFmtId="179" fontId="10" fillId="13" borderId="22" xfId="0" applyNumberFormat="1" applyFont="1" applyFill="1" applyBorder="1"/>
    <xf numFmtId="179" fontId="10" fillId="13" borderId="43" xfId="0" applyNumberFormat="1" applyFont="1" applyFill="1" applyBorder="1"/>
    <xf numFmtId="189" fontId="10" fillId="13" borderId="22" xfId="1" applyNumberFormat="1" applyFont="1" applyFill="1" applyBorder="1"/>
    <xf numFmtId="189" fontId="10" fillId="13" borderId="43" xfId="1" applyNumberFormat="1" applyFont="1" applyFill="1" applyBorder="1"/>
    <xf numFmtId="9" fontId="10" fillId="13" borderId="25" xfId="0" applyNumberFormat="1" applyFont="1" applyFill="1" applyBorder="1"/>
    <xf numFmtId="9" fontId="10" fillId="13" borderId="42" xfId="0" applyNumberFormat="1" applyFont="1" applyFill="1" applyBorder="1"/>
    <xf numFmtId="0" fontId="34" fillId="13" borderId="27" xfId="0" applyFont="1" applyFill="1" applyBorder="1" applyAlignment="1">
      <alignment horizontal="center"/>
    </xf>
    <xf numFmtId="0" fontId="34" fillId="13" borderId="46" xfId="0" applyFont="1" applyFill="1" applyBorder="1" applyAlignment="1">
      <alignment horizontal="center"/>
    </xf>
    <xf numFmtId="0" fontId="34" fillId="12" borderId="31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48" xfId="0" applyFont="1" applyFill="1" applyBorder="1" applyAlignment="1">
      <alignment horizontal="center"/>
    </xf>
    <xf numFmtId="190" fontId="10" fillId="12" borderId="45" xfId="0" applyNumberFormat="1" applyFont="1" applyFill="1" applyBorder="1"/>
    <xf numFmtId="189" fontId="10" fillId="12" borderId="45" xfId="1" applyNumberFormat="1" applyFont="1" applyFill="1" applyBorder="1"/>
    <xf numFmtId="189" fontId="10" fillId="12" borderId="53" xfId="1" applyNumberFormat="1" applyFont="1" applyFill="1" applyBorder="1"/>
    <xf numFmtId="0" fontId="10" fillId="0" borderId="0" xfId="0" applyFont="1" applyFill="1" applyAlignment="1">
      <alignment vertical="top"/>
    </xf>
    <xf numFmtId="0" fontId="10" fillId="0" borderId="33" xfId="0" applyFont="1" applyFill="1" applyBorder="1"/>
    <xf numFmtId="179" fontId="10" fillId="0" borderId="0" xfId="0" applyNumberFormat="1" applyFont="1" applyFill="1"/>
    <xf numFmtId="190" fontId="10" fillId="0" borderId="0" xfId="0" applyNumberFormat="1" applyFont="1" applyFill="1"/>
  </cellXfs>
  <cellStyles count="5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10" xfId="49"/>
    <cellStyle name="Comma 2" xfId="50"/>
    <cellStyle name="Normal_Sheet2" xfId="51"/>
    <cellStyle name="Percent 2" xfId="52"/>
    <cellStyle name="Border Thin" xfId="53"/>
    <cellStyle name="Normal_Sheet" xfId="54"/>
    <cellStyle name="Normal_BasicFCFModel" xfId="55"/>
    <cellStyle name="Input 2" xfId="56"/>
    <cellStyle name="Normal_Ahold3-backup" xfId="57"/>
    <cellStyle name="Normal_Copy of GAPValuationModelFullForecast2008" xfId="58"/>
  </cellStyles>
  <dxfs count="3">
    <dxf>
      <font>
        <b val="1"/>
        <i val="0"/>
        <color indexed="9"/>
      </font>
      <fill>
        <patternFill patternType="solid">
          <bgColor indexed="10"/>
        </patternFill>
      </fill>
    </dxf>
    <dxf>
      <font>
        <b val="1"/>
        <i val="0"/>
        <color indexed="12"/>
      </font>
      <border>
        <top style="thin">
          <color auto="1"/>
        </top>
      </border>
    </dxf>
    <dxf>
      <font>
        <color indexed="12"/>
      </font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3"/>
  <sheetViews>
    <sheetView zoomScale="71" zoomScaleNormal="71" topLeftCell="A17" workbookViewId="0">
      <selection activeCell="V38" sqref="V38"/>
    </sheetView>
  </sheetViews>
  <sheetFormatPr defaultColWidth="5.44230769230769" defaultRowHeight="16.8"/>
  <cols>
    <col min="1" max="2" width="5.44230769230769" style="220"/>
    <col min="3" max="3" width="23" style="220" customWidth="1"/>
    <col min="4" max="4" width="7" style="220" customWidth="1"/>
    <col min="5" max="5" width="10.6634615384615" style="220" customWidth="1"/>
    <col min="6" max="6" width="6.88461538461539" style="220" customWidth="1"/>
    <col min="7" max="7" width="7.10576923076923" style="220" customWidth="1"/>
    <col min="8" max="10" width="7.66346153846154" style="220" customWidth="1"/>
    <col min="11" max="11" width="7.77884615384615" style="220" customWidth="1"/>
    <col min="12" max="12" width="9.10576923076923" style="220" customWidth="1"/>
    <col min="13" max="13" width="9.02884615384615" style="220" customWidth="1"/>
    <col min="14" max="14" width="7.44230769230769" style="220" customWidth="1"/>
    <col min="15" max="15" width="7.77884615384615" style="220" customWidth="1"/>
    <col min="16" max="20" width="9.10576923076923" style="220" customWidth="1"/>
    <col min="21" max="21" width="5.44230769230769" style="220"/>
    <col min="22" max="22" width="15.9230769230769" style="220"/>
    <col min="23" max="24" width="5.44230769230769" style="220"/>
    <col min="25" max="30" width="5.55769230769231" style="220" customWidth="1"/>
    <col min="31" max="31" width="7.10576923076923" style="220" customWidth="1"/>
    <col min="32" max="32" width="6.44230769230769" style="220" customWidth="1"/>
    <col min="33" max="40" width="8.10576923076923" style="220" customWidth="1"/>
    <col min="41" max="16384" width="5.44230769230769" style="220"/>
  </cols>
  <sheetData>
    <row r="1" ht="17.55" spans="1:22">
      <c r="A1" s="221" t="s">
        <v>0</v>
      </c>
      <c r="E1" s="240"/>
      <c r="G1" s="272"/>
      <c r="H1" s="272"/>
      <c r="I1" s="272"/>
      <c r="J1" s="272"/>
      <c r="K1" s="272"/>
      <c r="L1" s="272"/>
      <c r="M1" s="272"/>
      <c r="N1" s="272"/>
      <c r="O1" s="351"/>
      <c r="P1" s="351"/>
      <c r="Q1" s="351"/>
      <c r="R1" s="351"/>
      <c r="S1" s="351"/>
      <c r="T1" s="351"/>
      <c r="U1" s="351"/>
      <c r="V1" s="351"/>
    </row>
    <row r="2" ht="17.55" spans="5:20">
      <c r="E2" s="273" t="s">
        <v>1</v>
      </c>
      <c r="F2" s="274"/>
      <c r="G2" s="274"/>
      <c r="H2" s="274"/>
      <c r="I2" s="274"/>
      <c r="J2" s="274"/>
      <c r="K2" s="274"/>
      <c r="L2" s="332"/>
      <c r="M2" s="352" t="s">
        <v>2</v>
      </c>
      <c r="N2" s="353"/>
      <c r="O2" s="353"/>
      <c r="P2" s="353"/>
      <c r="Q2" s="353"/>
      <c r="R2" s="353"/>
      <c r="S2" s="353"/>
      <c r="T2" s="427"/>
    </row>
    <row r="3" spans="2:20">
      <c r="B3" s="222" t="s">
        <v>3</v>
      </c>
      <c r="C3" s="223"/>
      <c r="D3" s="224"/>
      <c r="E3" s="275" t="s">
        <v>4</v>
      </c>
      <c r="F3" s="276"/>
      <c r="G3" s="276"/>
      <c r="H3" s="277"/>
      <c r="I3" s="275" t="s">
        <v>5</v>
      </c>
      <c r="J3" s="276"/>
      <c r="K3" s="276"/>
      <c r="L3" s="333"/>
      <c r="M3" s="354" t="s">
        <v>6</v>
      </c>
      <c r="N3" s="355"/>
      <c r="O3" s="355"/>
      <c r="P3" s="356"/>
      <c r="Q3" s="354" t="s">
        <v>7</v>
      </c>
      <c r="R3" s="355"/>
      <c r="S3" s="355"/>
      <c r="T3" s="356"/>
    </row>
    <row r="4" ht="17.55" spans="2:20">
      <c r="B4" s="225"/>
      <c r="C4" s="226"/>
      <c r="D4" s="227"/>
      <c r="E4" s="278" t="s">
        <v>8</v>
      </c>
      <c r="F4" s="279" t="s">
        <v>9</v>
      </c>
      <c r="G4" s="279" t="s">
        <v>10</v>
      </c>
      <c r="H4" s="280" t="s">
        <v>11</v>
      </c>
      <c r="I4" s="278" t="s">
        <v>8</v>
      </c>
      <c r="J4" s="279" t="s">
        <v>9</v>
      </c>
      <c r="K4" s="279" t="s">
        <v>10</v>
      </c>
      <c r="L4" s="334" t="s">
        <v>11</v>
      </c>
      <c r="M4" s="357" t="s">
        <v>8</v>
      </c>
      <c r="N4" s="358" t="s">
        <v>9</v>
      </c>
      <c r="O4" s="358" t="s">
        <v>10</v>
      </c>
      <c r="P4" s="359" t="s">
        <v>11</v>
      </c>
      <c r="Q4" s="357" t="s">
        <v>8</v>
      </c>
      <c r="R4" s="358" t="s">
        <v>9</v>
      </c>
      <c r="S4" s="358" t="s">
        <v>10</v>
      </c>
      <c r="T4" s="359" t="s">
        <v>11</v>
      </c>
    </row>
    <row r="5" spans="2:22">
      <c r="B5" s="228" t="s">
        <v>12</v>
      </c>
      <c r="C5" s="229"/>
      <c r="D5" s="230"/>
      <c r="E5" s="281">
        <f>E55</f>
        <v>24</v>
      </c>
      <c r="F5" s="281">
        <f t="shared" ref="F5:L5" si="0">F55</f>
        <v>72.4</v>
      </c>
      <c r="G5" s="281">
        <f t="shared" si="0"/>
        <v>117.16</v>
      </c>
      <c r="H5" s="281">
        <f t="shared" si="0"/>
        <v>155.02</v>
      </c>
      <c r="I5" s="281">
        <f t="shared" si="0"/>
        <v>198.6</v>
      </c>
      <c r="J5" s="281">
        <f t="shared" si="0"/>
        <v>254.02</v>
      </c>
      <c r="K5" s="281">
        <f t="shared" si="0"/>
        <v>319.72</v>
      </c>
      <c r="L5" s="281">
        <f t="shared" si="0"/>
        <v>397.86</v>
      </c>
      <c r="M5" s="360">
        <v>714.54</v>
      </c>
      <c r="N5" s="360">
        <v>919.06</v>
      </c>
      <c r="O5" s="360">
        <v>1158.4</v>
      </c>
      <c r="P5" s="360">
        <v>1460.9536</v>
      </c>
      <c r="Q5" s="360">
        <v>1828.36056</v>
      </c>
      <c r="R5" s="360">
        <v>2215.685024</v>
      </c>
      <c r="S5" s="360">
        <v>2658.483644</v>
      </c>
      <c r="T5" s="428">
        <v>3079.839532</v>
      </c>
      <c r="U5" s="327"/>
      <c r="V5" s="327"/>
    </row>
    <row r="6" spans="2:21">
      <c r="B6" s="231" t="s">
        <v>13</v>
      </c>
      <c r="C6" s="232"/>
      <c r="D6" s="233"/>
      <c r="E6" s="282">
        <f>E30</f>
        <v>24</v>
      </c>
      <c r="F6" s="282">
        <f t="shared" ref="F6:L6" si="1">F30</f>
        <v>70</v>
      </c>
      <c r="G6" s="282">
        <f t="shared" si="1"/>
        <v>108</v>
      </c>
      <c r="H6" s="282">
        <f t="shared" si="1"/>
        <v>136</v>
      </c>
      <c r="I6" s="282">
        <f t="shared" si="1"/>
        <v>168</v>
      </c>
      <c r="J6" s="282">
        <f t="shared" si="1"/>
        <v>210</v>
      </c>
      <c r="K6" s="282">
        <f t="shared" si="1"/>
        <v>260</v>
      </c>
      <c r="L6" s="282">
        <f t="shared" si="1"/>
        <v>320</v>
      </c>
      <c r="M6" s="361">
        <v>616</v>
      </c>
      <c r="N6" s="362">
        <v>774.4</v>
      </c>
      <c r="O6" s="362">
        <v>958.32</v>
      </c>
      <c r="P6" s="363">
        <v>1194.7056</v>
      </c>
      <c r="Q6" s="361">
        <v>1481.6692</v>
      </c>
      <c r="R6" s="362">
        <v>1771.561</v>
      </c>
      <c r="S6" s="362">
        <v>2104.614468</v>
      </c>
      <c r="T6" s="363">
        <v>2400.8194672</v>
      </c>
      <c r="U6" s="327"/>
    </row>
    <row r="7" spans="2:21">
      <c r="B7" s="231" t="s">
        <v>14</v>
      </c>
      <c r="C7" s="232"/>
      <c r="D7" s="233"/>
      <c r="E7" s="282">
        <f>E5-E6</f>
        <v>0</v>
      </c>
      <c r="F7" s="283">
        <f>F5-F6</f>
        <v>2.40000000000001</v>
      </c>
      <c r="G7" s="283">
        <f t="shared" ref="G7:L7" si="2">G5-G6</f>
        <v>9.16</v>
      </c>
      <c r="H7" s="284">
        <f t="shared" si="2"/>
        <v>19.02</v>
      </c>
      <c r="I7" s="282">
        <f t="shared" si="2"/>
        <v>30.6</v>
      </c>
      <c r="J7" s="283">
        <f t="shared" si="2"/>
        <v>44.02</v>
      </c>
      <c r="K7" s="283">
        <f t="shared" si="2"/>
        <v>59.72</v>
      </c>
      <c r="L7" s="335">
        <f t="shared" si="2"/>
        <v>77.86</v>
      </c>
      <c r="M7" s="361">
        <v>98.54</v>
      </c>
      <c r="N7" s="362">
        <v>144.66</v>
      </c>
      <c r="O7" s="362">
        <v>200.08</v>
      </c>
      <c r="P7" s="363">
        <v>266.248</v>
      </c>
      <c r="Q7" s="361">
        <v>346.69136</v>
      </c>
      <c r="R7" s="362">
        <v>444.124024</v>
      </c>
      <c r="S7" s="362">
        <v>553.869176</v>
      </c>
      <c r="T7" s="363">
        <v>679.0200648</v>
      </c>
      <c r="U7" s="327"/>
    </row>
    <row r="8" spans="2:20">
      <c r="B8" s="231" t="s">
        <v>15</v>
      </c>
      <c r="C8" s="232"/>
      <c r="D8" s="233"/>
      <c r="E8" s="285">
        <v>0.25</v>
      </c>
      <c r="F8" s="286">
        <v>0.26</v>
      </c>
      <c r="G8" s="286">
        <v>0.27</v>
      </c>
      <c r="H8" s="287">
        <v>0.28</v>
      </c>
      <c r="I8" s="336">
        <v>0.29</v>
      </c>
      <c r="J8" s="286">
        <v>0.3</v>
      </c>
      <c r="K8" s="286">
        <v>0.31</v>
      </c>
      <c r="L8" s="337">
        <v>0.32</v>
      </c>
      <c r="M8" s="364">
        <v>0.25</v>
      </c>
      <c r="N8" s="365">
        <v>0.25</v>
      </c>
      <c r="O8" s="365">
        <v>0.25</v>
      </c>
      <c r="P8" s="366">
        <v>0.25</v>
      </c>
      <c r="Q8" s="364">
        <v>0.25</v>
      </c>
      <c r="R8" s="365">
        <v>0.25</v>
      </c>
      <c r="S8" s="365">
        <v>0.25</v>
      </c>
      <c r="T8" s="366">
        <v>0.25</v>
      </c>
    </row>
    <row r="9" spans="2:21">
      <c r="B9" s="228" t="s">
        <v>16</v>
      </c>
      <c r="C9" s="229"/>
      <c r="D9" s="230"/>
      <c r="E9" s="288">
        <f t="shared" ref="E9:L9" si="3">E5*(1-E8)</f>
        <v>18</v>
      </c>
      <c r="F9" s="289">
        <f t="shared" si="3"/>
        <v>53.576</v>
      </c>
      <c r="G9" s="289">
        <f t="shared" si="3"/>
        <v>85.5268</v>
      </c>
      <c r="H9" s="290">
        <f t="shared" si="3"/>
        <v>111.6144</v>
      </c>
      <c r="I9" s="288">
        <f t="shared" si="3"/>
        <v>141.006</v>
      </c>
      <c r="J9" s="289">
        <f t="shared" si="3"/>
        <v>177.814</v>
      </c>
      <c r="K9" s="289">
        <f t="shared" si="3"/>
        <v>220.6068</v>
      </c>
      <c r="L9" s="338">
        <f t="shared" si="3"/>
        <v>270.5448</v>
      </c>
      <c r="M9" s="367">
        <v>535.905</v>
      </c>
      <c r="N9" s="368">
        <v>689.295</v>
      </c>
      <c r="O9" s="368">
        <v>868.8</v>
      </c>
      <c r="P9" s="369">
        <v>1095.7152</v>
      </c>
      <c r="Q9" s="367">
        <v>1371.27042</v>
      </c>
      <c r="R9" s="368">
        <v>1661.763768</v>
      </c>
      <c r="S9" s="368">
        <v>1993.862733</v>
      </c>
      <c r="T9" s="369">
        <v>2309.879649</v>
      </c>
      <c r="U9" s="327"/>
    </row>
    <row r="10" spans="2:20">
      <c r="B10" s="234"/>
      <c r="C10" s="235" t="s">
        <v>17</v>
      </c>
      <c r="D10" s="233"/>
      <c r="E10" s="291"/>
      <c r="F10" s="292">
        <f>F9/E9-1</f>
        <v>1.97644444444444</v>
      </c>
      <c r="G10" s="292">
        <f t="shared" ref="G10:L10" si="4">G9/F9-1</f>
        <v>0.596364043601612</v>
      </c>
      <c r="H10" s="293">
        <f t="shared" si="4"/>
        <v>0.305022519257122</v>
      </c>
      <c r="I10" s="297">
        <f t="shared" si="4"/>
        <v>0.263331613125188</v>
      </c>
      <c r="J10" s="292">
        <f t="shared" si="4"/>
        <v>0.261038537367204</v>
      </c>
      <c r="K10" s="292">
        <f t="shared" si="4"/>
        <v>0.240660465430169</v>
      </c>
      <c r="L10" s="339">
        <f t="shared" si="4"/>
        <v>0.226366548991237</v>
      </c>
      <c r="M10" s="370">
        <v>0.980836445572046</v>
      </c>
      <c r="N10" s="371">
        <v>0.286226103507152</v>
      </c>
      <c r="O10" s="371">
        <v>0.260418253432855</v>
      </c>
      <c r="P10" s="372">
        <v>0.261182320441989</v>
      </c>
      <c r="Q10" s="370">
        <v>0.251484345567169</v>
      </c>
      <c r="R10" s="371">
        <v>0.211842495661797</v>
      </c>
      <c r="S10" s="371">
        <v>0.199847277570442</v>
      </c>
      <c r="T10" s="429">
        <v>0.158494820515812</v>
      </c>
    </row>
    <row r="11" spans="2:20">
      <c r="B11" s="234" t="s">
        <v>18</v>
      </c>
      <c r="C11" s="235"/>
      <c r="D11" s="233"/>
      <c r="E11" s="294">
        <f>E9*0.25%</f>
        <v>0.045</v>
      </c>
      <c r="F11" s="294">
        <f t="shared" ref="F11:L11" si="5">F9*0.25%</f>
        <v>0.13394</v>
      </c>
      <c r="G11" s="294">
        <f t="shared" si="5"/>
        <v>0.213817</v>
      </c>
      <c r="H11" s="294">
        <f t="shared" si="5"/>
        <v>0.279036</v>
      </c>
      <c r="I11" s="294">
        <f t="shared" si="5"/>
        <v>0.352515</v>
      </c>
      <c r="J11" s="294">
        <f t="shared" si="5"/>
        <v>0.444535</v>
      </c>
      <c r="K11" s="294">
        <f t="shared" si="5"/>
        <v>0.551517</v>
      </c>
      <c r="L11" s="294">
        <f t="shared" si="5"/>
        <v>0.676362</v>
      </c>
      <c r="M11" s="373">
        <v>0.65625</v>
      </c>
      <c r="N11" s="374">
        <v>0.61328125</v>
      </c>
      <c r="O11" s="374">
        <v>0.53994140625</v>
      </c>
      <c r="P11" s="375">
        <v>0.50743408203125</v>
      </c>
      <c r="Q11" s="373">
        <v>0.445863342285156</v>
      </c>
      <c r="R11" s="374">
        <v>0.439096260070801</v>
      </c>
      <c r="S11" s="374">
        <v>0.443983292579651</v>
      </c>
      <c r="T11" s="375">
        <v>0.474481204152107</v>
      </c>
    </row>
    <row r="12" spans="2:20">
      <c r="B12" s="228" t="s">
        <v>19</v>
      </c>
      <c r="C12" s="236"/>
      <c r="D12" s="230"/>
      <c r="E12" s="288">
        <f>E11+E9</f>
        <v>18.045</v>
      </c>
      <c r="F12" s="289">
        <f t="shared" ref="F12:L12" si="6">F11+F9</f>
        <v>53.70994</v>
      </c>
      <c r="G12" s="289">
        <f t="shared" si="6"/>
        <v>85.740617</v>
      </c>
      <c r="H12" s="290">
        <f t="shared" si="6"/>
        <v>111.893436</v>
      </c>
      <c r="I12" s="288">
        <f t="shared" si="6"/>
        <v>141.358515</v>
      </c>
      <c r="J12" s="289">
        <f t="shared" si="6"/>
        <v>178.258535</v>
      </c>
      <c r="K12" s="289">
        <f t="shared" si="6"/>
        <v>221.158317</v>
      </c>
      <c r="L12" s="338">
        <f t="shared" si="6"/>
        <v>271.221162</v>
      </c>
      <c r="M12" s="367">
        <v>536.56125</v>
      </c>
      <c r="N12" s="368">
        <v>689.90828125</v>
      </c>
      <c r="O12" s="368">
        <v>869.33994140625</v>
      </c>
      <c r="P12" s="369">
        <v>1096.22263408203</v>
      </c>
      <c r="Q12" s="367">
        <v>1371.71628334229</v>
      </c>
      <c r="R12" s="368">
        <v>1662.20286426007</v>
      </c>
      <c r="S12" s="368">
        <v>1994.30671629258</v>
      </c>
      <c r="T12" s="369">
        <v>2310.35413020415</v>
      </c>
    </row>
    <row r="13" spans="2:20">
      <c r="B13" s="234" t="s">
        <v>20</v>
      </c>
      <c r="C13" s="235"/>
      <c r="D13" s="233"/>
      <c r="E13" s="291">
        <v>14.4</v>
      </c>
      <c r="F13" s="295">
        <v>42.8608</v>
      </c>
      <c r="G13" s="295">
        <v>68.42144</v>
      </c>
      <c r="H13" s="296">
        <v>89.29152</v>
      </c>
      <c r="I13" s="291">
        <v>112.8048</v>
      </c>
      <c r="J13" s="295">
        <v>142.2512</v>
      </c>
      <c r="K13" s="295">
        <v>176.48544</v>
      </c>
      <c r="L13" s="340">
        <v>216.43584</v>
      </c>
      <c r="M13" s="376">
        <v>423.36495</v>
      </c>
      <c r="N13" s="377">
        <v>537.6501</v>
      </c>
      <c r="O13" s="377">
        <v>668.976</v>
      </c>
      <c r="P13" s="378">
        <v>832.743552</v>
      </c>
      <c r="Q13" s="376">
        <v>1028.452815</v>
      </c>
      <c r="R13" s="377">
        <v>1229.70518832</v>
      </c>
      <c r="S13" s="377">
        <v>1455.51979509</v>
      </c>
      <c r="T13" s="378">
        <v>1663.11334728</v>
      </c>
    </row>
    <row r="14" spans="2:40">
      <c r="B14" s="234" t="s">
        <v>21</v>
      </c>
      <c r="C14" s="237"/>
      <c r="D14" s="233"/>
      <c r="E14" s="291">
        <v>2.52</v>
      </c>
      <c r="F14" s="295">
        <v>7.5658</v>
      </c>
      <c r="G14" s="295">
        <v>12.18464</v>
      </c>
      <c r="H14" s="296">
        <v>16.04457</v>
      </c>
      <c r="I14" s="291">
        <v>20.4558</v>
      </c>
      <c r="J14" s="295">
        <v>26.03705</v>
      </c>
      <c r="K14" s="295">
        <v>32.61144</v>
      </c>
      <c r="L14" s="340">
        <v>40.38279</v>
      </c>
      <c r="M14" s="376">
        <v>70.73946</v>
      </c>
      <c r="N14" s="377">
        <v>88.68929</v>
      </c>
      <c r="O14" s="377">
        <v>108.8896</v>
      </c>
      <c r="P14" s="378">
        <v>133.6772544</v>
      </c>
      <c r="Q14" s="376">
        <v>162.72408984</v>
      </c>
      <c r="R14" s="377">
        <v>191.656754576</v>
      </c>
      <c r="S14" s="377">
        <v>186.09385508</v>
      </c>
      <c r="T14" s="378">
        <v>215.58876724</v>
      </c>
      <c r="U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351"/>
      <c r="AJ14" s="351"/>
      <c r="AK14" s="351"/>
      <c r="AL14" s="351"/>
      <c r="AM14" s="351"/>
      <c r="AN14" s="351"/>
    </row>
    <row r="15" spans="2:40">
      <c r="B15" s="234" t="s">
        <v>22</v>
      </c>
      <c r="C15" s="237"/>
      <c r="D15" s="233"/>
      <c r="E15" s="291">
        <v>0.204</v>
      </c>
      <c r="F15" s="295">
        <v>0.6154</v>
      </c>
      <c r="G15" s="295">
        <v>0.99586</v>
      </c>
      <c r="H15" s="296">
        <v>1.31767</v>
      </c>
      <c r="I15" s="291">
        <v>1.6881</v>
      </c>
      <c r="J15" s="295">
        <v>2.15917</v>
      </c>
      <c r="K15" s="295">
        <v>2.71762</v>
      </c>
      <c r="L15" s="340">
        <v>3.38181</v>
      </c>
      <c r="M15" s="376">
        <v>6.07359</v>
      </c>
      <c r="N15" s="377">
        <v>7.81201</v>
      </c>
      <c r="O15" s="377">
        <v>9.8464</v>
      </c>
      <c r="P15" s="378">
        <v>12.4181056</v>
      </c>
      <c r="Q15" s="376">
        <v>15.54106476</v>
      </c>
      <c r="R15" s="377">
        <v>18.833322704</v>
      </c>
      <c r="S15" s="377">
        <v>22.597110974</v>
      </c>
      <c r="T15" s="378">
        <v>26.178636022</v>
      </c>
      <c r="U15" s="351"/>
      <c r="Y15" s="351"/>
      <c r="Z15" s="351"/>
      <c r="AA15" s="351"/>
      <c r="AB15" s="351"/>
      <c r="AC15" s="351"/>
      <c r="AD15" s="351"/>
      <c r="AE15" s="351"/>
      <c r="AF15" s="351"/>
      <c r="AG15" s="351"/>
      <c r="AH15" s="351"/>
      <c r="AI15" s="351"/>
      <c r="AJ15" s="351"/>
      <c r="AK15" s="351"/>
      <c r="AL15" s="351"/>
      <c r="AM15" s="351"/>
      <c r="AN15" s="351"/>
    </row>
    <row r="16" spans="2:40">
      <c r="B16" s="234" t="s">
        <v>23</v>
      </c>
      <c r="C16" s="237"/>
      <c r="D16" s="233"/>
      <c r="E16" s="291">
        <v>1.08</v>
      </c>
      <c r="F16" s="295">
        <v>3.2218</v>
      </c>
      <c r="G16" s="295">
        <v>5.15504</v>
      </c>
      <c r="H16" s="296">
        <v>6.74337</v>
      </c>
      <c r="I16" s="291">
        <v>8.5398</v>
      </c>
      <c r="J16" s="295">
        <v>10.79585</v>
      </c>
      <c r="K16" s="295">
        <v>13.42824</v>
      </c>
      <c r="L16" s="340">
        <v>16.51119</v>
      </c>
      <c r="M16" s="376">
        <v>27.86706</v>
      </c>
      <c r="N16" s="377">
        <v>33.54569</v>
      </c>
      <c r="O16" s="377">
        <v>39.3856</v>
      </c>
      <c r="P16" s="378">
        <v>46.0200384</v>
      </c>
      <c r="Q16" s="376">
        <v>54.8508168</v>
      </c>
      <c r="R16" s="377">
        <v>66.47055072</v>
      </c>
      <c r="S16" s="377">
        <v>53.16967288</v>
      </c>
      <c r="T16" s="378">
        <v>61.59679064</v>
      </c>
      <c r="U16" s="351"/>
      <c r="Y16" s="351"/>
      <c r="Z16" s="351"/>
      <c r="AA16" s="351"/>
      <c r="AB16" s="351"/>
      <c r="AC16" s="351"/>
      <c r="AD16" s="351"/>
      <c r="AE16" s="351"/>
      <c r="AF16" s="351"/>
      <c r="AG16" s="351"/>
      <c r="AH16" s="351"/>
      <c r="AI16" s="351"/>
      <c r="AJ16" s="351"/>
      <c r="AK16" s="351"/>
      <c r="AL16" s="351"/>
      <c r="AM16" s="351"/>
      <c r="AN16" s="351"/>
    </row>
    <row r="17" spans="2:40">
      <c r="B17" s="234" t="s">
        <v>24</v>
      </c>
      <c r="C17" s="237"/>
      <c r="D17" s="233"/>
      <c r="E17" s="291">
        <v>0.24</v>
      </c>
      <c r="F17" s="295">
        <v>0.724</v>
      </c>
      <c r="G17" s="295">
        <v>1.1716</v>
      </c>
      <c r="H17" s="296">
        <v>1.5502</v>
      </c>
      <c r="I17" s="291">
        <v>1.986</v>
      </c>
      <c r="J17" s="295">
        <v>2.5402</v>
      </c>
      <c r="K17" s="295">
        <v>3.1972</v>
      </c>
      <c r="L17" s="340">
        <v>3.9786</v>
      </c>
      <c r="M17" s="376">
        <v>7.1454</v>
      </c>
      <c r="N17" s="377">
        <v>9.1906</v>
      </c>
      <c r="O17" s="377">
        <v>11.584</v>
      </c>
      <c r="P17" s="378">
        <v>14.609536</v>
      </c>
      <c r="Q17" s="376">
        <v>18.2836056</v>
      </c>
      <c r="R17" s="377">
        <v>22.15685024</v>
      </c>
      <c r="S17" s="377">
        <v>26.58483644</v>
      </c>
      <c r="T17" s="378">
        <v>30.79839532</v>
      </c>
      <c r="U17" s="351"/>
      <c r="Y17" s="351"/>
      <c r="Z17" s="351"/>
      <c r="AA17" s="351"/>
      <c r="AB17" s="351"/>
      <c r="AC17" s="351"/>
      <c r="AD17" s="351"/>
      <c r="AE17" s="351"/>
      <c r="AF17" s="351"/>
      <c r="AG17" s="351"/>
      <c r="AH17" s="351"/>
      <c r="AI17" s="351"/>
      <c r="AJ17" s="351"/>
      <c r="AK17" s="351"/>
      <c r="AL17" s="351"/>
      <c r="AM17" s="351"/>
      <c r="AN17" s="351"/>
    </row>
    <row r="18" spans="2:40">
      <c r="B18" s="234" t="s">
        <v>25</v>
      </c>
      <c r="C18" s="237"/>
      <c r="D18" s="233"/>
      <c r="E18" s="291">
        <f>E12-SUM(E13:E17)</f>
        <v>-0.398999999999997</v>
      </c>
      <c r="F18" s="291">
        <f t="shared" ref="F18:L18" si="7">F12-SUM(F13:F17)</f>
        <v>-1.27786</v>
      </c>
      <c r="G18" s="291">
        <f t="shared" si="7"/>
        <v>-2.187963</v>
      </c>
      <c r="H18" s="291">
        <f t="shared" si="7"/>
        <v>-3.05389400000001</v>
      </c>
      <c r="I18" s="291">
        <f t="shared" si="7"/>
        <v>-4.11598499999997</v>
      </c>
      <c r="J18" s="291">
        <f t="shared" si="7"/>
        <v>-5.52493500000003</v>
      </c>
      <c r="K18" s="291">
        <f t="shared" si="7"/>
        <v>-7.28162300000002</v>
      </c>
      <c r="L18" s="291">
        <f t="shared" si="7"/>
        <v>-9.46906799999994</v>
      </c>
      <c r="M18" s="376">
        <v>1.37078999999994</v>
      </c>
      <c r="N18" s="377">
        <v>13.0205912499999</v>
      </c>
      <c r="O18" s="377">
        <v>30.6583414062501</v>
      </c>
      <c r="P18" s="378">
        <v>56.7541476820313</v>
      </c>
      <c r="Q18" s="376">
        <v>91.8638913422852</v>
      </c>
      <c r="R18" s="377">
        <v>133.380197700071</v>
      </c>
      <c r="S18" s="377">
        <v>250.34144582858</v>
      </c>
      <c r="T18" s="378">
        <v>313.078193702152</v>
      </c>
      <c r="U18" s="351"/>
      <c r="Y18" s="351"/>
      <c r="Z18" s="351"/>
      <c r="AA18" s="351"/>
      <c r="AB18" s="351"/>
      <c r="AC18" s="351"/>
      <c r="AD18" s="351"/>
      <c r="AE18" s="351"/>
      <c r="AF18" s="351"/>
      <c r="AG18" s="351"/>
      <c r="AH18" s="351"/>
      <c r="AI18" s="351"/>
      <c r="AJ18" s="351"/>
      <c r="AK18" s="351"/>
      <c r="AL18" s="351"/>
      <c r="AM18" s="351"/>
      <c r="AN18" s="351"/>
    </row>
    <row r="19" spans="2:20">
      <c r="B19" s="234"/>
      <c r="C19" s="235" t="s">
        <v>26</v>
      </c>
      <c r="D19" s="233"/>
      <c r="E19" s="297">
        <f>E18/E9</f>
        <v>-0.0221666666666665</v>
      </c>
      <c r="F19" s="292">
        <f t="shared" ref="F19:L19" si="8">F18/F9</f>
        <v>-0.0238513513513513</v>
      </c>
      <c r="G19" s="292">
        <f t="shared" si="8"/>
        <v>-0.0255821917808219</v>
      </c>
      <c r="H19" s="293">
        <f t="shared" si="8"/>
        <v>-0.0273611111111112</v>
      </c>
      <c r="I19" s="297">
        <f t="shared" si="8"/>
        <v>-0.0291901408450702</v>
      </c>
      <c r="J19" s="292">
        <f t="shared" si="8"/>
        <v>-0.0310714285714287</v>
      </c>
      <c r="K19" s="292">
        <f t="shared" si="8"/>
        <v>-0.0330072463768117</v>
      </c>
      <c r="L19" s="339">
        <f t="shared" si="8"/>
        <v>-0.0349999999999998</v>
      </c>
      <c r="M19" s="370">
        <v>0.00255789738852958</v>
      </c>
      <c r="N19" s="371">
        <v>0.0188897224700599</v>
      </c>
      <c r="O19" s="371">
        <v>0.0352881461858311</v>
      </c>
      <c r="P19" s="372">
        <v>0.0517964409748366</v>
      </c>
      <c r="Q19" s="370">
        <v>0.0669918128492009</v>
      </c>
      <c r="R19" s="371">
        <v>0.0802642350666962</v>
      </c>
      <c r="S19" s="371">
        <v>0.125556008287447</v>
      </c>
      <c r="T19" s="372">
        <v>0.135538747154074</v>
      </c>
    </row>
    <row r="20" spans="2:20">
      <c r="B20" s="234" t="s">
        <v>27</v>
      </c>
      <c r="C20" s="237"/>
      <c r="D20" s="233"/>
      <c r="E20" s="291">
        <v>3</v>
      </c>
      <c r="F20" s="295">
        <v>7</v>
      </c>
      <c r="G20" s="295">
        <v>12</v>
      </c>
      <c r="H20" s="296">
        <v>17</v>
      </c>
      <c r="I20" s="291">
        <v>28</v>
      </c>
      <c r="J20" s="295">
        <v>35</v>
      </c>
      <c r="K20" s="295">
        <v>52</v>
      </c>
      <c r="L20" s="340">
        <v>80</v>
      </c>
      <c r="M20" s="376">
        <v>88</v>
      </c>
      <c r="N20" s="377">
        <v>96.8</v>
      </c>
      <c r="O20" s="377">
        <v>106.48</v>
      </c>
      <c r="P20" s="378">
        <v>117.128</v>
      </c>
      <c r="Q20" s="376">
        <v>128.8408</v>
      </c>
      <c r="R20" s="377">
        <v>141.72488</v>
      </c>
      <c r="S20" s="377">
        <v>155.897368</v>
      </c>
      <c r="T20" s="378">
        <v>171.4871048</v>
      </c>
    </row>
    <row r="21" spans="2:20">
      <c r="B21" s="234" t="s">
        <v>28</v>
      </c>
      <c r="C21" s="237"/>
      <c r="D21" s="233"/>
      <c r="E21" s="291">
        <v>10</v>
      </c>
      <c r="F21" s="295">
        <f>E21*1.15</f>
        <v>11.5</v>
      </c>
      <c r="G21" s="295">
        <f t="shared" ref="G21:L21" si="9">F21*1.15</f>
        <v>13.225</v>
      </c>
      <c r="H21" s="296">
        <f t="shared" si="9"/>
        <v>15.20875</v>
      </c>
      <c r="I21" s="291">
        <f t="shared" si="9"/>
        <v>17.4900625</v>
      </c>
      <c r="J21" s="295">
        <f t="shared" si="9"/>
        <v>20.113571875</v>
      </c>
      <c r="K21" s="295">
        <f t="shared" si="9"/>
        <v>23.13060765625</v>
      </c>
      <c r="L21" s="340">
        <f t="shared" si="9"/>
        <v>26.6001988046875</v>
      </c>
      <c r="M21" s="376">
        <v>28.4622127210156</v>
      </c>
      <c r="N21" s="377">
        <v>30.4545676114867</v>
      </c>
      <c r="O21" s="377">
        <v>32.5863873442908</v>
      </c>
      <c r="P21" s="378">
        <v>34.8674344583911</v>
      </c>
      <c r="Q21" s="376">
        <v>37.3081548704785</v>
      </c>
      <c r="R21" s="377">
        <v>39.919725711412</v>
      </c>
      <c r="S21" s="377">
        <v>42.7141065112109</v>
      </c>
      <c r="T21" s="378">
        <v>45.7040939669956</v>
      </c>
    </row>
    <row r="22" spans="2:20">
      <c r="B22" s="234" t="s">
        <v>29</v>
      </c>
      <c r="C22" s="237"/>
      <c r="D22" s="233"/>
      <c r="E22" s="298">
        <f t="shared" ref="E22:L22" si="10">E18-E20-E21</f>
        <v>-13.399</v>
      </c>
      <c r="F22" s="299">
        <f t="shared" si="10"/>
        <v>-19.77786</v>
      </c>
      <c r="G22" s="299">
        <f t="shared" si="10"/>
        <v>-27.412963</v>
      </c>
      <c r="H22" s="300">
        <f t="shared" si="10"/>
        <v>-35.262644</v>
      </c>
      <c r="I22" s="298">
        <f t="shared" si="10"/>
        <v>-49.6060475</v>
      </c>
      <c r="J22" s="299">
        <f t="shared" si="10"/>
        <v>-60.638506875</v>
      </c>
      <c r="K22" s="299">
        <f t="shared" si="10"/>
        <v>-82.41223065625</v>
      </c>
      <c r="L22" s="341">
        <f t="shared" si="10"/>
        <v>-116.069266804687</v>
      </c>
      <c r="M22" s="379">
        <v>-115.091422721016</v>
      </c>
      <c r="N22" s="380">
        <v>-114.233976361487</v>
      </c>
      <c r="O22" s="380">
        <v>-108.408045938041</v>
      </c>
      <c r="P22" s="381">
        <v>-95.2412867763599</v>
      </c>
      <c r="Q22" s="379">
        <v>-74.2850635281933</v>
      </c>
      <c r="R22" s="380">
        <v>-48.2644080113412</v>
      </c>
      <c r="S22" s="380">
        <v>51.7299713173686</v>
      </c>
      <c r="T22" s="381">
        <v>95.8869949351564</v>
      </c>
    </row>
    <row r="23" spans="2:20">
      <c r="B23" s="234" t="s">
        <v>30</v>
      </c>
      <c r="C23" s="235"/>
      <c r="D23" s="233"/>
      <c r="E23" s="301">
        <f>IF(E22&lt;=0,0,E22*15%)</f>
        <v>0</v>
      </c>
      <c r="F23" s="302">
        <f t="shared" ref="F23:L23" si="11">IF(F22&lt;=0,0,F22*15%)</f>
        <v>0</v>
      </c>
      <c r="G23" s="302">
        <f t="shared" si="11"/>
        <v>0</v>
      </c>
      <c r="H23" s="303">
        <f t="shared" si="11"/>
        <v>0</v>
      </c>
      <c r="I23" s="301">
        <f t="shared" si="11"/>
        <v>0</v>
      </c>
      <c r="J23" s="302">
        <f t="shared" si="11"/>
        <v>0</v>
      </c>
      <c r="K23" s="302">
        <f t="shared" si="11"/>
        <v>0</v>
      </c>
      <c r="L23" s="342">
        <f t="shared" si="11"/>
        <v>0</v>
      </c>
      <c r="M23" s="382">
        <v>0</v>
      </c>
      <c r="N23" s="383">
        <v>0</v>
      </c>
      <c r="O23" s="383">
        <v>0</v>
      </c>
      <c r="P23" s="384">
        <v>0</v>
      </c>
      <c r="Q23" s="382">
        <v>0</v>
      </c>
      <c r="R23" s="383">
        <v>0</v>
      </c>
      <c r="S23" s="383">
        <v>7.7594956976053</v>
      </c>
      <c r="T23" s="384">
        <v>14.3830492402735</v>
      </c>
    </row>
    <row r="24" ht="17.55" spans="2:20">
      <c r="B24" s="238" t="s">
        <v>31</v>
      </c>
      <c r="C24" s="239"/>
      <c r="D24" s="227"/>
      <c r="E24" s="304">
        <f>E22-E23</f>
        <v>-13.399</v>
      </c>
      <c r="F24" s="305">
        <f t="shared" ref="F24:L24" si="12">F22-F23</f>
        <v>-19.77786</v>
      </c>
      <c r="G24" s="305">
        <f t="shared" si="12"/>
        <v>-27.412963</v>
      </c>
      <c r="H24" s="306">
        <f t="shared" si="12"/>
        <v>-35.262644</v>
      </c>
      <c r="I24" s="304">
        <f t="shared" si="12"/>
        <v>-49.6060475</v>
      </c>
      <c r="J24" s="305">
        <f t="shared" si="12"/>
        <v>-60.638506875</v>
      </c>
      <c r="K24" s="305">
        <f t="shared" si="12"/>
        <v>-82.41223065625</v>
      </c>
      <c r="L24" s="343">
        <f t="shared" si="12"/>
        <v>-116.069266804687</v>
      </c>
      <c r="M24" s="385">
        <v>-115.091422721016</v>
      </c>
      <c r="N24" s="386">
        <v>-114.233976361487</v>
      </c>
      <c r="O24" s="386">
        <v>-108.408045938041</v>
      </c>
      <c r="P24" s="387">
        <v>-95.2412867763599</v>
      </c>
      <c r="Q24" s="385">
        <v>-74.2850635281933</v>
      </c>
      <c r="R24" s="386">
        <v>-48.2644080113412</v>
      </c>
      <c r="S24" s="386">
        <v>43.9704756197633</v>
      </c>
      <c r="T24" s="387">
        <v>81.503945694883</v>
      </c>
    </row>
    <row r="25" spans="3:20">
      <c r="C25" s="240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</row>
    <row r="26" spans="2:20">
      <c r="B26" s="241" t="s">
        <v>32</v>
      </c>
      <c r="C26" s="240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</row>
    <row r="27" ht="17.55" spans="3:24">
      <c r="C27" s="240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X27" s="232"/>
    </row>
    <row r="28" ht="17.55" spans="2:20">
      <c r="B28" s="242" t="s">
        <v>33</v>
      </c>
      <c r="C28" s="243"/>
      <c r="D28" s="243"/>
      <c r="E28" s="309" t="str">
        <f>E3</f>
        <v>CY 2017 A</v>
      </c>
      <c r="F28" s="309"/>
      <c r="G28" s="309"/>
      <c r="H28" s="309"/>
      <c r="I28" s="309" t="str">
        <f>I3</f>
        <v>CY 2018 A</v>
      </c>
      <c r="J28" s="309"/>
      <c r="K28" s="309"/>
      <c r="L28" s="344"/>
      <c r="M28" s="388" t="s">
        <v>6</v>
      </c>
      <c r="N28" s="389"/>
      <c r="O28" s="389"/>
      <c r="P28" s="390"/>
      <c r="Q28" s="388" t="s">
        <v>7</v>
      </c>
      <c r="R28" s="389"/>
      <c r="S28" s="389"/>
      <c r="T28" s="390"/>
    </row>
    <row r="29" spans="2:20">
      <c r="B29" s="244"/>
      <c r="C29" s="245"/>
      <c r="D29" s="245"/>
      <c r="E29" s="310" t="str">
        <f t="shared" ref="E29:T29" si="13">E4</f>
        <v>Q1</v>
      </c>
      <c r="F29" s="310" t="str">
        <f t="shared" si="13"/>
        <v>Q2</v>
      </c>
      <c r="G29" s="310" t="str">
        <f t="shared" si="13"/>
        <v>Q3</v>
      </c>
      <c r="H29" s="310" t="str">
        <f t="shared" si="13"/>
        <v>Q4</v>
      </c>
      <c r="I29" s="310" t="str">
        <f t="shared" si="13"/>
        <v>Q1</v>
      </c>
      <c r="J29" s="310" t="str">
        <f t="shared" si="13"/>
        <v>Q2</v>
      </c>
      <c r="K29" s="310" t="str">
        <f t="shared" si="13"/>
        <v>Q3</v>
      </c>
      <c r="L29" s="345" t="str">
        <f t="shared" si="13"/>
        <v>Q4</v>
      </c>
      <c r="M29" s="391" t="str">
        <f t="shared" si="13"/>
        <v>Q1</v>
      </c>
      <c r="N29" s="391" t="str">
        <f t="shared" si="13"/>
        <v>Q2</v>
      </c>
      <c r="O29" s="391" t="str">
        <f t="shared" si="13"/>
        <v>Q3</v>
      </c>
      <c r="P29" s="392" t="str">
        <f t="shared" si="13"/>
        <v>Q4</v>
      </c>
      <c r="Q29" s="430" t="str">
        <f t="shared" si="13"/>
        <v>Q1</v>
      </c>
      <c r="R29" s="391" t="str">
        <f t="shared" si="13"/>
        <v>Q2</v>
      </c>
      <c r="S29" s="391" t="str">
        <f t="shared" si="13"/>
        <v>Q3</v>
      </c>
      <c r="T29" s="431" t="str">
        <f t="shared" si="13"/>
        <v>Q4</v>
      </c>
    </row>
    <row r="30" spans="2:20">
      <c r="B30" s="234" t="s">
        <v>34</v>
      </c>
      <c r="C30" s="237"/>
      <c r="D30" s="237" t="s">
        <v>35</v>
      </c>
      <c r="E30" s="299">
        <v>24</v>
      </c>
      <c r="F30" s="299">
        <v>70</v>
      </c>
      <c r="G30" s="299">
        <v>108</v>
      </c>
      <c r="H30" s="299">
        <v>136</v>
      </c>
      <c r="I30" s="299">
        <v>168</v>
      </c>
      <c r="J30" s="299">
        <v>210</v>
      </c>
      <c r="K30" s="299">
        <v>260</v>
      </c>
      <c r="L30" s="300">
        <v>320</v>
      </c>
      <c r="M30" s="393">
        <f t="shared" ref="M30:T30" si="14">M31*M32</f>
        <v>1232</v>
      </c>
      <c r="N30" s="394">
        <f t="shared" si="14"/>
        <v>1548.8</v>
      </c>
      <c r="O30" s="394">
        <f t="shared" si="14"/>
        <v>1916.64</v>
      </c>
      <c r="P30" s="395">
        <f t="shared" si="14"/>
        <v>2389.4112</v>
      </c>
      <c r="Q30" s="432">
        <f t="shared" si="14"/>
        <v>2963.3384</v>
      </c>
      <c r="R30" s="394">
        <f t="shared" si="14"/>
        <v>3543.122</v>
      </c>
      <c r="S30" s="394">
        <f t="shared" si="14"/>
        <v>4209.228936</v>
      </c>
      <c r="T30" s="433">
        <f t="shared" si="14"/>
        <v>4801.6389344</v>
      </c>
    </row>
    <row r="31" spans="2:20">
      <c r="B31" s="234" t="s">
        <v>36</v>
      </c>
      <c r="C31" s="237"/>
      <c r="D31" s="237" t="s">
        <v>35</v>
      </c>
      <c r="E31" s="299">
        <f>E20</f>
        <v>3</v>
      </c>
      <c r="F31" s="299">
        <f t="shared" ref="F31:T31" si="15">F20</f>
        <v>7</v>
      </c>
      <c r="G31" s="299">
        <f t="shared" si="15"/>
        <v>12</v>
      </c>
      <c r="H31" s="299">
        <f t="shared" si="15"/>
        <v>17</v>
      </c>
      <c r="I31" s="299">
        <f t="shared" si="15"/>
        <v>28</v>
      </c>
      <c r="J31" s="299">
        <f t="shared" si="15"/>
        <v>35</v>
      </c>
      <c r="K31" s="299">
        <f t="shared" si="15"/>
        <v>52</v>
      </c>
      <c r="L31" s="300">
        <f t="shared" si="15"/>
        <v>80</v>
      </c>
      <c r="M31" s="394">
        <f t="shared" ref="M31:T31" si="16">M20*2</f>
        <v>176</v>
      </c>
      <c r="N31" s="394">
        <f t="shared" si="16"/>
        <v>193.6</v>
      </c>
      <c r="O31" s="394">
        <f t="shared" si="16"/>
        <v>212.96</v>
      </c>
      <c r="P31" s="395">
        <f t="shared" si="16"/>
        <v>234.256</v>
      </c>
      <c r="Q31" s="432">
        <f t="shared" si="16"/>
        <v>257.6816</v>
      </c>
      <c r="R31" s="394">
        <f t="shared" si="16"/>
        <v>283.44976</v>
      </c>
      <c r="S31" s="394">
        <f t="shared" si="16"/>
        <v>311.794736</v>
      </c>
      <c r="T31" s="433">
        <f t="shared" si="16"/>
        <v>342.9742096</v>
      </c>
    </row>
    <row r="32" spans="2:20">
      <c r="B32" s="234" t="s">
        <v>37</v>
      </c>
      <c r="C32" s="237"/>
      <c r="D32" s="237" t="s">
        <v>38</v>
      </c>
      <c r="E32" s="311">
        <v>8</v>
      </c>
      <c r="F32" s="311">
        <v>10</v>
      </c>
      <c r="G32" s="311">
        <v>9</v>
      </c>
      <c r="H32" s="311">
        <v>8</v>
      </c>
      <c r="I32" s="311">
        <v>6</v>
      </c>
      <c r="J32" s="311">
        <v>6</v>
      </c>
      <c r="K32" s="311">
        <v>5</v>
      </c>
      <c r="L32" s="346">
        <v>4</v>
      </c>
      <c r="M32" s="396">
        <v>7</v>
      </c>
      <c r="N32" s="397">
        <v>8</v>
      </c>
      <c r="O32" s="397">
        <v>9</v>
      </c>
      <c r="P32" s="398">
        <v>10.2</v>
      </c>
      <c r="Q32" s="434">
        <v>11.5</v>
      </c>
      <c r="R32" s="397">
        <v>12.5</v>
      </c>
      <c r="S32" s="397">
        <v>13.5</v>
      </c>
      <c r="T32" s="435">
        <v>14</v>
      </c>
    </row>
    <row r="33" ht="17.55" spans="2:22">
      <c r="B33" s="238" t="s">
        <v>39</v>
      </c>
      <c r="C33" s="246"/>
      <c r="D33" s="246" t="s">
        <v>40</v>
      </c>
      <c r="E33" s="312">
        <v>1</v>
      </c>
      <c r="F33" s="312">
        <v>0.1</v>
      </c>
      <c r="G33" s="312">
        <v>0.09</v>
      </c>
      <c r="H33" s="312">
        <v>0.08</v>
      </c>
      <c r="I33" s="312">
        <v>0.07</v>
      </c>
      <c r="J33" s="312">
        <v>0.06</v>
      </c>
      <c r="K33" s="312">
        <v>0.04</v>
      </c>
      <c r="L33" s="347">
        <v>0.03</v>
      </c>
      <c r="M33" s="399">
        <v>1</v>
      </c>
      <c r="N33" s="399">
        <v>0.1</v>
      </c>
      <c r="O33" s="399">
        <v>0.09</v>
      </c>
      <c r="P33" s="400">
        <v>0.08</v>
      </c>
      <c r="Q33" s="436">
        <v>0.07</v>
      </c>
      <c r="R33" s="399">
        <v>0.06</v>
      </c>
      <c r="S33" s="399">
        <v>0.04</v>
      </c>
      <c r="T33" s="437">
        <v>0.03</v>
      </c>
      <c r="V33" s="446"/>
    </row>
    <row r="34" hidden="1" spans="5:20"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</row>
    <row r="35" ht="17.55" hidden="1" spans="13:20">
      <c r="M35" s="313"/>
      <c r="N35" s="313"/>
      <c r="O35" s="313"/>
      <c r="P35" s="313"/>
      <c r="Q35" s="313"/>
      <c r="R35" s="313"/>
      <c r="S35" s="313"/>
      <c r="T35" s="313"/>
    </row>
    <row r="36" ht="17.55" spans="2:20">
      <c r="B36" s="247" t="s">
        <v>41</v>
      </c>
      <c r="C36" s="248"/>
      <c r="D36" s="249"/>
      <c r="E36" s="314" t="str">
        <f>E28</f>
        <v>CY 2017 A</v>
      </c>
      <c r="F36" s="309"/>
      <c r="G36" s="309"/>
      <c r="H36" s="309"/>
      <c r="I36" s="309" t="str">
        <f>I28</f>
        <v>CY 2018 A</v>
      </c>
      <c r="J36" s="309"/>
      <c r="K36" s="309"/>
      <c r="L36" s="344"/>
      <c r="M36" s="401" t="str">
        <f>M28</f>
        <v>CY 2019 E</v>
      </c>
      <c r="N36" s="402"/>
      <c r="O36" s="402"/>
      <c r="P36" s="403"/>
      <c r="Q36" s="438" t="str">
        <f>Q28</f>
        <v>CY 2020 E</v>
      </c>
      <c r="R36" s="402"/>
      <c r="S36" s="402"/>
      <c r="T36" s="439"/>
    </row>
    <row r="37" ht="17.55" spans="2:20">
      <c r="B37" s="250"/>
      <c r="C37" s="251"/>
      <c r="D37" s="252"/>
      <c r="E37" s="315" t="str">
        <f t="shared" ref="E37:T37" si="17">E4</f>
        <v>Q1</v>
      </c>
      <c r="F37" s="316" t="str">
        <f t="shared" si="17"/>
        <v>Q2</v>
      </c>
      <c r="G37" s="316" t="str">
        <f t="shared" si="17"/>
        <v>Q3</v>
      </c>
      <c r="H37" s="317" t="str">
        <f t="shared" si="17"/>
        <v>Q4</v>
      </c>
      <c r="I37" s="316" t="str">
        <f t="shared" si="17"/>
        <v>Q1</v>
      </c>
      <c r="J37" s="316" t="str">
        <f t="shared" si="17"/>
        <v>Q2</v>
      </c>
      <c r="K37" s="316" t="str">
        <f t="shared" si="17"/>
        <v>Q3</v>
      </c>
      <c r="L37" s="317" t="str">
        <f t="shared" si="17"/>
        <v>Q4</v>
      </c>
      <c r="M37" s="404" t="str">
        <f t="shared" si="17"/>
        <v>Q1</v>
      </c>
      <c r="N37" s="405" t="str">
        <f t="shared" si="17"/>
        <v>Q2</v>
      </c>
      <c r="O37" s="405" t="str">
        <f t="shared" si="17"/>
        <v>Q3</v>
      </c>
      <c r="P37" s="406" t="str">
        <f t="shared" si="17"/>
        <v>Q4</v>
      </c>
      <c r="Q37" s="405" t="str">
        <f t="shared" si="17"/>
        <v>Q1</v>
      </c>
      <c r="R37" s="405" t="str">
        <f t="shared" si="17"/>
        <v>Q2</v>
      </c>
      <c r="S37" s="405" t="str">
        <f t="shared" si="17"/>
        <v>Q3</v>
      </c>
      <c r="T37" s="406" t="str">
        <f t="shared" si="17"/>
        <v>Q4</v>
      </c>
    </row>
    <row r="38" spans="2:22">
      <c r="B38" s="253" t="s">
        <v>39</v>
      </c>
      <c r="C38" s="254"/>
      <c r="D38" s="255"/>
      <c r="E38" s="318">
        <f t="shared" ref="E38:T38" si="18">E33</f>
        <v>1</v>
      </c>
      <c r="F38" s="319">
        <f t="shared" si="18"/>
        <v>0.1</v>
      </c>
      <c r="G38" s="319">
        <f t="shared" si="18"/>
        <v>0.09</v>
      </c>
      <c r="H38" s="320">
        <f t="shared" si="18"/>
        <v>0.08</v>
      </c>
      <c r="I38" s="319">
        <f t="shared" si="18"/>
        <v>0.07</v>
      </c>
      <c r="J38" s="319">
        <f t="shared" si="18"/>
        <v>0.06</v>
      </c>
      <c r="K38" s="319">
        <f t="shared" si="18"/>
        <v>0.04</v>
      </c>
      <c r="L38" s="320">
        <f t="shared" si="18"/>
        <v>0.03</v>
      </c>
      <c r="M38" s="407">
        <f t="shared" si="18"/>
        <v>1</v>
      </c>
      <c r="N38" s="408">
        <f t="shared" si="18"/>
        <v>0.1</v>
      </c>
      <c r="O38" s="408">
        <f t="shared" si="18"/>
        <v>0.09</v>
      </c>
      <c r="P38" s="409">
        <f t="shared" si="18"/>
        <v>0.08</v>
      </c>
      <c r="Q38" s="408">
        <f t="shared" si="18"/>
        <v>0.07</v>
      </c>
      <c r="R38" s="408">
        <f t="shared" si="18"/>
        <v>0.06</v>
      </c>
      <c r="S38" s="408">
        <f t="shared" si="18"/>
        <v>0.04</v>
      </c>
      <c r="T38" s="409">
        <f t="shared" si="18"/>
        <v>0.03</v>
      </c>
      <c r="V38" s="446"/>
    </row>
    <row r="39" spans="2:20">
      <c r="B39" s="250"/>
      <c r="C39" s="251"/>
      <c r="D39" s="256" t="s">
        <v>8</v>
      </c>
      <c r="E39" s="321">
        <f t="shared" ref="E39:T39" si="19">$E$30*E38</f>
        <v>24</v>
      </c>
      <c r="F39" s="322">
        <f t="shared" si="19"/>
        <v>2.4</v>
      </c>
      <c r="G39" s="322">
        <f t="shared" si="19"/>
        <v>2.16</v>
      </c>
      <c r="H39" s="323">
        <f t="shared" si="19"/>
        <v>1.92</v>
      </c>
      <c r="I39" s="322">
        <f t="shared" si="19"/>
        <v>1.68</v>
      </c>
      <c r="J39" s="322">
        <f t="shared" si="19"/>
        <v>1.44</v>
      </c>
      <c r="K39" s="322">
        <f t="shared" si="19"/>
        <v>0.96</v>
      </c>
      <c r="L39" s="323">
        <f t="shared" si="19"/>
        <v>0.72</v>
      </c>
      <c r="M39" s="410"/>
      <c r="N39" s="411"/>
      <c r="O39" s="411"/>
      <c r="P39" s="412"/>
      <c r="Q39" s="411"/>
      <c r="R39" s="411"/>
      <c r="S39" s="411"/>
      <c r="T39" s="412"/>
    </row>
    <row r="40" spans="2:20">
      <c r="B40" s="250"/>
      <c r="C40" s="251"/>
      <c r="D40" s="256" t="s">
        <v>9</v>
      </c>
      <c r="E40" s="321"/>
      <c r="F40" s="322">
        <f t="shared" ref="F40:L40" si="20">$F$30*E38</f>
        <v>70</v>
      </c>
      <c r="G40" s="322">
        <f t="shared" si="20"/>
        <v>7</v>
      </c>
      <c r="H40" s="323">
        <f t="shared" si="20"/>
        <v>6.3</v>
      </c>
      <c r="I40" s="322">
        <f t="shared" si="20"/>
        <v>5.6</v>
      </c>
      <c r="J40" s="322">
        <f t="shared" si="20"/>
        <v>4.9</v>
      </c>
      <c r="K40" s="322">
        <f t="shared" si="20"/>
        <v>4.2</v>
      </c>
      <c r="L40" s="323">
        <f t="shared" si="20"/>
        <v>2.8</v>
      </c>
      <c r="M40" s="410">
        <f>F40*L38</f>
        <v>2.1</v>
      </c>
      <c r="N40" s="411"/>
      <c r="O40" s="411"/>
      <c r="P40" s="412"/>
      <c r="Q40" s="411"/>
      <c r="R40" s="411"/>
      <c r="S40" s="411"/>
      <c r="T40" s="412"/>
    </row>
    <row r="41" spans="2:20">
      <c r="B41" s="250"/>
      <c r="C41" s="251"/>
      <c r="D41" s="256" t="s">
        <v>10</v>
      </c>
      <c r="E41" s="321"/>
      <c r="F41" s="322"/>
      <c r="G41" s="322">
        <f t="shared" ref="G41:L41" si="21">$G$30*E38</f>
        <v>108</v>
      </c>
      <c r="H41" s="323">
        <f t="shared" si="21"/>
        <v>10.8</v>
      </c>
      <c r="I41" s="322">
        <f t="shared" si="21"/>
        <v>9.72</v>
      </c>
      <c r="J41" s="322">
        <f t="shared" si="21"/>
        <v>8.64</v>
      </c>
      <c r="K41" s="322">
        <f t="shared" si="21"/>
        <v>7.56</v>
      </c>
      <c r="L41" s="323">
        <f t="shared" si="21"/>
        <v>6.48</v>
      </c>
      <c r="M41" s="410">
        <f>G41*K38</f>
        <v>4.32</v>
      </c>
      <c r="N41" s="411">
        <f>G41*L38</f>
        <v>3.24</v>
      </c>
      <c r="O41" s="411"/>
      <c r="P41" s="412"/>
      <c r="Q41" s="411"/>
      <c r="R41" s="411"/>
      <c r="S41" s="411"/>
      <c r="T41" s="412"/>
    </row>
    <row r="42" spans="2:20">
      <c r="B42" s="250"/>
      <c r="C42" s="251"/>
      <c r="D42" s="256" t="s">
        <v>11</v>
      </c>
      <c r="E42" s="321"/>
      <c r="F42" s="322"/>
      <c r="G42" s="322"/>
      <c r="H42" s="323">
        <f>$H$30*E38</f>
        <v>136</v>
      </c>
      <c r="I42" s="322">
        <f>$H$30*F38</f>
        <v>13.6</v>
      </c>
      <c r="J42" s="322">
        <f>$H$30*G38</f>
        <v>12.24</v>
      </c>
      <c r="K42" s="322">
        <f>$H$30*H38</f>
        <v>10.88</v>
      </c>
      <c r="L42" s="323">
        <f>$H$30*I38</f>
        <v>9.52</v>
      </c>
      <c r="M42" s="410">
        <f>H42*J38</f>
        <v>8.16</v>
      </c>
      <c r="N42" s="411">
        <f>H42*K38</f>
        <v>5.44</v>
      </c>
      <c r="O42" s="411">
        <f>H42*L38</f>
        <v>4.08</v>
      </c>
      <c r="P42" s="412"/>
      <c r="Q42" s="411"/>
      <c r="R42" s="411"/>
      <c r="S42" s="411"/>
      <c r="T42" s="412"/>
    </row>
    <row r="43" spans="2:20">
      <c r="B43" s="250"/>
      <c r="C43" s="251"/>
      <c r="D43" s="256" t="s">
        <v>8</v>
      </c>
      <c r="E43" s="321"/>
      <c r="F43" s="322"/>
      <c r="G43" s="322"/>
      <c r="H43" s="323"/>
      <c r="I43" s="322">
        <f>$I$30*E38</f>
        <v>168</v>
      </c>
      <c r="J43" s="322">
        <f>$I$30*F38</f>
        <v>16.8</v>
      </c>
      <c r="K43" s="322">
        <f>$I$30*G38</f>
        <v>15.12</v>
      </c>
      <c r="L43" s="323">
        <f>$I$30*H38</f>
        <v>13.44</v>
      </c>
      <c r="M43" s="410">
        <f>I43*I38</f>
        <v>11.76</v>
      </c>
      <c r="N43" s="411">
        <f>I43*J38</f>
        <v>10.08</v>
      </c>
      <c r="O43" s="411">
        <f>I43*K38</f>
        <v>6.72</v>
      </c>
      <c r="P43" s="412">
        <f>I43*L38</f>
        <v>5.04</v>
      </c>
      <c r="Q43" s="411"/>
      <c r="R43" s="411"/>
      <c r="S43" s="411"/>
      <c r="T43" s="412"/>
    </row>
    <row r="44" spans="2:20">
      <c r="B44" s="250"/>
      <c r="C44" s="251"/>
      <c r="D44" s="256" t="s">
        <v>9</v>
      </c>
      <c r="E44" s="321"/>
      <c r="F44" s="322"/>
      <c r="G44" s="322"/>
      <c r="H44" s="323"/>
      <c r="I44" s="322"/>
      <c r="J44" s="322">
        <f>$J$30*E38</f>
        <v>210</v>
      </c>
      <c r="K44" s="322">
        <f>$J$30*F38</f>
        <v>21</v>
      </c>
      <c r="L44" s="323">
        <f>$J$30*G38</f>
        <v>18.9</v>
      </c>
      <c r="M44" s="410">
        <f t="shared" ref="M44:T44" si="22">$J$44*H38</f>
        <v>16.8</v>
      </c>
      <c r="N44" s="411">
        <f t="shared" si="22"/>
        <v>14.7</v>
      </c>
      <c r="O44" s="411">
        <f t="shared" si="22"/>
        <v>12.6</v>
      </c>
      <c r="P44" s="412">
        <f t="shared" si="22"/>
        <v>8.4</v>
      </c>
      <c r="Q44" s="411">
        <f t="shared" si="22"/>
        <v>6.3</v>
      </c>
      <c r="R44" s="411"/>
      <c r="S44" s="411"/>
      <c r="T44" s="412"/>
    </row>
    <row r="45" spans="2:20">
      <c r="B45" s="250"/>
      <c r="C45" s="251"/>
      <c r="D45" s="256" t="s">
        <v>10</v>
      </c>
      <c r="E45" s="321"/>
      <c r="F45" s="322"/>
      <c r="G45" s="322"/>
      <c r="H45" s="323"/>
      <c r="I45" s="322"/>
      <c r="J45" s="322"/>
      <c r="K45" s="322">
        <f t="shared" ref="K45:S45" si="23">$K$30*E38</f>
        <v>260</v>
      </c>
      <c r="L45" s="323">
        <f t="shared" si="23"/>
        <v>26</v>
      </c>
      <c r="M45" s="411">
        <f t="shared" si="23"/>
        <v>23.4</v>
      </c>
      <c r="N45" s="411">
        <f t="shared" si="23"/>
        <v>20.8</v>
      </c>
      <c r="O45" s="411">
        <f t="shared" si="23"/>
        <v>18.2</v>
      </c>
      <c r="P45" s="412">
        <f t="shared" si="23"/>
        <v>15.6</v>
      </c>
      <c r="Q45" s="411">
        <f t="shared" si="23"/>
        <v>10.4</v>
      </c>
      <c r="R45" s="411">
        <f t="shared" si="23"/>
        <v>7.8</v>
      </c>
      <c r="S45" s="411"/>
      <c r="T45" s="412"/>
    </row>
    <row r="46" spans="2:20">
      <c r="B46" s="250"/>
      <c r="C46" s="251"/>
      <c r="D46" s="256" t="s">
        <v>11</v>
      </c>
      <c r="E46" s="321"/>
      <c r="F46" s="322"/>
      <c r="G46" s="322"/>
      <c r="H46" s="323"/>
      <c r="I46" s="322"/>
      <c r="J46" s="322"/>
      <c r="K46" s="322"/>
      <c r="L46" s="323">
        <f t="shared" ref="L46:S46" si="24">$L$30*E38</f>
        <v>320</v>
      </c>
      <c r="M46" s="411">
        <f t="shared" si="24"/>
        <v>32</v>
      </c>
      <c r="N46" s="411">
        <f t="shared" si="24"/>
        <v>28.8</v>
      </c>
      <c r="O46" s="411">
        <f t="shared" si="24"/>
        <v>25.6</v>
      </c>
      <c r="P46" s="412">
        <f t="shared" si="24"/>
        <v>22.4</v>
      </c>
      <c r="Q46" s="411">
        <f t="shared" si="24"/>
        <v>19.2</v>
      </c>
      <c r="R46" s="411">
        <f t="shared" si="24"/>
        <v>12.8</v>
      </c>
      <c r="S46" s="411">
        <f t="shared" si="24"/>
        <v>9.6</v>
      </c>
      <c r="T46" s="412"/>
    </row>
    <row r="47" spans="2:21">
      <c r="B47" s="250"/>
      <c r="C47" s="251"/>
      <c r="D47" s="256" t="s">
        <v>8</v>
      </c>
      <c r="E47" s="321"/>
      <c r="F47" s="322"/>
      <c r="G47" s="322"/>
      <c r="H47" s="323"/>
      <c r="I47" s="322"/>
      <c r="J47" s="322"/>
      <c r="K47" s="322"/>
      <c r="L47" s="323"/>
      <c r="M47" s="410">
        <f t="shared" ref="M47:T47" si="25">$M$30*M38</f>
        <v>1232</v>
      </c>
      <c r="N47" s="411">
        <f t="shared" si="25"/>
        <v>123.2</v>
      </c>
      <c r="O47" s="411">
        <f t="shared" si="25"/>
        <v>110.88</v>
      </c>
      <c r="P47" s="412">
        <f t="shared" si="25"/>
        <v>98.56</v>
      </c>
      <c r="Q47" s="411">
        <f t="shared" si="25"/>
        <v>86.24</v>
      </c>
      <c r="R47" s="411">
        <f t="shared" si="25"/>
        <v>73.92</v>
      </c>
      <c r="S47" s="411">
        <f t="shared" si="25"/>
        <v>49.28</v>
      </c>
      <c r="T47" s="411">
        <f t="shared" si="25"/>
        <v>36.96</v>
      </c>
      <c r="U47" s="447"/>
    </row>
    <row r="48" spans="2:22">
      <c r="B48" s="250"/>
      <c r="C48" s="251"/>
      <c r="D48" s="256" t="s">
        <v>9</v>
      </c>
      <c r="E48" s="321"/>
      <c r="F48" s="322"/>
      <c r="G48" s="322"/>
      <c r="H48" s="323"/>
      <c r="I48" s="322"/>
      <c r="J48" s="322"/>
      <c r="K48" s="322"/>
      <c r="L48" s="323"/>
      <c r="M48" s="410"/>
      <c r="N48" s="411">
        <f t="shared" ref="N48:T48" si="26">$N$30*M38</f>
        <v>1548.8</v>
      </c>
      <c r="O48" s="411">
        <f t="shared" si="26"/>
        <v>154.88</v>
      </c>
      <c r="P48" s="412">
        <f t="shared" si="26"/>
        <v>139.392</v>
      </c>
      <c r="Q48" s="411">
        <f t="shared" si="26"/>
        <v>123.904</v>
      </c>
      <c r="R48" s="411">
        <f t="shared" si="26"/>
        <v>108.416</v>
      </c>
      <c r="S48" s="411">
        <f t="shared" si="26"/>
        <v>92.928</v>
      </c>
      <c r="T48" s="411">
        <f t="shared" si="26"/>
        <v>61.952</v>
      </c>
      <c r="U48" s="447"/>
      <c r="V48" s="446"/>
    </row>
    <row r="49" spans="2:21">
      <c r="B49" s="250"/>
      <c r="C49" s="251"/>
      <c r="D49" s="256" t="s">
        <v>10</v>
      </c>
      <c r="E49" s="321"/>
      <c r="F49" s="322"/>
      <c r="G49" s="322"/>
      <c r="H49" s="323"/>
      <c r="I49" s="322"/>
      <c r="J49" s="322"/>
      <c r="K49" s="322"/>
      <c r="L49" s="323"/>
      <c r="M49" s="410"/>
      <c r="N49" s="411"/>
      <c r="O49" s="411">
        <f t="shared" ref="O49:T49" si="27">$O$30*M38</f>
        <v>1916.64</v>
      </c>
      <c r="P49" s="412">
        <f t="shared" si="27"/>
        <v>191.664</v>
      </c>
      <c r="Q49" s="411">
        <f t="shared" si="27"/>
        <v>172.4976</v>
      </c>
      <c r="R49" s="411">
        <f t="shared" si="27"/>
        <v>153.3312</v>
      </c>
      <c r="S49" s="411">
        <f t="shared" si="27"/>
        <v>134.1648</v>
      </c>
      <c r="T49" s="411">
        <f t="shared" si="27"/>
        <v>114.9984</v>
      </c>
      <c r="U49" s="447"/>
    </row>
    <row r="50" spans="2:20">
      <c r="B50" s="250"/>
      <c r="C50" s="251"/>
      <c r="D50" s="256" t="s">
        <v>11</v>
      </c>
      <c r="E50" s="321"/>
      <c r="F50" s="322"/>
      <c r="G50" s="322"/>
      <c r="H50" s="323"/>
      <c r="I50" s="322"/>
      <c r="J50" s="322"/>
      <c r="K50" s="322"/>
      <c r="L50" s="323"/>
      <c r="M50" s="410"/>
      <c r="N50" s="411"/>
      <c r="O50" s="411"/>
      <c r="P50" s="412">
        <f t="shared" ref="P50:T50" si="28">$P$30*M38</f>
        <v>2389.4112</v>
      </c>
      <c r="Q50" s="411">
        <f t="shared" si="28"/>
        <v>238.94112</v>
      </c>
      <c r="R50" s="411">
        <f t="shared" si="28"/>
        <v>215.047008</v>
      </c>
      <c r="S50" s="411">
        <f t="shared" si="28"/>
        <v>191.152896</v>
      </c>
      <c r="T50" s="412">
        <f t="shared" si="28"/>
        <v>167.258784</v>
      </c>
    </row>
    <row r="51" spans="2:21">
      <c r="B51" s="250"/>
      <c r="C51" s="251"/>
      <c r="D51" s="256" t="s">
        <v>8</v>
      </c>
      <c r="E51" s="321"/>
      <c r="F51" s="322"/>
      <c r="G51" s="322"/>
      <c r="H51" s="323"/>
      <c r="I51" s="322"/>
      <c r="J51" s="322"/>
      <c r="K51" s="322"/>
      <c r="L51" s="323"/>
      <c r="M51" s="410"/>
      <c r="N51" s="411"/>
      <c r="O51" s="411"/>
      <c r="P51" s="412"/>
      <c r="Q51" s="411">
        <f t="shared" ref="Q51:T51" si="29">$Q$30*M38</f>
        <v>2963.3384</v>
      </c>
      <c r="R51" s="411">
        <f t="shared" si="29"/>
        <v>296.33384</v>
      </c>
      <c r="S51" s="411">
        <f t="shared" si="29"/>
        <v>266.700456</v>
      </c>
      <c r="T51" s="411">
        <f t="shared" si="29"/>
        <v>237.067072</v>
      </c>
      <c r="U51" s="447"/>
    </row>
    <row r="52" spans="2:21">
      <c r="B52" s="250"/>
      <c r="C52" s="251"/>
      <c r="D52" s="256" t="s">
        <v>9</v>
      </c>
      <c r="E52" s="321"/>
      <c r="F52" s="322"/>
      <c r="G52" s="322"/>
      <c r="H52" s="323"/>
      <c r="I52" s="322"/>
      <c r="J52" s="322"/>
      <c r="K52" s="322"/>
      <c r="L52" s="323"/>
      <c r="M52" s="410"/>
      <c r="N52" s="411"/>
      <c r="O52" s="411"/>
      <c r="P52" s="412"/>
      <c r="Q52" s="411"/>
      <c r="R52" s="411">
        <f t="shared" ref="R52:T52" si="30">$R$30*M38</f>
        <v>3543.122</v>
      </c>
      <c r="S52" s="411">
        <f t="shared" si="30"/>
        <v>354.3122</v>
      </c>
      <c r="T52" s="411">
        <f t="shared" si="30"/>
        <v>318.88098</v>
      </c>
      <c r="U52" s="447"/>
    </row>
    <row r="53" spans="2:21">
      <c r="B53" s="250"/>
      <c r="C53" s="251"/>
      <c r="D53" s="256" t="s">
        <v>10</v>
      </c>
      <c r="E53" s="321"/>
      <c r="F53" s="322"/>
      <c r="G53" s="322"/>
      <c r="H53" s="323"/>
      <c r="I53" s="322"/>
      <c r="J53" s="322"/>
      <c r="K53" s="322"/>
      <c r="L53" s="323"/>
      <c r="M53" s="410"/>
      <c r="N53" s="411"/>
      <c r="O53" s="411"/>
      <c r="P53" s="412"/>
      <c r="Q53" s="411"/>
      <c r="R53" s="411"/>
      <c r="S53" s="411">
        <f>$S$30*M38</f>
        <v>4209.228936</v>
      </c>
      <c r="T53" s="411">
        <f>$S$30*N38</f>
        <v>420.9228936</v>
      </c>
      <c r="U53" s="447"/>
    </row>
    <row r="54" ht="17.55" spans="2:20">
      <c r="B54" s="250"/>
      <c r="C54" s="251"/>
      <c r="D54" s="256" t="s">
        <v>11</v>
      </c>
      <c r="E54" s="321"/>
      <c r="F54" s="322"/>
      <c r="G54" s="322"/>
      <c r="H54" s="323"/>
      <c r="I54" s="322"/>
      <c r="J54" s="322"/>
      <c r="K54" s="322"/>
      <c r="L54" s="323"/>
      <c r="M54" s="410"/>
      <c r="N54" s="411"/>
      <c r="O54" s="411"/>
      <c r="P54" s="412"/>
      <c r="Q54" s="411"/>
      <c r="R54" s="411"/>
      <c r="S54" s="411"/>
      <c r="T54" s="412">
        <f>$T$30*M38</f>
        <v>4801.6389344</v>
      </c>
    </row>
    <row r="55" ht="17.55" spans="2:20">
      <c r="B55" s="257"/>
      <c r="C55" s="258"/>
      <c r="D55" s="259" t="s">
        <v>42</v>
      </c>
      <c r="E55" s="324">
        <f>SUM(E39:E46)</f>
        <v>24</v>
      </c>
      <c r="F55" s="325">
        <f t="shared" ref="F55:T55" si="31">SUM(F39:F46)</f>
        <v>72.4</v>
      </c>
      <c r="G55" s="325">
        <f t="shared" si="31"/>
        <v>117.16</v>
      </c>
      <c r="H55" s="326">
        <f t="shared" si="31"/>
        <v>155.02</v>
      </c>
      <c r="I55" s="325">
        <f t="shared" si="31"/>
        <v>198.6</v>
      </c>
      <c r="J55" s="325">
        <f t="shared" si="31"/>
        <v>254.02</v>
      </c>
      <c r="K55" s="325">
        <f t="shared" si="31"/>
        <v>319.72</v>
      </c>
      <c r="L55" s="326">
        <f t="shared" si="31"/>
        <v>397.86</v>
      </c>
      <c r="M55" s="413">
        <f t="shared" ref="M55:O55" si="32">SUM(M39:M54)</f>
        <v>1330.54</v>
      </c>
      <c r="N55" s="414">
        <f t="shared" si="32"/>
        <v>1755.06</v>
      </c>
      <c r="O55" s="414">
        <f t="shared" si="32"/>
        <v>2249.6</v>
      </c>
      <c r="P55" s="415">
        <f t="shared" ref="P55:T55" si="33">SUM(P39:P54)</f>
        <v>2870.4672</v>
      </c>
      <c r="Q55" s="413">
        <f t="shared" si="33"/>
        <v>3620.82112</v>
      </c>
      <c r="R55" s="414">
        <f t="shared" si="33"/>
        <v>4410.770048</v>
      </c>
      <c r="S55" s="414">
        <f t="shared" si="33"/>
        <v>5307.367288</v>
      </c>
      <c r="T55" s="415">
        <f t="shared" si="33"/>
        <v>6159.679064</v>
      </c>
    </row>
    <row r="56" spans="5:20"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</row>
    <row r="57" ht="17.55" spans="5:20"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</row>
    <row r="58" ht="17.55" spans="2:20">
      <c r="B58" s="260" t="s">
        <v>43</v>
      </c>
      <c r="C58" s="261"/>
      <c r="D58" s="262"/>
      <c r="E58" s="328" t="str">
        <f>E28</f>
        <v>CY 2017 A</v>
      </c>
      <c r="F58" s="316"/>
      <c r="G58" s="316"/>
      <c r="H58" s="314"/>
      <c r="I58" s="328" t="str">
        <f>I28</f>
        <v>CY 2018 A</v>
      </c>
      <c r="J58" s="316"/>
      <c r="K58" s="316"/>
      <c r="L58" s="317"/>
      <c r="M58" s="416" t="str">
        <f>M3</f>
        <v>CY 2019 E</v>
      </c>
      <c r="N58" s="417"/>
      <c r="O58" s="417"/>
      <c r="P58" s="418"/>
      <c r="Q58" s="440" t="str">
        <f>Q3</f>
        <v>CY 2020 E</v>
      </c>
      <c r="R58" s="417"/>
      <c r="S58" s="417"/>
      <c r="T58" s="441"/>
    </row>
    <row r="59" ht="17.55" spans="2:20">
      <c r="B59" s="263"/>
      <c r="C59" s="264"/>
      <c r="D59" s="265"/>
      <c r="E59" s="329" t="str">
        <f t="shared" ref="E59:L59" si="34">E29</f>
        <v>Q1</v>
      </c>
      <c r="F59" s="329" t="str">
        <f t="shared" si="34"/>
        <v>Q2</v>
      </c>
      <c r="G59" s="329" t="str">
        <f t="shared" si="34"/>
        <v>Q3</v>
      </c>
      <c r="H59" s="329" t="str">
        <f t="shared" si="34"/>
        <v>Q4</v>
      </c>
      <c r="I59" s="329" t="str">
        <f t="shared" si="34"/>
        <v>Q1</v>
      </c>
      <c r="J59" s="329" t="str">
        <f t="shared" si="34"/>
        <v>Q2</v>
      </c>
      <c r="K59" s="329" t="str">
        <f t="shared" si="34"/>
        <v>Q3</v>
      </c>
      <c r="L59" s="348" t="str">
        <f t="shared" si="34"/>
        <v>Q4</v>
      </c>
      <c r="M59" s="419" t="str">
        <f>E59</f>
        <v>Q1</v>
      </c>
      <c r="N59" s="420" t="str">
        <f t="shared" ref="N59:T59" si="35">F59</f>
        <v>Q2</v>
      </c>
      <c r="O59" s="420" t="str">
        <f t="shared" si="35"/>
        <v>Q3</v>
      </c>
      <c r="P59" s="420" t="str">
        <f t="shared" si="35"/>
        <v>Q4</v>
      </c>
      <c r="Q59" s="420" t="str">
        <f t="shared" si="35"/>
        <v>Q1</v>
      </c>
      <c r="R59" s="420" t="str">
        <f t="shared" si="35"/>
        <v>Q2</v>
      </c>
      <c r="S59" s="420" t="str">
        <f t="shared" si="35"/>
        <v>Q3</v>
      </c>
      <c r="T59" s="442" t="str">
        <f t="shared" si="35"/>
        <v>Q4</v>
      </c>
    </row>
    <row r="60" spans="2:20">
      <c r="B60" s="266" t="s">
        <v>44</v>
      </c>
      <c r="C60" s="267"/>
      <c r="D60" s="267"/>
      <c r="E60" s="330">
        <v>25</v>
      </c>
      <c r="F60" s="330">
        <f>E60-1</f>
        <v>24</v>
      </c>
      <c r="G60" s="330">
        <f t="shared" ref="G60:L60" si="36">F60-1</f>
        <v>23</v>
      </c>
      <c r="H60" s="330">
        <f t="shared" si="36"/>
        <v>22</v>
      </c>
      <c r="I60" s="330">
        <f t="shared" si="36"/>
        <v>21</v>
      </c>
      <c r="J60" s="330">
        <f t="shared" si="36"/>
        <v>20</v>
      </c>
      <c r="K60" s="330">
        <f t="shared" si="36"/>
        <v>19</v>
      </c>
      <c r="L60" s="349">
        <f t="shared" si="36"/>
        <v>18</v>
      </c>
      <c r="M60" s="421">
        <v>14</v>
      </c>
      <c r="N60" s="422">
        <f>M60-1</f>
        <v>13</v>
      </c>
      <c r="O60" s="422">
        <f t="shared" ref="O60:R60" si="37">N60-1</f>
        <v>12</v>
      </c>
      <c r="P60" s="422">
        <f t="shared" si="37"/>
        <v>11</v>
      </c>
      <c r="Q60" s="422">
        <f t="shared" si="37"/>
        <v>10</v>
      </c>
      <c r="R60" s="422">
        <f t="shared" si="37"/>
        <v>9</v>
      </c>
      <c r="S60" s="422">
        <f>R60</f>
        <v>9</v>
      </c>
      <c r="T60" s="443">
        <f>S60</f>
        <v>9</v>
      </c>
    </row>
    <row r="61" spans="2:20">
      <c r="B61" s="268" t="s">
        <v>45</v>
      </c>
      <c r="C61" s="269"/>
      <c r="D61" s="269"/>
      <c r="E61" s="311">
        <v>5</v>
      </c>
      <c r="F61" s="311">
        <v>5</v>
      </c>
      <c r="G61" s="311">
        <v>5</v>
      </c>
      <c r="H61" s="311">
        <v>5</v>
      </c>
      <c r="I61" s="311">
        <v>5</v>
      </c>
      <c r="J61" s="311">
        <v>5</v>
      </c>
      <c r="K61" s="311">
        <v>5</v>
      </c>
      <c r="L61" s="346">
        <v>5</v>
      </c>
      <c r="M61" s="423">
        <v>4</v>
      </c>
      <c r="N61" s="424">
        <v>4</v>
      </c>
      <c r="O61" s="424">
        <v>4</v>
      </c>
      <c r="P61" s="424">
        <v>4</v>
      </c>
      <c r="Q61" s="424">
        <v>4</v>
      </c>
      <c r="R61" s="424">
        <v>4</v>
      </c>
      <c r="S61" s="424">
        <v>4</v>
      </c>
      <c r="T61" s="444">
        <v>4</v>
      </c>
    </row>
    <row r="62" ht="17.55" spans="2:20">
      <c r="B62" s="270" t="s">
        <v>46</v>
      </c>
      <c r="C62" s="271"/>
      <c r="D62" s="271"/>
      <c r="E62" s="331">
        <v>7</v>
      </c>
      <c r="F62" s="331">
        <v>7</v>
      </c>
      <c r="G62" s="331">
        <v>7</v>
      </c>
      <c r="H62" s="331">
        <v>7</v>
      </c>
      <c r="I62" s="331">
        <v>7</v>
      </c>
      <c r="J62" s="331">
        <v>7</v>
      </c>
      <c r="K62" s="331">
        <v>7</v>
      </c>
      <c r="L62" s="350">
        <v>7</v>
      </c>
      <c r="M62" s="425">
        <f>L62</f>
        <v>7</v>
      </c>
      <c r="N62" s="426">
        <f t="shared" ref="N62:T62" si="38">M62</f>
        <v>7</v>
      </c>
      <c r="O62" s="426">
        <f t="shared" si="38"/>
        <v>7</v>
      </c>
      <c r="P62" s="426">
        <f t="shared" si="38"/>
        <v>7</v>
      </c>
      <c r="Q62" s="426">
        <f t="shared" si="38"/>
        <v>7</v>
      </c>
      <c r="R62" s="426">
        <f t="shared" si="38"/>
        <v>7</v>
      </c>
      <c r="S62" s="426">
        <f t="shared" si="38"/>
        <v>7</v>
      </c>
      <c r="T62" s="445">
        <f t="shared" si="38"/>
        <v>7</v>
      </c>
    </row>
    <row r="63" spans="6:20"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</row>
    <row r="64" ht="17.55" spans="5:20"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</row>
    <row r="65" ht="17.55" spans="2:20">
      <c r="B65" s="260" t="s">
        <v>47</v>
      </c>
      <c r="C65" s="261"/>
      <c r="D65" s="262"/>
      <c r="E65" s="328" t="str">
        <f>E58</f>
        <v>CY 2017 A</v>
      </c>
      <c r="F65" s="316"/>
      <c r="G65" s="316"/>
      <c r="H65" s="314"/>
      <c r="I65" s="328" t="str">
        <f>I58</f>
        <v>CY 2018 A</v>
      </c>
      <c r="J65" s="316"/>
      <c r="K65" s="316"/>
      <c r="L65" s="314"/>
      <c r="M65" s="313"/>
      <c r="N65" s="313"/>
      <c r="O65" s="313"/>
      <c r="P65" s="313"/>
      <c r="Q65" s="313"/>
      <c r="R65" s="313"/>
      <c r="S65" s="313"/>
      <c r="T65" s="313"/>
    </row>
    <row r="66" ht="17.55" spans="2:20">
      <c r="B66" s="263"/>
      <c r="C66" s="264"/>
      <c r="D66" s="265"/>
      <c r="E66" s="329" t="str">
        <f>E59</f>
        <v>Q1</v>
      </c>
      <c r="F66" s="329" t="str">
        <f t="shared" ref="F66:L66" si="39">F59</f>
        <v>Q2</v>
      </c>
      <c r="G66" s="329" t="str">
        <f t="shared" si="39"/>
        <v>Q3</v>
      </c>
      <c r="H66" s="329" t="str">
        <f t="shared" si="39"/>
        <v>Q4</v>
      </c>
      <c r="I66" s="329" t="str">
        <f t="shared" si="39"/>
        <v>Q1</v>
      </c>
      <c r="J66" s="329" t="str">
        <f t="shared" si="39"/>
        <v>Q2</v>
      </c>
      <c r="K66" s="329" t="str">
        <f t="shared" si="39"/>
        <v>Q3</v>
      </c>
      <c r="L66" s="329" t="str">
        <f t="shared" si="39"/>
        <v>Q4</v>
      </c>
      <c r="M66" s="313"/>
      <c r="N66" s="313"/>
      <c r="O66" s="313"/>
      <c r="P66" s="313"/>
      <c r="Q66" s="313"/>
      <c r="R66" s="313"/>
      <c r="S66" s="313"/>
      <c r="T66" s="313"/>
    </row>
    <row r="67" spans="2:20">
      <c r="B67" s="266" t="s">
        <v>48</v>
      </c>
      <c r="C67" s="267"/>
      <c r="D67" s="267"/>
      <c r="E67" s="330">
        <v>6</v>
      </c>
      <c r="F67" s="330">
        <f>E67+0.5</f>
        <v>6.5</v>
      </c>
      <c r="G67" s="330">
        <f t="shared" ref="G67:L67" si="40">F67+0.5</f>
        <v>7</v>
      </c>
      <c r="H67" s="330">
        <f t="shared" si="40"/>
        <v>7.5</v>
      </c>
      <c r="I67" s="330">
        <f t="shared" si="40"/>
        <v>8</v>
      </c>
      <c r="J67" s="330">
        <f t="shared" si="40"/>
        <v>8.5</v>
      </c>
      <c r="K67" s="330">
        <f t="shared" si="40"/>
        <v>9</v>
      </c>
      <c r="L67" s="330">
        <f t="shared" si="40"/>
        <v>9.5</v>
      </c>
      <c r="M67" s="313"/>
      <c r="N67" s="313"/>
      <c r="O67" s="313"/>
      <c r="P67" s="313"/>
      <c r="Q67" s="313"/>
      <c r="R67" s="313"/>
      <c r="S67" s="313"/>
      <c r="T67" s="313"/>
    </row>
    <row r="73" spans="5:20">
      <c r="E73" s="313"/>
      <c r="F73" s="313"/>
      <c r="G73" s="313"/>
      <c r="H73" s="313"/>
      <c r="I73" s="313"/>
      <c r="J73" s="313"/>
      <c r="K73" s="313"/>
      <c r="L73" s="313"/>
      <c r="M73" s="449"/>
      <c r="N73" s="449"/>
      <c r="O73" s="449"/>
      <c r="P73" s="449"/>
      <c r="Q73" s="449"/>
      <c r="R73" s="449"/>
      <c r="S73" s="449"/>
      <c r="T73" s="449"/>
    </row>
    <row r="74" spans="5:20"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</row>
    <row r="75" spans="5:20"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</row>
    <row r="76" spans="5:20"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</row>
    <row r="77" spans="5:20">
      <c r="E77" s="448"/>
      <c r="F77" s="448"/>
      <c r="G77" s="448"/>
      <c r="H77" s="448"/>
      <c r="I77" s="448"/>
      <c r="J77" s="448"/>
      <c r="K77" s="448"/>
      <c r="L77" s="448"/>
      <c r="M77" s="448"/>
      <c r="N77" s="448"/>
      <c r="O77" s="448"/>
      <c r="P77" s="448"/>
      <c r="Q77" s="448"/>
      <c r="R77" s="448"/>
      <c r="S77" s="448"/>
      <c r="T77" s="448"/>
    </row>
    <row r="78" spans="5:20">
      <c r="E78" s="448"/>
      <c r="F78" s="448"/>
      <c r="G78" s="448"/>
      <c r="H78" s="448"/>
      <c r="I78" s="448"/>
      <c r="J78" s="448"/>
      <c r="K78" s="448"/>
      <c r="L78" s="448"/>
      <c r="M78" s="448"/>
      <c r="N78" s="448"/>
      <c r="O78" s="448"/>
      <c r="P78" s="448"/>
      <c r="Q78" s="448"/>
      <c r="R78" s="448"/>
      <c r="S78" s="448"/>
      <c r="T78" s="448"/>
    </row>
    <row r="79" spans="5:20">
      <c r="E79" s="448"/>
      <c r="F79" s="448"/>
      <c r="G79" s="448"/>
      <c r="H79" s="448"/>
      <c r="I79" s="448"/>
      <c r="J79" s="448"/>
      <c r="K79" s="448"/>
      <c r="L79" s="448"/>
      <c r="M79" s="448"/>
      <c r="N79" s="448"/>
      <c r="O79" s="448"/>
      <c r="P79" s="448"/>
      <c r="Q79" s="448"/>
      <c r="R79" s="448"/>
      <c r="S79" s="448"/>
      <c r="T79" s="448"/>
    </row>
    <row r="99" spans="5:20"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</row>
    <row r="100" spans="5:20"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</row>
    <row r="101" spans="5:20"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</row>
    <row r="102" spans="5:20"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</row>
    <row r="103" spans="5:20">
      <c r="E103" s="448"/>
      <c r="F103" s="448"/>
      <c r="G103" s="448"/>
      <c r="H103" s="448"/>
      <c r="I103" s="448"/>
      <c r="J103" s="448"/>
      <c r="K103" s="448"/>
      <c r="L103" s="448"/>
      <c r="M103" s="448"/>
      <c r="N103" s="448"/>
      <c r="O103" s="448"/>
      <c r="P103" s="448"/>
      <c r="Q103" s="448"/>
      <c r="R103" s="448"/>
      <c r="S103" s="448"/>
      <c r="T103" s="448"/>
    </row>
  </sheetData>
  <mergeCells count="21">
    <mergeCell ref="E2:L2"/>
    <mergeCell ref="M2:T2"/>
    <mergeCell ref="E3:H3"/>
    <mergeCell ref="I3:L3"/>
    <mergeCell ref="M3:P3"/>
    <mergeCell ref="Q3:T3"/>
    <mergeCell ref="E28:H28"/>
    <mergeCell ref="I28:L28"/>
    <mergeCell ref="M28:P28"/>
    <mergeCell ref="Q28:T28"/>
    <mergeCell ref="E36:H36"/>
    <mergeCell ref="I36:L36"/>
    <mergeCell ref="M36:P36"/>
    <mergeCell ref="Q36:T36"/>
    <mergeCell ref="E58:H58"/>
    <mergeCell ref="I58:L58"/>
    <mergeCell ref="M58:P58"/>
    <mergeCell ref="Q58:T58"/>
    <mergeCell ref="E65:H65"/>
    <mergeCell ref="I65:L65"/>
    <mergeCell ref="B3:C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zoomScale="72" zoomScaleNormal="72" workbookViewId="0">
      <selection activeCell="A1" sqref="A1"/>
    </sheetView>
  </sheetViews>
  <sheetFormatPr defaultColWidth="9.23076923076923" defaultRowHeight="16.8"/>
  <cols>
    <col min="1" max="1" width="37.3365384615385" customWidth="1"/>
  </cols>
  <sheetData>
    <row r="1" spans="1:19">
      <c r="A1" s="57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118"/>
      <c r="B2" s="59"/>
      <c r="C2" s="59"/>
      <c r="D2" s="59" t="s">
        <v>4</v>
      </c>
      <c r="E2" s="77"/>
      <c r="F2" s="77"/>
      <c r="G2" s="77"/>
      <c r="H2" s="77" t="s">
        <v>5</v>
      </c>
      <c r="I2" s="77"/>
      <c r="J2" s="77"/>
      <c r="K2" s="77"/>
      <c r="L2" s="77" t="s">
        <v>6</v>
      </c>
      <c r="M2" s="77"/>
      <c r="N2" s="77"/>
      <c r="O2" s="77"/>
      <c r="P2" s="77" t="s">
        <v>7</v>
      </c>
      <c r="Q2" s="37"/>
      <c r="R2" s="37"/>
      <c r="S2" s="37"/>
    </row>
    <row r="3" ht="17.55" spans="1:19">
      <c r="A3" s="120" t="s">
        <v>41</v>
      </c>
      <c r="B3" s="63"/>
      <c r="C3" s="63"/>
      <c r="D3" s="63" t="s">
        <v>8</v>
      </c>
      <c r="E3" s="63" t="s">
        <v>9</v>
      </c>
      <c r="F3" s="63" t="s">
        <v>10</v>
      </c>
      <c r="G3" s="63" t="s">
        <v>11</v>
      </c>
      <c r="H3" s="63" t="s">
        <v>8</v>
      </c>
      <c r="I3" s="63" t="s">
        <v>9</v>
      </c>
      <c r="J3" s="63" t="s">
        <v>10</v>
      </c>
      <c r="K3" s="63" t="s">
        <v>11</v>
      </c>
      <c r="L3" s="63" t="s">
        <v>8</v>
      </c>
      <c r="M3" s="63" t="s">
        <v>9</v>
      </c>
      <c r="N3" s="63" t="s">
        <v>10</v>
      </c>
      <c r="O3" s="63" t="s">
        <v>11</v>
      </c>
      <c r="P3" s="63" t="s">
        <v>8</v>
      </c>
      <c r="Q3" s="63" t="s">
        <v>9</v>
      </c>
      <c r="R3" s="63" t="s">
        <v>10</v>
      </c>
      <c r="S3" s="63" t="s">
        <v>11</v>
      </c>
    </row>
    <row r="4" spans="1:19">
      <c r="A4" s="121"/>
      <c r="B4" s="122"/>
      <c r="C4" s="59"/>
      <c r="D4" s="59"/>
      <c r="E4" s="157"/>
      <c r="F4" s="157"/>
      <c r="G4" s="157"/>
      <c r="H4" s="157"/>
      <c r="I4" s="157"/>
      <c r="J4" s="59"/>
      <c r="K4" s="59"/>
      <c r="L4" s="59"/>
      <c r="M4" s="59"/>
      <c r="N4" s="59"/>
      <c r="O4" s="59"/>
      <c r="P4" s="37"/>
      <c r="Q4" s="37"/>
      <c r="R4" s="37"/>
      <c r="S4" s="37"/>
    </row>
    <row r="5" spans="1:20">
      <c r="A5" s="121" t="str">
        <f>ZADNA!B5</f>
        <v>Gross Revenue</v>
      </c>
      <c r="B5" s="123" t="s">
        <v>50</v>
      </c>
      <c r="C5" s="64"/>
      <c r="D5" s="124">
        <f>ZADNA!E5</f>
        <v>24</v>
      </c>
      <c r="E5" s="124">
        <f>ZADNA!F5</f>
        <v>72.4</v>
      </c>
      <c r="F5" s="124">
        <f>ZADNA!G5</f>
        <v>117.16</v>
      </c>
      <c r="G5" s="124">
        <f>ZADNA!H5</f>
        <v>155.02</v>
      </c>
      <c r="H5" s="124">
        <f>ZADNA!I5</f>
        <v>198.6</v>
      </c>
      <c r="I5" s="124">
        <f>ZADNA!J5</f>
        <v>254.02</v>
      </c>
      <c r="J5" s="124">
        <f>ZADNA!K5</f>
        <v>319.72</v>
      </c>
      <c r="K5" s="124">
        <f>ZADNA!L5</f>
        <v>397.86</v>
      </c>
      <c r="L5" s="124">
        <f>ZADNA!M5</f>
        <v>714.54</v>
      </c>
      <c r="M5" s="124">
        <f>ZADNA!N5</f>
        <v>919.06</v>
      </c>
      <c r="N5" s="124">
        <f>ZADNA!O5</f>
        <v>1158.4</v>
      </c>
      <c r="O5" s="124">
        <f>ZADNA!P5</f>
        <v>1460.9536</v>
      </c>
      <c r="P5" s="124">
        <f>ZADNA!Q5</f>
        <v>1828.36056</v>
      </c>
      <c r="Q5" s="124">
        <f>ZADNA!R5</f>
        <v>2215.685024</v>
      </c>
      <c r="R5" s="124">
        <f>ZADNA!S5</f>
        <v>2658.483644</v>
      </c>
      <c r="S5" s="124">
        <f>ZADNA!T5</f>
        <v>3079.839532</v>
      </c>
      <c r="T5" s="104"/>
    </row>
    <row r="6" spans="1:20">
      <c r="A6" s="125" t="str">
        <f>ZADNA!B6</f>
        <v>Revenue from new customers</v>
      </c>
      <c r="B6" s="122" t="s">
        <v>50</v>
      </c>
      <c r="C6" s="59"/>
      <c r="D6" s="126">
        <f>ZADNA!E6</f>
        <v>24</v>
      </c>
      <c r="E6" s="126">
        <f>ZADNA!F6</f>
        <v>70</v>
      </c>
      <c r="F6" s="126">
        <f>ZADNA!G6</f>
        <v>108</v>
      </c>
      <c r="G6" s="126">
        <f>ZADNA!H6</f>
        <v>136</v>
      </c>
      <c r="H6" s="126">
        <f>ZADNA!I6</f>
        <v>168</v>
      </c>
      <c r="I6" s="126">
        <f>ZADNA!J6</f>
        <v>210</v>
      </c>
      <c r="J6" s="126">
        <f>ZADNA!K6</f>
        <v>260</v>
      </c>
      <c r="K6" s="126">
        <f>ZADNA!L6</f>
        <v>320</v>
      </c>
      <c r="L6" s="126">
        <f>ZADNA!M6</f>
        <v>616</v>
      </c>
      <c r="M6" s="126">
        <f>ZADNA!N6</f>
        <v>774.4</v>
      </c>
      <c r="N6" s="126">
        <f>ZADNA!O6</f>
        <v>958.32</v>
      </c>
      <c r="O6" s="126">
        <f>ZADNA!P6</f>
        <v>1194.7056</v>
      </c>
      <c r="P6" s="126">
        <f>ZADNA!Q6</f>
        <v>1481.6692</v>
      </c>
      <c r="Q6" s="126">
        <f>ZADNA!R6</f>
        <v>1771.561</v>
      </c>
      <c r="R6" s="126">
        <f>ZADNA!S6</f>
        <v>2104.614468</v>
      </c>
      <c r="S6" s="126">
        <f>ZADNA!T6</f>
        <v>2400.8194672</v>
      </c>
      <c r="T6" s="104"/>
    </row>
    <row r="7" spans="1:20">
      <c r="A7" s="125" t="str">
        <f>ZADNA!B7</f>
        <v>Revenue from repeat customers</v>
      </c>
      <c r="B7" s="122" t="s">
        <v>50</v>
      </c>
      <c r="C7" s="59"/>
      <c r="D7" s="126">
        <f>ZADNA!E7</f>
        <v>0</v>
      </c>
      <c r="E7" s="126">
        <f>ZADNA!F7</f>
        <v>2.40000000000001</v>
      </c>
      <c r="F7" s="126">
        <f>ZADNA!G7</f>
        <v>9.16</v>
      </c>
      <c r="G7" s="126">
        <f>ZADNA!H7</f>
        <v>19.02</v>
      </c>
      <c r="H7" s="126">
        <f>ZADNA!I7</f>
        <v>30.6</v>
      </c>
      <c r="I7" s="126">
        <f>ZADNA!J7</f>
        <v>44.02</v>
      </c>
      <c r="J7" s="126">
        <f>ZADNA!K7</f>
        <v>59.72</v>
      </c>
      <c r="K7" s="126">
        <f>ZADNA!L7</f>
        <v>77.86</v>
      </c>
      <c r="L7" s="126">
        <f>ZADNA!M7</f>
        <v>98.54</v>
      </c>
      <c r="M7" s="126">
        <f>ZADNA!N7</f>
        <v>144.66</v>
      </c>
      <c r="N7" s="126">
        <f>ZADNA!O7</f>
        <v>200.08</v>
      </c>
      <c r="O7" s="126">
        <f>ZADNA!P7</f>
        <v>266.248</v>
      </c>
      <c r="P7" s="126">
        <f>ZADNA!Q7</f>
        <v>346.69136</v>
      </c>
      <c r="Q7" s="126">
        <f>ZADNA!R7</f>
        <v>444.124024</v>
      </c>
      <c r="R7" s="126">
        <f>ZADNA!S7</f>
        <v>553.869176</v>
      </c>
      <c r="S7" s="126">
        <f>ZADNA!T7</f>
        <v>679.0200648</v>
      </c>
      <c r="T7" s="104"/>
    </row>
    <row r="8" spans="1:20">
      <c r="A8" s="127" t="str">
        <f>ZADNA!B8</f>
        <v>Product Returns (%)</v>
      </c>
      <c r="B8" s="128" t="s">
        <v>51</v>
      </c>
      <c r="C8" s="128"/>
      <c r="D8" s="129">
        <f>ZADNA!E8</f>
        <v>0.25</v>
      </c>
      <c r="E8" s="129">
        <f>ZADNA!F8</f>
        <v>0.26</v>
      </c>
      <c r="F8" s="129">
        <f>ZADNA!G8</f>
        <v>0.27</v>
      </c>
      <c r="G8" s="129">
        <f>ZADNA!H8</f>
        <v>0.28</v>
      </c>
      <c r="H8" s="129">
        <f>ZADNA!I8</f>
        <v>0.29</v>
      </c>
      <c r="I8" s="129">
        <f>ZADNA!J8</f>
        <v>0.3</v>
      </c>
      <c r="J8" s="129">
        <f>ZADNA!K8</f>
        <v>0.31</v>
      </c>
      <c r="K8" s="129">
        <f>ZADNA!L8</f>
        <v>0.32</v>
      </c>
      <c r="L8" s="129">
        <f>ZADNA!M8</f>
        <v>0.25</v>
      </c>
      <c r="M8" s="129">
        <f>ZADNA!N8</f>
        <v>0.25</v>
      </c>
      <c r="N8" s="129">
        <f>ZADNA!O8</f>
        <v>0.25</v>
      </c>
      <c r="O8" s="129">
        <f>ZADNA!P8</f>
        <v>0.25</v>
      </c>
      <c r="P8" s="129">
        <f>ZADNA!Q8</f>
        <v>0.25</v>
      </c>
      <c r="Q8" s="129">
        <f>ZADNA!R8</f>
        <v>0.25</v>
      </c>
      <c r="R8" s="129">
        <f>ZADNA!S8</f>
        <v>0.25</v>
      </c>
      <c r="S8" s="129">
        <f>ZADNA!T8</f>
        <v>0.25</v>
      </c>
      <c r="T8" s="104"/>
    </row>
    <row r="9" spans="1:20">
      <c r="A9" s="130" t="str">
        <f>ZADNA!B9</f>
        <v>Net Revenue</v>
      </c>
      <c r="B9" s="123" t="s">
        <v>50</v>
      </c>
      <c r="C9" s="64"/>
      <c r="D9" s="124">
        <f>ZADNA!E9</f>
        <v>18</v>
      </c>
      <c r="E9" s="124">
        <f>ZADNA!F9</f>
        <v>53.576</v>
      </c>
      <c r="F9" s="124">
        <f>ZADNA!G9</f>
        <v>85.5268</v>
      </c>
      <c r="G9" s="124">
        <f>ZADNA!H9</f>
        <v>111.6144</v>
      </c>
      <c r="H9" s="124">
        <f>ZADNA!I9</f>
        <v>141.006</v>
      </c>
      <c r="I9" s="124">
        <f>ZADNA!J9</f>
        <v>177.814</v>
      </c>
      <c r="J9" s="124">
        <f>ZADNA!K9</f>
        <v>220.6068</v>
      </c>
      <c r="K9" s="124">
        <f>ZADNA!L9</f>
        <v>270.5448</v>
      </c>
      <c r="L9" s="124">
        <f>ZADNA!M9</f>
        <v>535.905</v>
      </c>
      <c r="M9" s="124">
        <f>ZADNA!N9</f>
        <v>689.295</v>
      </c>
      <c r="N9" s="124">
        <f>ZADNA!O9</f>
        <v>868.8</v>
      </c>
      <c r="O9" s="124">
        <f>ZADNA!P9</f>
        <v>1095.7152</v>
      </c>
      <c r="P9" s="124">
        <f>ZADNA!Q9</f>
        <v>1371.27042</v>
      </c>
      <c r="Q9" s="124">
        <f>ZADNA!R9</f>
        <v>1661.763768</v>
      </c>
      <c r="R9" s="124">
        <f>ZADNA!S9</f>
        <v>1993.862733</v>
      </c>
      <c r="S9" s="124">
        <f>ZADNA!T9</f>
        <v>2309.879649</v>
      </c>
      <c r="T9" s="104"/>
    </row>
    <row r="10" spans="1:20">
      <c r="A10" s="125" t="str">
        <f>ZADNA!C10</f>
        <v>Growth (%)</v>
      </c>
      <c r="B10" s="122" t="s">
        <v>51</v>
      </c>
      <c r="C10" s="59"/>
      <c r="D10" s="126">
        <f>ZADNA!E10</f>
        <v>0</v>
      </c>
      <c r="E10" s="126">
        <f>ZADNA!F10</f>
        <v>1.97644444444444</v>
      </c>
      <c r="F10" s="126">
        <f>ZADNA!G10</f>
        <v>0.596364043601612</v>
      </c>
      <c r="G10" s="126">
        <f>ZADNA!H10</f>
        <v>0.305022519257122</v>
      </c>
      <c r="H10" s="126">
        <f>ZADNA!I10</f>
        <v>0.263331613125188</v>
      </c>
      <c r="I10" s="126">
        <f>ZADNA!J10</f>
        <v>0.261038537367204</v>
      </c>
      <c r="J10" s="126">
        <f>ZADNA!K10</f>
        <v>0.240660465430169</v>
      </c>
      <c r="K10" s="126">
        <f>ZADNA!L10</f>
        <v>0.226366548991237</v>
      </c>
      <c r="L10" s="126">
        <f>ZADNA!M10</f>
        <v>0.980836445572046</v>
      </c>
      <c r="M10" s="126">
        <f>ZADNA!N10</f>
        <v>0.286226103507152</v>
      </c>
      <c r="N10" s="126">
        <f>ZADNA!O10</f>
        <v>0.260418253432855</v>
      </c>
      <c r="O10" s="126">
        <f>ZADNA!P10</f>
        <v>0.261182320441989</v>
      </c>
      <c r="P10" s="126">
        <f>ZADNA!Q10</f>
        <v>0.251484345567169</v>
      </c>
      <c r="Q10" s="126">
        <f>ZADNA!R10</f>
        <v>0.211842495661797</v>
      </c>
      <c r="R10" s="126">
        <f>ZADNA!S10</f>
        <v>0.199847277570442</v>
      </c>
      <c r="S10" s="126">
        <f>ZADNA!T10</f>
        <v>0.158494820515812</v>
      </c>
      <c r="T10" s="104"/>
    </row>
    <row r="11" spans="1:20">
      <c r="A11" s="127" t="str">
        <f>ZADNA!B11</f>
        <v>Interest Income from investments*</v>
      </c>
      <c r="B11" s="128" t="s">
        <v>50</v>
      </c>
      <c r="C11" s="128"/>
      <c r="D11" s="129">
        <f>ZADNA!E11</f>
        <v>0.045</v>
      </c>
      <c r="E11" s="129">
        <f>ZADNA!F11</f>
        <v>0.13394</v>
      </c>
      <c r="F11" s="129">
        <f>ZADNA!G11</f>
        <v>0.213817</v>
      </c>
      <c r="G11" s="129">
        <f>ZADNA!H11</f>
        <v>0.279036</v>
      </c>
      <c r="H11" s="129">
        <f>ZADNA!I11</f>
        <v>0.352515</v>
      </c>
      <c r="I11" s="129">
        <f>ZADNA!J11</f>
        <v>0.444535</v>
      </c>
      <c r="J11" s="129">
        <f>ZADNA!K11</f>
        <v>0.551517</v>
      </c>
      <c r="K11" s="129">
        <f>ZADNA!L11</f>
        <v>0.676362</v>
      </c>
      <c r="L11" s="129">
        <f>ZADNA!M11</f>
        <v>0.65625</v>
      </c>
      <c r="M11" s="129">
        <f>ZADNA!N11</f>
        <v>0.61328125</v>
      </c>
      <c r="N11" s="129">
        <f>ZADNA!O11</f>
        <v>0.53994140625</v>
      </c>
      <c r="O11" s="129">
        <f>ZADNA!P11</f>
        <v>0.50743408203125</v>
      </c>
      <c r="P11" s="129">
        <f>ZADNA!Q11</f>
        <v>0.445863342285156</v>
      </c>
      <c r="Q11" s="129">
        <f>ZADNA!R11</f>
        <v>0.439096260070801</v>
      </c>
      <c r="R11" s="129">
        <f>ZADNA!S11</f>
        <v>0.443983292579651</v>
      </c>
      <c r="S11" s="129">
        <f>ZADNA!T11</f>
        <v>0.474481204152107</v>
      </c>
      <c r="T11" s="104"/>
    </row>
    <row r="12" spans="1:20">
      <c r="A12" s="130" t="str">
        <f>ZADNA!B12</f>
        <v>Total Revenue</v>
      </c>
      <c r="B12" s="123" t="s">
        <v>50</v>
      </c>
      <c r="C12" s="64"/>
      <c r="D12" s="124">
        <f>ZADNA!E12</f>
        <v>18.045</v>
      </c>
      <c r="E12" s="124">
        <f>ZADNA!F12</f>
        <v>53.70994</v>
      </c>
      <c r="F12" s="124">
        <f>ZADNA!G12</f>
        <v>85.740617</v>
      </c>
      <c r="G12" s="124">
        <f>ZADNA!H12</f>
        <v>111.893436</v>
      </c>
      <c r="H12" s="124">
        <f>ZADNA!I12</f>
        <v>141.358515</v>
      </c>
      <c r="I12" s="124">
        <f>ZADNA!J12</f>
        <v>178.258535</v>
      </c>
      <c r="J12" s="124">
        <f>ZADNA!K12</f>
        <v>221.158317</v>
      </c>
      <c r="K12" s="124">
        <f>ZADNA!L12</f>
        <v>271.221162</v>
      </c>
      <c r="L12" s="124">
        <f>ZADNA!M12</f>
        <v>536.56125</v>
      </c>
      <c r="M12" s="124">
        <f>ZADNA!N12</f>
        <v>689.90828125</v>
      </c>
      <c r="N12" s="124">
        <f>ZADNA!O12</f>
        <v>869.33994140625</v>
      </c>
      <c r="O12" s="124">
        <f>ZADNA!P12</f>
        <v>1096.22263408203</v>
      </c>
      <c r="P12" s="124">
        <f>ZADNA!Q12</f>
        <v>1371.71628334229</v>
      </c>
      <c r="Q12" s="124">
        <f>ZADNA!R12</f>
        <v>1662.20286426007</v>
      </c>
      <c r="R12" s="124">
        <f>ZADNA!S12</f>
        <v>1994.30671629258</v>
      </c>
      <c r="S12" s="124">
        <f>ZADNA!T12</f>
        <v>2310.35413020415</v>
      </c>
      <c r="T12" s="104"/>
    </row>
    <row r="13" spans="1:20">
      <c r="A13" s="131"/>
      <c r="B13" s="132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04"/>
    </row>
    <row r="14" ht="17.55" spans="1:20">
      <c r="A14" s="120" t="s">
        <v>52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170"/>
      <c r="M14" s="170"/>
      <c r="N14" s="170"/>
      <c r="O14" s="170"/>
      <c r="P14" s="170"/>
      <c r="Q14" s="170"/>
      <c r="R14" s="170"/>
      <c r="S14" s="170"/>
      <c r="T14" s="104"/>
    </row>
    <row r="15" spans="1:20">
      <c r="A15" s="121" t="str">
        <f>ZADNA!B13</f>
        <v>COGS</v>
      </c>
      <c r="B15" s="122" t="s">
        <v>50</v>
      </c>
      <c r="C15" s="59"/>
      <c r="D15" s="134">
        <f>ZADNA!E13</f>
        <v>14.4</v>
      </c>
      <c r="E15" s="134">
        <f>ZADNA!F13</f>
        <v>42.8608</v>
      </c>
      <c r="F15" s="134">
        <f>ZADNA!G13</f>
        <v>68.42144</v>
      </c>
      <c r="G15" s="134">
        <f>ZADNA!H13</f>
        <v>89.29152</v>
      </c>
      <c r="H15" s="134">
        <f>ZADNA!I13</f>
        <v>112.8048</v>
      </c>
      <c r="I15" s="134">
        <f>ZADNA!J13</f>
        <v>142.2512</v>
      </c>
      <c r="J15" s="134">
        <f>ZADNA!K13</f>
        <v>176.48544</v>
      </c>
      <c r="K15" s="134">
        <f>ZADNA!L13</f>
        <v>216.43584</v>
      </c>
      <c r="L15" s="171">
        <f>ZADNA!M13</f>
        <v>423.36495</v>
      </c>
      <c r="M15" s="171">
        <f>ZADNA!N13</f>
        <v>537.6501</v>
      </c>
      <c r="N15" s="171">
        <f>ZADNA!O13</f>
        <v>668.976</v>
      </c>
      <c r="O15" s="171">
        <f>ZADNA!P13</f>
        <v>832.743552</v>
      </c>
      <c r="P15" s="171">
        <f>ZADNA!Q13</f>
        <v>1028.452815</v>
      </c>
      <c r="Q15" s="171">
        <f>ZADNA!R13</f>
        <v>1229.70518832</v>
      </c>
      <c r="R15" s="171">
        <f>ZADNA!S13</f>
        <v>1455.51979509</v>
      </c>
      <c r="S15" s="171">
        <f>ZADNA!T13</f>
        <v>1663.11334728</v>
      </c>
      <c r="T15" s="104"/>
    </row>
    <row r="16" spans="1:20">
      <c r="A16" s="135" t="str">
        <f>ZADNA!B14</f>
        <v>Logistics</v>
      </c>
      <c r="B16" s="122" t="s">
        <v>50</v>
      </c>
      <c r="C16" s="59"/>
      <c r="D16" s="126">
        <f>ZADNA!E14</f>
        <v>2.52</v>
      </c>
      <c r="E16" s="126">
        <f>ZADNA!F14</f>
        <v>7.5658</v>
      </c>
      <c r="F16" s="126">
        <f>ZADNA!G14</f>
        <v>12.18464</v>
      </c>
      <c r="G16" s="126">
        <f>ZADNA!H14</f>
        <v>16.04457</v>
      </c>
      <c r="H16" s="126">
        <f>ZADNA!I14</f>
        <v>20.4558</v>
      </c>
      <c r="I16" s="126">
        <f>ZADNA!J14</f>
        <v>26.03705</v>
      </c>
      <c r="J16" s="126">
        <f>ZADNA!K14</f>
        <v>32.61144</v>
      </c>
      <c r="K16" s="126">
        <f>ZADNA!L14</f>
        <v>40.38279</v>
      </c>
      <c r="L16" s="126">
        <f>ZADNA!M14</f>
        <v>70.73946</v>
      </c>
      <c r="M16" s="126">
        <f>ZADNA!N14</f>
        <v>88.68929</v>
      </c>
      <c r="N16" s="126">
        <f>ZADNA!O14</f>
        <v>108.8896</v>
      </c>
      <c r="O16" s="126">
        <f>ZADNA!P14</f>
        <v>133.6772544</v>
      </c>
      <c r="P16" s="126">
        <f>ZADNA!Q14</f>
        <v>162.72408984</v>
      </c>
      <c r="Q16" s="126">
        <f>ZADNA!R14</f>
        <v>191.656754576</v>
      </c>
      <c r="R16" s="126">
        <f>ZADNA!S14</f>
        <v>186.09385508</v>
      </c>
      <c r="S16" s="126">
        <f>ZADNA!T14</f>
        <v>215.58876724</v>
      </c>
      <c r="T16" s="104"/>
    </row>
    <row r="17" spans="1:20">
      <c r="A17" s="135" t="str">
        <f>ZADNA!B15</f>
        <v>Payment Gateway</v>
      </c>
      <c r="B17" s="122" t="s">
        <v>50</v>
      </c>
      <c r="C17" s="59"/>
      <c r="D17" s="136">
        <f>ZADNA!E15</f>
        <v>0.204</v>
      </c>
      <c r="E17" s="136">
        <f>ZADNA!F15</f>
        <v>0.6154</v>
      </c>
      <c r="F17" s="136">
        <f>ZADNA!G15</f>
        <v>0.99586</v>
      </c>
      <c r="G17" s="136">
        <f>ZADNA!H15</f>
        <v>1.31767</v>
      </c>
      <c r="H17" s="136">
        <f>ZADNA!I15</f>
        <v>1.6881</v>
      </c>
      <c r="I17" s="136">
        <f>ZADNA!J15</f>
        <v>2.15917</v>
      </c>
      <c r="J17" s="136">
        <f>ZADNA!K15</f>
        <v>2.71762</v>
      </c>
      <c r="K17" s="136">
        <f>ZADNA!L15</f>
        <v>3.38181</v>
      </c>
      <c r="L17" s="136">
        <f>ZADNA!M15</f>
        <v>6.07359</v>
      </c>
      <c r="M17" s="136">
        <f>ZADNA!N15</f>
        <v>7.81201</v>
      </c>
      <c r="N17" s="136">
        <f>ZADNA!O15</f>
        <v>9.8464</v>
      </c>
      <c r="O17" s="136">
        <f>ZADNA!P15</f>
        <v>12.4181056</v>
      </c>
      <c r="P17" s="136">
        <f>ZADNA!Q15</f>
        <v>15.54106476</v>
      </c>
      <c r="Q17" s="136">
        <f>ZADNA!R15</f>
        <v>18.833322704</v>
      </c>
      <c r="R17" s="136">
        <f>ZADNA!S15</f>
        <v>22.597110974</v>
      </c>
      <c r="S17" s="136">
        <f>ZADNA!T15</f>
        <v>26.178636022</v>
      </c>
      <c r="T17" s="104"/>
    </row>
    <row r="18" spans="1:20">
      <c r="A18" s="135" t="str">
        <f>ZADNA!B16</f>
        <v>Customer support cost</v>
      </c>
      <c r="B18" s="122" t="s">
        <v>50</v>
      </c>
      <c r="C18" s="59"/>
      <c r="D18" s="136">
        <f>ZADNA!E16</f>
        <v>1.08</v>
      </c>
      <c r="E18" s="136">
        <f>ZADNA!F16</f>
        <v>3.2218</v>
      </c>
      <c r="F18" s="136">
        <f>ZADNA!G16</f>
        <v>5.15504</v>
      </c>
      <c r="G18" s="136">
        <f>ZADNA!H16</f>
        <v>6.74337</v>
      </c>
      <c r="H18" s="136">
        <f>ZADNA!I16</f>
        <v>8.5398</v>
      </c>
      <c r="I18" s="136">
        <f>ZADNA!J16</f>
        <v>10.79585</v>
      </c>
      <c r="J18" s="136">
        <f>ZADNA!K16</f>
        <v>13.42824</v>
      </c>
      <c r="K18" s="136">
        <f>ZADNA!L16</f>
        <v>16.51119</v>
      </c>
      <c r="L18" s="136">
        <f>ZADNA!M16</f>
        <v>27.86706</v>
      </c>
      <c r="M18" s="136">
        <f>ZADNA!N16</f>
        <v>33.54569</v>
      </c>
      <c r="N18" s="136">
        <f>ZADNA!O16</f>
        <v>39.3856</v>
      </c>
      <c r="O18" s="136">
        <f>ZADNA!P16</f>
        <v>46.0200384</v>
      </c>
      <c r="P18" s="136">
        <f>ZADNA!Q16</f>
        <v>54.8508168</v>
      </c>
      <c r="Q18" s="136">
        <f>ZADNA!R16</f>
        <v>66.47055072</v>
      </c>
      <c r="R18" s="136">
        <f>ZADNA!S16</f>
        <v>53.16967288</v>
      </c>
      <c r="S18" s="136">
        <f>ZADNA!T16</f>
        <v>61.59679064</v>
      </c>
      <c r="T18" s="104"/>
    </row>
    <row r="19" spans="1:20">
      <c r="A19" s="137" t="str">
        <f>ZADNA!B17</f>
        <v>Other direct costs</v>
      </c>
      <c r="B19" s="128" t="s">
        <v>50</v>
      </c>
      <c r="C19" s="128"/>
      <c r="D19" s="138">
        <f>ZADNA!E17</f>
        <v>0.24</v>
      </c>
      <c r="E19" s="138">
        <f>ZADNA!F17</f>
        <v>0.724</v>
      </c>
      <c r="F19" s="138">
        <f>ZADNA!G17</f>
        <v>1.1716</v>
      </c>
      <c r="G19" s="138">
        <f>ZADNA!H17</f>
        <v>1.5502</v>
      </c>
      <c r="H19" s="138">
        <f>ZADNA!I17</f>
        <v>1.986</v>
      </c>
      <c r="I19" s="138">
        <f>ZADNA!J17</f>
        <v>2.5402</v>
      </c>
      <c r="J19" s="138">
        <f>ZADNA!K17</f>
        <v>3.1972</v>
      </c>
      <c r="K19" s="138">
        <f>ZADNA!L17</f>
        <v>3.9786</v>
      </c>
      <c r="L19" s="216">
        <f>ZADNA!M17</f>
        <v>7.1454</v>
      </c>
      <c r="M19" s="216">
        <f>ZADNA!N17</f>
        <v>9.1906</v>
      </c>
      <c r="N19" s="216">
        <f>ZADNA!O17</f>
        <v>11.584</v>
      </c>
      <c r="O19" s="216">
        <f>ZADNA!P17</f>
        <v>14.609536</v>
      </c>
      <c r="P19" s="216">
        <f>ZADNA!Q17</f>
        <v>18.2836056</v>
      </c>
      <c r="Q19" s="216">
        <f>ZADNA!R17</f>
        <v>22.15685024</v>
      </c>
      <c r="R19" s="216">
        <f>ZADNA!S17</f>
        <v>26.58483644</v>
      </c>
      <c r="S19" s="216">
        <f>ZADNA!T17</f>
        <v>30.79839532</v>
      </c>
      <c r="T19" s="104"/>
    </row>
    <row r="20" spans="1:20">
      <c r="A20" s="121" t="s">
        <v>53</v>
      </c>
      <c r="B20" s="122" t="s">
        <v>50</v>
      </c>
      <c r="C20" s="122"/>
      <c r="D20" s="139">
        <f>ZADNA!E18</f>
        <v>-0.398999999999997</v>
      </c>
      <c r="E20" s="139">
        <f>ZADNA!F18</f>
        <v>-1.27786</v>
      </c>
      <c r="F20" s="139">
        <f>ZADNA!G18</f>
        <v>-2.187963</v>
      </c>
      <c r="G20" s="139">
        <f>ZADNA!H18</f>
        <v>-3.05389400000001</v>
      </c>
      <c r="H20" s="139">
        <f>ZADNA!I18</f>
        <v>-4.11598499999997</v>
      </c>
      <c r="I20" s="139">
        <f>ZADNA!J18</f>
        <v>-5.52493500000003</v>
      </c>
      <c r="J20" s="139">
        <f>ZADNA!K18</f>
        <v>-7.28162300000002</v>
      </c>
      <c r="K20" s="139">
        <f>ZADNA!L18</f>
        <v>-9.46906799999994</v>
      </c>
      <c r="L20" s="217">
        <f>ZADNA!M18</f>
        <v>1.37078999999994</v>
      </c>
      <c r="M20" s="217">
        <f>ZADNA!N18</f>
        <v>13.0205912499999</v>
      </c>
      <c r="N20" s="217">
        <f>ZADNA!O18</f>
        <v>30.6583414062501</v>
      </c>
      <c r="O20" s="217">
        <f>ZADNA!P18</f>
        <v>56.7541476820313</v>
      </c>
      <c r="P20" s="217">
        <f>ZADNA!Q18</f>
        <v>91.8638913422852</v>
      </c>
      <c r="Q20" s="217">
        <f>ZADNA!R18</f>
        <v>133.380197700071</v>
      </c>
      <c r="R20" s="217">
        <f>ZADNA!S18</f>
        <v>250.34144582858</v>
      </c>
      <c r="S20" s="217">
        <f>ZADNA!T18</f>
        <v>313.078193702152</v>
      </c>
      <c r="T20" s="104"/>
    </row>
    <row r="21" spans="1:20">
      <c r="A21" s="135" t="s">
        <v>25</v>
      </c>
      <c r="B21" s="122" t="s">
        <v>54</v>
      </c>
      <c r="C21" s="122"/>
      <c r="D21" s="140">
        <f>ZADNA!E19</f>
        <v>-0.0221666666666665</v>
      </c>
      <c r="E21" s="140">
        <f>ZADNA!F19</f>
        <v>-0.0238513513513513</v>
      </c>
      <c r="F21" s="140">
        <f>ZADNA!G19</f>
        <v>-0.0255821917808219</v>
      </c>
      <c r="G21" s="140">
        <f>ZADNA!H19</f>
        <v>-0.0273611111111112</v>
      </c>
      <c r="H21" s="140">
        <f>ZADNA!I19</f>
        <v>-0.0291901408450702</v>
      </c>
      <c r="I21" s="140">
        <f>ZADNA!J19</f>
        <v>-0.0310714285714287</v>
      </c>
      <c r="J21" s="140">
        <f>ZADNA!K19</f>
        <v>-0.0330072463768117</v>
      </c>
      <c r="K21" s="140">
        <f>ZADNA!L19</f>
        <v>-0.0349999999999998</v>
      </c>
      <c r="L21" s="133">
        <f>ZADNA!M19</f>
        <v>0.00255789738852958</v>
      </c>
      <c r="M21" s="133">
        <f>ZADNA!N19</f>
        <v>0.0188897224700599</v>
      </c>
      <c r="N21" s="133">
        <f>ZADNA!O19</f>
        <v>0.0352881461858311</v>
      </c>
      <c r="O21" s="133">
        <f>ZADNA!P19</f>
        <v>0.0517964409748366</v>
      </c>
      <c r="P21" s="133">
        <f>ZADNA!Q19</f>
        <v>0.0669918128492009</v>
      </c>
      <c r="Q21" s="133">
        <f>ZADNA!R19</f>
        <v>0.0802642350666962</v>
      </c>
      <c r="R21" s="133">
        <f>ZADNA!S19</f>
        <v>0.125556008287447</v>
      </c>
      <c r="S21" s="133">
        <f>ZADNA!T19</f>
        <v>0.135538747154074</v>
      </c>
      <c r="T21" s="104"/>
    </row>
    <row r="22" spans="1:20">
      <c r="A22" s="135" t="str">
        <f>ZADNA!B20</f>
        <v>Marketing spend</v>
      </c>
      <c r="B22" s="122" t="s">
        <v>50</v>
      </c>
      <c r="C22" s="122"/>
      <c r="D22" s="140">
        <f>ZADNA!E20</f>
        <v>3</v>
      </c>
      <c r="E22" s="140">
        <f>ZADNA!F20</f>
        <v>7</v>
      </c>
      <c r="F22" s="140">
        <f>ZADNA!G20</f>
        <v>12</v>
      </c>
      <c r="G22" s="140">
        <f>ZADNA!H20</f>
        <v>17</v>
      </c>
      <c r="H22" s="140">
        <f>ZADNA!I20</f>
        <v>28</v>
      </c>
      <c r="I22" s="140">
        <f>ZADNA!J20</f>
        <v>35</v>
      </c>
      <c r="J22" s="140">
        <f>ZADNA!K20</f>
        <v>52</v>
      </c>
      <c r="K22" s="140">
        <f>ZADNA!L20</f>
        <v>80</v>
      </c>
      <c r="L22" s="133">
        <f>ZADNA!M20</f>
        <v>88</v>
      </c>
      <c r="M22" s="133">
        <f>ZADNA!N20</f>
        <v>96.8</v>
      </c>
      <c r="N22" s="133">
        <f>ZADNA!O20</f>
        <v>106.48</v>
      </c>
      <c r="O22" s="133">
        <f>ZADNA!P20</f>
        <v>117.128</v>
      </c>
      <c r="P22" s="133">
        <f>ZADNA!Q20</f>
        <v>128.8408</v>
      </c>
      <c r="Q22" s="133">
        <f>ZADNA!R20</f>
        <v>141.72488</v>
      </c>
      <c r="R22" s="133">
        <f>ZADNA!S20</f>
        <v>155.897368</v>
      </c>
      <c r="S22" s="133">
        <f>ZADNA!T20</f>
        <v>171.4871048</v>
      </c>
      <c r="T22" s="104"/>
    </row>
    <row r="23" spans="1:20">
      <c r="A23" s="137" t="str">
        <f>ZADNA!B21</f>
        <v>G&amp;A</v>
      </c>
      <c r="B23" s="128" t="s">
        <v>50</v>
      </c>
      <c r="C23" s="128"/>
      <c r="D23" s="138">
        <f>ZADNA!E21</f>
        <v>10</v>
      </c>
      <c r="E23" s="138">
        <f>ZADNA!F21</f>
        <v>11.5</v>
      </c>
      <c r="F23" s="138">
        <f>ZADNA!G21</f>
        <v>13.225</v>
      </c>
      <c r="G23" s="138">
        <f>ZADNA!H21</f>
        <v>15.20875</v>
      </c>
      <c r="H23" s="138">
        <f>ZADNA!I21</f>
        <v>17.4900625</v>
      </c>
      <c r="I23" s="138">
        <f>ZADNA!J21</f>
        <v>20.113571875</v>
      </c>
      <c r="J23" s="138">
        <f>ZADNA!K21</f>
        <v>23.13060765625</v>
      </c>
      <c r="K23" s="138">
        <f>ZADNA!L21</f>
        <v>26.6001988046875</v>
      </c>
      <c r="L23" s="216">
        <f>ZADNA!M21</f>
        <v>28.4622127210156</v>
      </c>
      <c r="M23" s="216">
        <f>ZADNA!N21</f>
        <v>30.4545676114867</v>
      </c>
      <c r="N23" s="216">
        <f>ZADNA!O21</f>
        <v>32.5863873442908</v>
      </c>
      <c r="O23" s="216">
        <f>ZADNA!P21</f>
        <v>34.8674344583911</v>
      </c>
      <c r="P23" s="216">
        <f>ZADNA!Q21</f>
        <v>37.3081548704785</v>
      </c>
      <c r="Q23" s="216">
        <f>ZADNA!R21</f>
        <v>39.919725711412</v>
      </c>
      <c r="R23" s="216">
        <f>ZADNA!S21</f>
        <v>42.7141065112109</v>
      </c>
      <c r="S23" s="216">
        <f>ZADNA!T21</f>
        <v>45.7040939669956</v>
      </c>
      <c r="T23" s="104"/>
    </row>
    <row r="24" spans="1:20">
      <c r="A24" s="121" t="str">
        <f>ZADNA!B22</f>
        <v>PBT</v>
      </c>
      <c r="B24" s="141"/>
      <c r="C24" s="141"/>
      <c r="D24" s="142">
        <f>ZADNA!E22</f>
        <v>-13.399</v>
      </c>
      <c r="E24" s="142">
        <f>ZADNA!F22</f>
        <v>-19.77786</v>
      </c>
      <c r="F24" s="142">
        <f>ZADNA!G22</f>
        <v>-27.412963</v>
      </c>
      <c r="G24" s="142">
        <f>ZADNA!H22</f>
        <v>-35.262644</v>
      </c>
      <c r="H24" s="142">
        <f>ZADNA!I22</f>
        <v>-49.6060475</v>
      </c>
      <c r="I24" s="142">
        <f>ZADNA!J22</f>
        <v>-60.638506875</v>
      </c>
      <c r="J24" s="142">
        <f>ZADNA!K22</f>
        <v>-82.41223065625</v>
      </c>
      <c r="K24" s="142">
        <f>ZADNA!L22</f>
        <v>-116.069266804687</v>
      </c>
      <c r="L24" s="168">
        <f>ZADNA!M22</f>
        <v>-115.091422721016</v>
      </c>
      <c r="M24" s="168">
        <f>ZADNA!N22</f>
        <v>-114.233976361487</v>
      </c>
      <c r="N24" s="168">
        <f>ZADNA!O22</f>
        <v>-108.408045938041</v>
      </c>
      <c r="O24" s="168">
        <f>ZADNA!P22</f>
        <v>-95.2412867763599</v>
      </c>
      <c r="P24" s="168">
        <f>ZADNA!Q22</f>
        <v>-74.2850635281933</v>
      </c>
      <c r="Q24" s="168">
        <f>ZADNA!R22</f>
        <v>-48.2644080113412</v>
      </c>
      <c r="R24" s="168">
        <f>ZADNA!S22</f>
        <v>51.7299713173686</v>
      </c>
      <c r="S24" s="168">
        <f>ZADNA!T22</f>
        <v>95.8869949351564</v>
      </c>
      <c r="T24" s="104"/>
    </row>
    <row r="25" spans="1:20">
      <c r="A25" s="211" t="s">
        <v>55</v>
      </c>
      <c r="B25" s="212"/>
      <c r="C25" s="213"/>
      <c r="D25" s="214">
        <v>0</v>
      </c>
      <c r="E25" s="214">
        <v>0</v>
      </c>
      <c r="F25" s="214">
        <v>0</v>
      </c>
      <c r="G25" s="214">
        <v>0</v>
      </c>
      <c r="H25" s="214">
        <v>0</v>
      </c>
      <c r="I25" s="214">
        <v>0</v>
      </c>
      <c r="J25" s="214">
        <v>0</v>
      </c>
      <c r="K25" s="214">
        <v>0</v>
      </c>
      <c r="L25" s="214">
        <v>0</v>
      </c>
      <c r="M25" s="214">
        <v>0</v>
      </c>
      <c r="N25" s="214">
        <v>0</v>
      </c>
      <c r="O25" s="214">
        <v>0</v>
      </c>
      <c r="P25" s="214">
        <v>0</v>
      </c>
      <c r="Q25" s="214">
        <v>0</v>
      </c>
      <c r="R25" s="214">
        <v>0</v>
      </c>
      <c r="S25" s="214">
        <v>0</v>
      </c>
      <c r="T25" s="104"/>
    </row>
    <row r="26" spans="1:20">
      <c r="A26" s="121" t="s">
        <v>56</v>
      </c>
      <c r="B26" s="122"/>
      <c r="C26" s="141"/>
      <c r="D26" s="215">
        <f t="shared" ref="D26:S26" si="0">D24+D25</f>
        <v>-13.399</v>
      </c>
      <c r="E26" s="215">
        <f t="shared" si="0"/>
        <v>-19.77786</v>
      </c>
      <c r="F26" s="215">
        <f t="shared" si="0"/>
        <v>-27.412963</v>
      </c>
      <c r="G26" s="215">
        <f t="shared" si="0"/>
        <v>-35.262644</v>
      </c>
      <c r="H26" s="215">
        <f t="shared" si="0"/>
        <v>-49.6060475</v>
      </c>
      <c r="I26" s="215">
        <f t="shared" si="0"/>
        <v>-60.638506875</v>
      </c>
      <c r="J26" s="215">
        <f t="shared" si="0"/>
        <v>-82.41223065625</v>
      </c>
      <c r="K26" s="215">
        <f t="shared" si="0"/>
        <v>-116.069266804687</v>
      </c>
      <c r="L26" s="218">
        <f t="shared" si="0"/>
        <v>-115.091422721016</v>
      </c>
      <c r="M26" s="218">
        <f t="shared" si="0"/>
        <v>-114.233976361487</v>
      </c>
      <c r="N26" s="218">
        <f t="shared" si="0"/>
        <v>-108.408045938041</v>
      </c>
      <c r="O26" s="218">
        <f t="shared" si="0"/>
        <v>-95.2412867763599</v>
      </c>
      <c r="P26" s="218">
        <f t="shared" si="0"/>
        <v>-74.2850635281933</v>
      </c>
      <c r="Q26" s="218">
        <f t="shared" si="0"/>
        <v>-48.2644080113412</v>
      </c>
      <c r="R26" s="218">
        <f t="shared" si="0"/>
        <v>51.7299713173686</v>
      </c>
      <c r="S26" s="218">
        <f t="shared" si="0"/>
        <v>95.8869949351564</v>
      </c>
      <c r="T26" s="104"/>
    </row>
    <row r="27" spans="1:20">
      <c r="A27" s="137" t="str">
        <f>ZADNA!B23</f>
        <v>Tax (@ 15%)</v>
      </c>
      <c r="B27" s="128" t="s">
        <v>50</v>
      </c>
      <c r="C27" s="143"/>
      <c r="D27" s="144">
        <f>ZADNA!E23</f>
        <v>0</v>
      </c>
      <c r="E27" s="144">
        <f>ZADNA!F23</f>
        <v>0</v>
      </c>
      <c r="F27" s="144">
        <f>ZADNA!G23</f>
        <v>0</v>
      </c>
      <c r="G27" s="144">
        <f>ZADNA!H23</f>
        <v>0</v>
      </c>
      <c r="H27" s="144">
        <f>ZADNA!I23</f>
        <v>0</v>
      </c>
      <c r="I27" s="144">
        <f>ZADNA!J23</f>
        <v>0</v>
      </c>
      <c r="J27" s="144">
        <f>ZADNA!K23</f>
        <v>0</v>
      </c>
      <c r="K27" s="144">
        <f>ZADNA!L23</f>
        <v>0</v>
      </c>
      <c r="L27" s="219">
        <f>ZADNA!M23</f>
        <v>0</v>
      </c>
      <c r="M27" s="219">
        <f>ZADNA!N23</f>
        <v>0</v>
      </c>
      <c r="N27" s="219">
        <f>ZADNA!O23</f>
        <v>0</v>
      </c>
      <c r="O27" s="219">
        <f>ZADNA!P23</f>
        <v>0</v>
      </c>
      <c r="P27" s="219">
        <f>ZADNA!Q23</f>
        <v>0</v>
      </c>
      <c r="Q27" s="219">
        <f>ZADNA!R23</f>
        <v>0</v>
      </c>
      <c r="R27" s="219">
        <f>ZADNA!S23</f>
        <v>7.7594956976053</v>
      </c>
      <c r="S27" s="219">
        <f>ZADNA!T23</f>
        <v>14.3830492402735</v>
      </c>
      <c r="T27" s="104"/>
    </row>
    <row r="28" spans="1:20">
      <c r="A28" s="121" t="str">
        <f>ZADNA!B24</f>
        <v>PAT</v>
      </c>
      <c r="B28" s="141" t="s">
        <v>50</v>
      </c>
      <c r="C28" s="141"/>
      <c r="D28" s="142">
        <f>ZADNA!E24</f>
        <v>-13.399</v>
      </c>
      <c r="E28" s="142">
        <f>ZADNA!F24</f>
        <v>-19.77786</v>
      </c>
      <c r="F28" s="142">
        <f>ZADNA!G24</f>
        <v>-27.412963</v>
      </c>
      <c r="G28" s="142">
        <f>ZADNA!H24</f>
        <v>-35.262644</v>
      </c>
      <c r="H28" s="142">
        <f>ZADNA!I24</f>
        <v>-49.6060475</v>
      </c>
      <c r="I28" s="142">
        <f>ZADNA!J24</f>
        <v>-60.638506875</v>
      </c>
      <c r="J28" s="142">
        <f>ZADNA!K24</f>
        <v>-82.41223065625</v>
      </c>
      <c r="K28" s="142">
        <f>ZADNA!L24</f>
        <v>-116.069266804687</v>
      </c>
      <c r="L28" s="168">
        <f>ZADNA!M24</f>
        <v>-115.091422721016</v>
      </c>
      <c r="M28" s="168">
        <f>ZADNA!N24</f>
        <v>-114.233976361487</v>
      </c>
      <c r="N28" s="168">
        <f>ZADNA!O24</f>
        <v>-108.408045938041</v>
      </c>
      <c r="O28" s="168">
        <f>ZADNA!P24</f>
        <v>-95.2412867763599</v>
      </c>
      <c r="P28" s="168">
        <f>ZADNA!Q24</f>
        <v>-74.2850635281933</v>
      </c>
      <c r="Q28" s="168">
        <f>ZADNA!R24</f>
        <v>-48.2644080113412</v>
      </c>
      <c r="R28" s="168">
        <f>ZADNA!S24</f>
        <v>43.9704756197633</v>
      </c>
      <c r="S28" s="168">
        <f>ZADNA!T24</f>
        <v>81.503945694883</v>
      </c>
      <c r="T28" s="104"/>
    </row>
    <row r="29" spans="1:20">
      <c r="A29" s="121" t="s">
        <v>57</v>
      </c>
      <c r="B29" s="141" t="s">
        <v>50</v>
      </c>
      <c r="C29" s="141"/>
      <c r="D29" s="142">
        <f t="shared" ref="D29:S29" si="1">D28</f>
        <v>-13.399</v>
      </c>
      <c r="E29" s="142">
        <f t="shared" si="1"/>
        <v>-19.77786</v>
      </c>
      <c r="F29" s="142">
        <f t="shared" si="1"/>
        <v>-27.412963</v>
      </c>
      <c r="G29" s="142">
        <f t="shared" si="1"/>
        <v>-35.262644</v>
      </c>
      <c r="H29" s="142">
        <f t="shared" si="1"/>
        <v>-49.6060475</v>
      </c>
      <c r="I29" s="142">
        <f t="shared" si="1"/>
        <v>-60.638506875</v>
      </c>
      <c r="J29" s="142">
        <f t="shared" si="1"/>
        <v>-82.41223065625</v>
      </c>
      <c r="K29" s="142">
        <f t="shared" si="1"/>
        <v>-116.069266804687</v>
      </c>
      <c r="L29" s="168">
        <f t="shared" si="1"/>
        <v>-115.091422721016</v>
      </c>
      <c r="M29" s="168">
        <f t="shared" si="1"/>
        <v>-114.233976361487</v>
      </c>
      <c r="N29" s="168">
        <f t="shared" si="1"/>
        <v>-108.408045938041</v>
      </c>
      <c r="O29" s="168">
        <f t="shared" si="1"/>
        <v>-95.2412867763599</v>
      </c>
      <c r="P29" s="168">
        <f t="shared" si="1"/>
        <v>-74.2850635281933</v>
      </c>
      <c r="Q29" s="168">
        <f t="shared" si="1"/>
        <v>-48.2644080113412</v>
      </c>
      <c r="R29" s="168">
        <f t="shared" si="1"/>
        <v>43.9704756197633</v>
      </c>
      <c r="S29" s="168">
        <f t="shared" si="1"/>
        <v>81.503945694883</v>
      </c>
      <c r="T29" s="104"/>
    </row>
    <row r="30" spans="12:20">
      <c r="L30" s="104"/>
      <c r="M30" s="104"/>
      <c r="N30" s="104"/>
      <c r="O30" s="104"/>
      <c r="P30" s="104"/>
      <c r="Q30" s="104"/>
      <c r="R30" s="104"/>
      <c r="S30" s="104"/>
      <c r="T30" s="104"/>
    </row>
    <row r="31" spans="12:20">
      <c r="L31" s="104"/>
      <c r="M31" s="104"/>
      <c r="N31" s="104"/>
      <c r="O31" s="104"/>
      <c r="P31" s="104"/>
      <c r="Q31" s="104"/>
      <c r="R31" s="104"/>
      <c r="S31" s="104"/>
      <c r="T31" s="104"/>
    </row>
    <row r="32" spans="12:20">
      <c r="L32" s="104"/>
      <c r="M32" s="104"/>
      <c r="N32" s="104"/>
      <c r="O32" s="104"/>
      <c r="P32" s="104"/>
      <c r="Q32" s="104"/>
      <c r="R32" s="104"/>
      <c r="S32" s="104"/>
      <c r="T32" s="104"/>
    </row>
    <row r="33" spans="12:20">
      <c r="L33" s="104"/>
      <c r="M33" s="104"/>
      <c r="N33" s="104"/>
      <c r="O33" s="104"/>
      <c r="P33" s="104"/>
      <c r="Q33" s="104"/>
      <c r="R33" s="104"/>
      <c r="S33" s="104"/>
      <c r="T33" s="104"/>
    </row>
    <row r="34" spans="12:20">
      <c r="L34" s="104"/>
      <c r="M34" s="104"/>
      <c r="N34" s="104"/>
      <c r="O34" s="104"/>
      <c r="P34" s="104"/>
      <c r="Q34" s="104"/>
      <c r="R34" s="104"/>
      <c r="S34" s="104"/>
      <c r="T34" s="104"/>
    </row>
    <row r="35" spans="12:20">
      <c r="L35" s="104"/>
      <c r="M35" s="104"/>
      <c r="N35" s="104"/>
      <c r="O35" s="104"/>
      <c r="P35" s="104"/>
      <c r="Q35" s="104"/>
      <c r="R35" s="104"/>
      <c r="S35" s="104"/>
      <c r="T35" s="10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23"/>
  <sheetViews>
    <sheetView zoomScale="110" zoomScaleNormal="110" workbookViewId="0">
      <selection activeCell="A22" sqref="A22"/>
    </sheetView>
  </sheetViews>
  <sheetFormatPr defaultColWidth="9.23076923076923" defaultRowHeight="16.8"/>
  <cols>
    <col min="1" max="1" width="39.1730769230769" customWidth="1"/>
    <col min="4" max="4" width="11.1153846153846" customWidth="1"/>
    <col min="5" max="5" width="10.8557692307692" customWidth="1"/>
    <col min="6" max="6" width="11.1153846153846" customWidth="1"/>
    <col min="7" max="7" width="10.5961538461538" customWidth="1"/>
    <col min="8" max="8" width="11.8846153846154" customWidth="1"/>
    <col min="9" max="9" width="10.8557692307692" customWidth="1"/>
    <col min="10" max="10" width="10.3461538461538" customWidth="1"/>
    <col min="11" max="11" width="9.81730769230769" customWidth="1"/>
    <col min="12" max="12" width="9.82692307692308" customWidth="1"/>
    <col min="13" max="14" width="10.8557692307692" customWidth="1"/>
    <col min="15" max="15" width="11.3653846153846" customWidth="1"/>
    <col min="16" max="16" width="10.8557692307692" customWidth="1"/>
    <col min="17" max="18" width="11.1153846153846" customWidth="1"/>
    <col min="19" max="19" width="10.5961538461538" customWidth="1"/>
  </cols>
  <sheetData>
    <row r="1" spans="1:19">
      <c r="A1" s="57" t="s">
        <v>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193"/>
      <c r="B2" s="59"/>
      <c r="C2" s="59"/>
      <c r="D2" s="119" t="s">
        <v>4</v>
      </c>
      <c r="E2" s="119"/>
      <c r="F2" s="119"/>
      <c r="G2" s="119"/>
      <c r="H2" s="156" t="s">
        <v>5</v>
      </c>
      <c r="I2" s="156"/>
      <c r="J2" s="156"/>
      <c r="K2" s="156"/>
      <c r="L2" s="156" t="s">
        <v>6</v>
      </c>
      <c r="M2" s="156"/>
      <c r="N2" s="156"/>
      <c r="O2" s="156"/>
      <c r="P2" s="156" t="s">
        <v>7</v>
      </c>
      <c r="Q2" s="156"/>
      <c r="R2" s="156"/>
      <c r="S2" s="156"/>
    </row>
    <row r="3" spans="1:19">
      <c r="A3" s="120" t="s">
        <v>59</v>
      </c>
      <c r="B3" s="63"/>
      <c r="C3" s="63"/>
      <c r="D3" s="63" t="s">
        <v>8</v>
      </c>
      <c r="E3" s="63" t="s">
        <v>9</v>
      </c>
      <c r="F3" s="63" t="s">
        <v>10</v>
      </c>
      <c r="G3" s="63" t="s">
        <v>11</v>
      </c>
      <c r="H3" s="63" t="s">
        <v>8</v>
      </c>
      <c r="I3" s="63" t="s">
        <v>9</v>
      </c>
      <c r="J3" s="63" t="s">
        <v>10</v>
      </c>
      <c r="K3" s="63" t="s">
        <v>11</v>
      </c>
      <c r="L3" s="63" t="s">
        <v>8</v>
      </c>
      <c r="M3" s="63" t="s">
        <v>9</v>
      </c>
      <c r="N3" s="63" t="s">
        <v>10</v>
      </c>
      <c r="O3" s="63" t="s">
        <v>11</v>
      </c>
      <c r="P3" s="63" t="s">
        <v>8</v>
      </c>
      <c r="Q3" s="63" t="s">
        <v>9</v>
      </c>
      <c r="R3" s="63" t="s">
        <v>10</v>
      </c>
      <c r="S3" s="63" t="s">
        <v>11</v>
      </c>
    </row>
    <row r="4" spans="1:19">
      <c r="A4" s="121" t="s">
        <v>60</v>
      </c>
      <c r="B4" s="59"/>
      <c r="C4" s="59"/>
      <c r="D4" s="59"/>
      <c r="E4" s="157"/>
      <c r="F4" s="157"/>
      <c r="G4" s="157"/>
      <c r="H4" s="157"/>
      <c r="I4" s="157"/>
      <c r="J4" s="59"/>
      <c r="K4" s="59"/>
      <c r="L4" s="59"/>
      <c r="M4" s="59"/>
      <c r="N4" s="59"/>
      <c r="O4" s="59"/>
      <c r="P4" s="37"/>
      <c r="Q4" s="37"/>
      <c r="R4" s="37"/>
      <c r="S4" s="37"/>
    </row>
    <row r="5" spans="1:19">
      <c r="A5" s="194" t="s">
        <v>16</v>
      </c>
      <c r="B5" s="122" t="s">
        <v>50</v>
      </c>
      <c r="C5" s="59"/>
      <c r="D5" s="126">
        <f>ZADNA!E9</f>
        <v>18</v>
      </c>
      <c r="E5" s="206">
        <f>ZADNA!F9</f>
        <v>53.576</v>
      </c>
      <c r="F5" s="126">
        <f>ZADNA!G9</f>
        <v>85.5268</v>
      </c>
      <c r="G5" s="126">
        <f>ZADNA!H9</f>
        <v>111.6144</v>
      </c>
      <c r="H5" s="126">
        <f>ZADNA!I9</f>
        <v>141.006</v>
      </c>
      <c r="I5" s="126">
        <f>ZADNA!J9</f>
        <v>177.814</v>
      </c>
      <c r="J5" s="126">
        <f>ZADNA!K9</f>
        <v>220.6068</v>
      </c>
      <c r="K5" s="126">
        <f>ZADNA!L9</f>
        <v>270.5448</v>
      </c>
      <c r="L5" s="126">
        <f>ZADNA!M9</f>
        <v>535.905</v>
      </c>
      <c r="M5" s="126">
        <f>ZADNA!N9</f>
        <v>689.295</v>
      </c>
      <c r="N5" s="126">
        <f>ZADNA!O9</f>
        <v>868.8</v>
      </c>
      <c r="O5" s="126">
        <f>ZADNA!P9</f>
        <v>1095.7152</v>
      </c>
      <c r="P5" s="126">
        <f>ZADNA!Q9</f>
        <v>1371.27042</v>
      </c>
      <c r="Q5" s="126">
        <f>ZADNA!R9</f>
        <v>1661.763768</v>
      </c>
      <c r="R5" s="126">
        <f>ZADNA!S9</f>
        <v>1993.862733</v>
      </c>
      <c r="S5" s="126">
        <f>ZADNA!T9</f>
        <v>2309.879649</v>
      </c>
    </row>
    <row r="6" spans="1:19">
      <c r="A6" s="195" t="s">
        <v>20</v>
      </c>
      <c r="B6" s="122" t="s">
        <v>50</v>
      </c>
      <c r="C6" s="59"/>
      <c r="D6" s="136">
        <f>ZADNA!E13</f>
        <v>14.4</v>
      </c>
      <c r="E6" s="136">
        <f>ZADNA!F13</f>
        <v>42.8608</v>
      </c>
      <c r="F6" s="136">
        <f>ZADNA!G13</f>
        <v>68.42144</v>
      </c>
      <c r="G6" s="136">
        <f>ZADNA!H13</f>
        <v>89.29152</v>
      </c>
      <c r="H6" s="136">
        <f>ZADNA!I13</f>
        <v>112.8048</v>
      </c>
      <c r="I6" s="136">
        <f>ZADNA!J13</f>
        <v>142.2512</v>
      </c>
      <c r="J6" s="136">
        <f>ZADNA!K13</f>
        <v>176.48544</v>
      </c>
      <c r="K6" s="136">
        <f>ZADNA!L13</f>
        <v>216.43584</v>
      </c>
      <c r="L6" s="136">
        <f>ZADNA!M13</f>
        <v>423.36495</v>
      </c>
      <c r="M6" s="136">
        <f>ZADNA!N13</f>
        <v>537.6501</v>
      </c>
      <c r="N6" s="136">
        <f>ZADNA!O13</f>
        <v>668.976</v>
      </c>
      <c r="O6" s="136">
        <f>ZADNA!P13</f>
        <v>832.743552</v>
      </c>
      <c r="P6" s="136">
        <f>ZADNA!Q13</f>
        <v>1028.452815</v>
      </c>
      <c r="Q6" s="136">
        <f>ZADNA!R13</f>
        <v>1229.70518832</v>
      </c>
      <c r="R6" s="136">
        <f>ZADNA!S13</f>
        <v>1455.51979509</v>
      </c>
      <c r="S6" s="136">
        <f>ZADNA!T13</f>
        <v>1663.11334728</v>
      </c>
    </row>
    <row r="7" spans="1:19">
      <c r="A7" s="195" t="s">
        <v>61</v>
      </c>
      <c r="B7" s="59" t="s">
        <v>62</v>
      </c>
      <c r="C7" s="59"/>
      <c r="D7" s="136">
        <f>ZADNA!E60</f>
        <v>25</v>
      </c>
      <c r="E7" s="136">
        <f>ZADNA!F60</f>
        <v>24</v>
      </c>
      <c r="F7" s="136">
        <f>ZADNA!G60</f>
        <v>23</v>
      </c>
      <c r="G7" s="136">
        <f>ZADNA!H60</f>
        <v>22</v>
      </c>
      <c r="H7" s="136">
        <f>ZADNA!I60</f>
        <v>21</v>
      </c>
      <c r="I7" s="136">
        <f>ZADNA!J60</f>
        <v>20</v>
      </c>
      <c r="J7" s="136">
        <f>ZADNA!K60</f>
        <v>19</v>
      </c>
      <c r="K7" s="136">
        <f>ZADNA!L60</f>
        <v>18</v>
      </c>
      <c r="L7" s="136">
        <f>ZADNA!M60</f>
        <v>14</v>
      </c>
      <c r="M7" s="136">
        <f>ZADNA!N60</f>
        <v>13</v>
      </c>
      <c r="N7" s="136">
        <f>ZADNA!O60</f>
        <v>12</v>
      </c>
      <c r="O7" s="136">
        <f>ZADNA!P60</f>
        <v>11</v>
      </c>
      <c r="P7" s="136">
        <f>ZADNA!Q60</f>
        <v>10</v>
      </c>
      <c r="Q7" s="136">
        <f>ZADNA!R60</f>
        <v>9</v>
      </c>
      <c r="R7" s="136">
        <f>ZADNA!S60</f>
        <v>9</v>
      </c>
      <c r="S7" s="136">
        <f>ZADNA!T60</f>
        <v>9</v>
      </c>
    </row>
    <row r="8" spans="1:19">
      <c r="A8" s="195" t="s">
        <v>63</v>
      </c>
      <c r="B8" s="59" t="s">
        <v>62</v>
      </c>
      <c r="C8" s="59"/>
      <c r="D8" s="196">
        <f>365/$D$7</f>
        <v>14.6</v>
      </c>
      <c r="E8" s="196">
        <f t="shared" ref="D8:S8" si="0">365/E7</f>
        <v>15.2083333333333</v>
      </c>
      <c r="F8" s="196">
        <f t="shared" si="0"/>
        <v>15.8695652173913</v>
      </c>
      <c r="G8" s="196">
        <f t="shared" si="0"/>
        <v>16.5909090909091</v>
      </c>
      <c r="H8" s="196">
        <f t="shared" si="0"/>
        <v>17.3809523809524</v>
      </c>
      <c r="I8" s="196">
        <f t="shared" si="0"/>
        <v>18.25</v>
      </c>
      <c r="J8" s="196">
        <f t="shared" si="0"/>
        <v>19.2105263157895</v>
      </c>
      <c r="K8" s="196">
        <f t="shared" si="0"/>
        <v>20.2777777777778</v>
      </c>
      <c r="L8" s="196">
        <f t="shared" si="0"/>
        <v>26.0714285714286</v>
      </c>
      <c r="M8" s="196">
        <f t="shared" si="0"/>
        <v>28.0769230769231</v>
      </c>
      <c r="N8" s="196">
        <f t="shared" si="0"/>
        <v>30.4166666666667</v>
      </c>
      <c r="O8" s="196">
        <f t="shared" si="0"/>
        <v>33.1818181818182</v>
      </c>
      <c r="P8" s="196">
        <f t="shared" si="0"/>
        <v>36.5</v>
      </c>
      <c r="Q8" s="196">
        <f t="shared" si="0"/>
        <v>40.5555555555556</v>
      </c>
      <c r="R8" s="196">
        <f t="shared" si="0"/>
        <v>40.5555555555556</v>
      </c>
      <c r="S8" s="196">
        <f t="shared" si="0"/>
        <v>40.5555555555556</v>
      </c>
    </row>
    <row r="9" spans="1:19">
      <c r="A9" s="131" t="s">
        <v>64</v>
      </c>
      <c r="B9" s="59" t="s">
        <v>62</v>
      </c>
      <c r="C9" s="59"/>
      <c r="D9" s="197">
        <f>ZADNA!E61</f>
        <v>5</v>
      </c>
      <c r="E9" s="197">
        <f>ZADNA!F61</f>
        <v>5</v>
      </c>
      <c r="F9" s="197">
        <f>ZADNA!G61</f>
        <v>5</v>
      </c>
      <c r="G9" s="197">
        <f>ZADNA!H61</f>
        <v>5</v>
      </c>
      <c r="H9" s="197">
        <f>ZADNA!I61</f>
        <v>5</v>
      </c>
      <c r="I9" s="197">
        <f>ZADNA!J61</f>
        <v>5</v>
      </c>
      <c r="J9" s="197">
        <f>ZADNA!K61</f>
        <v>5</v>
      </c>
      <c r="K9" s="197">
        <f>ZADNA!L61</f>
        <v>5</v>
      </c>
      <c r="L9" s="207">
        <f>ZADNA!M61</f>
        <v>4</v>
      </c>
      <c r="M9" s="207">
        <f>ZADNA!N61</f>
        <v>4</v>
      </c>
      <c r="N9" s="207">
        <f>ZADNA!O61</f>
        <v>4</v>
      </c>
      <c r="O9" s="207">
        <f>ZADNA!P61</f>
        <v>4</v>
      </c>
      <c r="P9" s="207">
        <f>ZADNA!Q61</f>
        <v>4</v>
      </c>
      <c r="Q9" s="207">
        <f>ZADNA!R61</f>
        <v>4</v>
      </c>
      <c r="R9" s="207">
        <f>ZADNA!S61</f>
        <v>4</v>
      </c>
      <c r="S9" s="207">
        <f>ZADNA!T61</f>
        <v>4</v>
      </c>
    </row>
    <row r="10" spans="1:19">
      <c r="A10" s="195" t="s">
        <v>65</v>
      </c>
      <c r="B10" s="59" t="s">
        <v>62</v>
      </c>
      <c r="C10" s="59"/>
      <c r="D10" s="198">
        <f t="shared" ref="D10:S10" si="1">365/D9</f>
        <v>73</v>
      </c>
      <c r="E10" s="198">
        <f t="shared" si="1"/>
        <v>73</v>
      </c>
      <c r="F10" s="198">
        <f t="shared" si="1"/>
        <v>73</v>
      </c>
      <c r="G10" s="198">
        <f t="shared" si="1"/>
        <v>73</v>
      </c>
      <c r="H10" s="198">
        <f t="shared" si="1"/>
        <v>73</v>
      </c>
      <c r="I10" s="198">
        <f t="shared" si="1"/>
        <v>73</v>
      </c>
      <c r="J10" s="198">
        <f t="shared" si="1"/>
        <v>73</v>
      </c>
      <c r="K10" s="198">
        <f t="shared" si="1"/>
        <v>73</v>
      </c>
      <c r="L10" s="198">
        <f t="shared" si="1"/>
        <v>91.25</v>
      </c>
      <c r="M10" s="198">
        <f t="shared" si="1"/>
        <v>91.25</v>
      </c>
      <c r="N10" s="198">
        <f t="shared" si="1"/>
        <v>91.25</v>
      </c>
      <c r="O10" s="198">
        <f t="shared" si="1"/>
        <v>91.25</v>
      </c>
      <c r="P10" s="198">
        <f t="shared" si="1"/>
        <v>91.25</v>
      </c>
      <c r="Q10" s="198">
        <f t="shared" si="1"/>
        <v>91.25</v>
      </c>
      <c r="R10" s="198">
        <f t="shared" si="1"/>
        <v>91.25</v>
      </c>
      <c r="S10" s="198">
        <f t="shared" si="1"/>
        <v>91.25</v>
      </c>
    </row>
    <row r="11" spans="1:19">
      <c r="A11" s="131" t="s">
        <v>66</v>
      </c>
      <c r="B11" s="59" t="s">
        <v>62</v>
      </c>
      <c r="C11" s="59"/>
      <c r="D11" s="197">
        <f>ZADNA!E62</f>
        <v>7</v>
      </c>
      <c r="E11" s="197">
        <f>ZADNA!F62</f>
        <v>7</v>
      </c>
      <c r="F11" s="197">
        <f>ZADNA!G62</f>
        <v>7</v>
      </c>
      <c r="G11" s="197">
        <f>ZADNA!H62</f>
        <v>7</v>
      </c>
      <c r="H11" s="197">
        <f>ZADNA!I62</f>
        <v>7</v>
      </c>
      <c r="I11" s="197">
        <f>ZADNA!J62</f>
        <v>7</v>
      </c>
      <c r="J11" s="197">
        <f>ZADNA!K62</f>
        <v>7</v>
      </c>
      <c r="K11" s="197">
        <f>ZADNA!L62</f>
        <v>7</v>
      </c>
      <c r="L11" s="207">
        <f>ZADNA!M62</f>
        <v>7</v>
      </c>
      <c r="M11" s="207">
        <f>ZADNA!N62</f>
        <v>7</v>
      </c>
      <c r="N11" s="207">
        <f>ZADNA!O62</f>
        <v>7</v>
      </c>
      <c r="O11" s="207">
        <f>ZADNA!P62</f>
        <v>7</v>
      </c>
      <c r="P11" s="207">
        <f>ZADNA!Q62</f>
        <v>7</v>
      </c>
      <c r="Q11" s="207">
        <f>ZADNA!R62</f>
        <v>7</v>
      </c>
      <c r="R11" s="207">
        <f>ZADNA!S62</f>
        <v>7</v>
      </c>
      <c r="S11" s="207">
        <f>ZADNA!T62</f>
        <v>7</v>
      </c>
    </row>
    <row r="12" spans="1:115">
      <c r="A12" s="195" t="s">
        <v>67</v>
      </c>
      <c r="B12" s="59" t="s">
        <v>62</v>
      </c>
      <c r="C12" s="59"/>
      <c r="D12" s="198">
        <f t="shared" ref="D12:S12" si="2">365/D11</f>
        <v>52.1428571428571</v>
      </c>
      <c r="E12" s="198">
        <f t="shared" si="2"/>
        <v>52.1428571428571</v>
      </c>
      <c r="F12" s="198">
        <f t="shared" si="2"/>
        <v>52.1428571428571</v>
      </c>
      <c r="G12" s="198">
        <f t="shared" si="2"/>
        <v>52.1428571428571</v>
      </c>
      <c r="H12" s="198">
        <f t="shared" si="2"/>
        <v>52.1428571428571</v>
      </c>
      <c r="I12" s="198">
        <f t="shared" si="2"/>
        <v>52.1428571428571</v>
      </c>
      <c r="J12" s="198">
        <f t="shared" si="2"/>
        <v>52.1428571428571</v>
      </c>
      <c r="K12" s="198">
        <f t="shared" si="2"/>
        <v>52.1428571428571</v>
      </c>
      <c r="L12" s="198">
        <f t="shared" si="2"/>
        <v>52.1428571428571</v>
      </c>
      <c r="M12" s="198">
        <f t="shared" si="2"/>
        <v>52.1428571428571</v>
      </c>
      <c r="N12" s="198">
        <f t="shared" si="2"/>
        <v>52.1428571428571</v>
      </c>
      <c r="O12" s="198">
        <f t="shared" si="2"/>
        <v>52.1428571428571</v>
      </c>
      <c r="P12" s="198">
        <f t="shared" si="2"/>
        <v>52.1428571428571</v>
      </c>
      <c r="Q12" s="198">
        <f t="shared" si="2"/>
        <v>52.1428571428571</v>
      </c>
      <c r="R12" s="198">
        <f t="shared" si="2"/>
        <v>52.1428571428571</v>
      </c>
      <c r="S12" s="198">
        <f t="shared" si="2"/>
        <v>52.1428571428571</v>
      </c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</row>
    <row r="13" spans="1:19">
      <c r="A13" s="199" t="s">
        <v>68</v>
      </c>
      <c r="B13" s="66" t="s">
        <v>50</v>
      </c>
      <c r="C13" s="66"/>
      <c r="D13" s="200">
        <f t="shared" ref="D13:S13" si="3">D6/D8</f>
        <v>0.986301369863014</v>
      </c>
      <c r="E13" s="200">
        <f t="shared" si="3"/>
        <v>2.81824438356164</v>
      </c>
      <c r="F13" s="200">
        <f t="shared" si="3"/>
        <v>4.311488</v>
      </c>
      <c r="G13" s="200">
        <f t="shared" si="3"/>
        <v>5.38195463013699</v>
      </c>
      <c r="H13" s="200">
        <f t="shared" si="3"/>
        <v>6.49013917808219</v>
      </c>
      <c r="I13" s="200">
        <f t="shared" si="3"/>
        <v>7.79458630136986</v>
      </c>
      <c r="J13" s="200">
        <f t="shared" si="3"/>
        <v>9.18691331506849</v>
      </c>
      <c r="K13" s="200">
        <f t="shared" si="3"/>
        <v>10.6735482739726</v>
      </c>
      <c r="L13" s="208">
        <f t="shared" si="3"/>
        <v>16.2386556164384</v>
      </c>
      <c r="M13" s="208">
        <f t="shared" si="3"/>
        <v>19.1491816438356</v>
      </c>
      <c r="N13" s="208">
        <f t="shared" si="3"/>
        <v>21.9937315068493</v>
      </c>
      <c r="O13" s="208">
        <f t="shared" si="3"/>
        <v>25.0963810191781</v>
      </c>
      <c r="P13" s="208">
        <f t="shared" si="3"/>
        <v>28.1767894520548</v>
      </c>
      <c r="Q13" s="208">
        <f t="shared" si="3"/>
        <v>30.3214977941918</v>
      </c>
      <c r="R13" s="208">
        <f t="shared" si="3"/>
        <v>35.889529194</v>
      </c>
      <c r="S13" s="208">
        <f t="shared" si="3"/>
        <v>41.0082743164932</v>
      </c>
    </row>
    <row r="14" spans="1:19">
      <c r="A14" s="195" t="s">
        <v>69</v>
      </c>
      <c r="B14" s="59" t="s">
        <v>50</v>
      </c>
      <c r="C14" s="59"/>
      <c r="D14" s="201">
        <f t="shared" ref="D14:S14" si="4">D5/D10</f>
        <v>0.246575342465753</v>
      </c>
      <c r="E14" s="201">
        <f t="shared" si="4"/>
        <v>0.733917808219178</v>
      </c>
      <c r="F14" s="201">
        <f t="shared" si="4"/>
        <v>1.1716</v>
      </c>
      <c r="G14" s="201">
        <f t="shared" si="4"/>
        <v>1.52896438356164</v>
      </c>
      <c r="H14" s="201">
        <f t="shared" si="4"/>
        <v>1.93158904109589</v>
      </c>
      <c r="I14" s="201">
        <f t="shared" si="4"/>
        <v>2.43580821917808</v>
      </c>
      <c r="J14" s="201">
        <f t="shared" si="4"/>
        <v>3.02201095890411</v>
      </c>
      <c r="K14" s="201">
        <f t="shared" si="4"/>
        <v>3.70609315068493</v>
      </c>
      <c r="L14" s="209">
        <f t="shared" si="4"/>
        <v>5.87293150684931</v>
      </c>
      <c r="M14" s="209">
        <f t="shared" si="4"/>
        <v>7.55391780821918</v>
      </c>
      <c r="N14" s="209">
        <f t="shared" si="4"/>
        <v>9.52109589041096</v>
      </c>
      <c r="O14" s="209">
        <f t="shared" si="4"/>
        <v>12.0078378082192</v>
      </c>
      <c r="P14" s="209">
        <f t="shared" si="4"/>
        <v>15.0276210410959</v>
      </c>
      <c r="Q14" s="209">
        <f t="shared" si="4"/>
        <v>18.2111097863014</v>
      </c>
      <c r="R14" s="209">
        <f t="shared" si="4"/>
        <v>21.8505504986301</v>
      </c>
      <c r="S14" s="209">
        <f t="shared" si="4"/>
        <v>25.3137495780822</v>
      </c>
    </row>
    <row r="15" spans="1:19">
      <c r="A15" s="199" t="s">
        <v>70</v>
      </c>
      <c r="B15" s="66" t="s">
        <v>50</v>
      </c>
      <c r="C15" s="66"/>
      <c r="D15" s="200">
        <f>(ZADNA!E13+ZADNA!E14+ZADNA!E15)/D12</f>
        <v>0.328405479452055</v>
      </c>
      <c r="E15" s="200">
        <f>(ZADNA!F13+ZADNA!F14+ZADNA!F15)/E12</f>
        <v>0.978887671232877</v>
      </c>
      <c r="F15" s="200">
        <f>(ZADNA!G13+ZADNA!G14+ZADNA!G15)/F12</f>
        <v>1.56496871232877</v>
      </c>
      <c r="G15" s="200">
        <f>(ZADNA!H13+ZADNA!H14+ZADNA!H15)/G12</f>
        <v>2.04541457534247</v>
      </c>
      <c r="H15" s="200">
        <f>(ZADNA!I13+ZADNA!I14+ZADNA!I15)/H12</f>
        <v>2.58805726027397</v>
      </c>
      <c r="I15" s="200">
        <f>(ZADNA!J13+ZADNA!J14+ZADNA!J15)/I12</f>
        <v>3.26885463013699</v>
      </c>
      <c r="J15" s="200">
        <f>(ZADNA!K13+ZADNA!K14+ZADNA!K15)/J12</f>
        <v>4.06219589041096</v>
      </c>
      <c r="K15" s="200">
        <f>(ZADNA!L13+ZADNA!L14+ZADNA!L15)/K12</f>
        <v>4.99014542465753</v>
      </c>
      <c r="L15" s="208">
        <f>(ZADNA!M13+ZADNA!M14+ZADNA!M15)/L12</f>
        <v>9.59245479452055</v>
      </c>
      <c r="M15" s="208">
        <f>(ZADNA!N13+ZADNA!N14+ZADNA!N15)/M12</f>
        <v>12.1618076712329</v>
      </c>
      <c r="N15" s="208">
        <f>(ZADNA!O13+ZADNA!O14+ZADNA!O15)/N12</f>
        <v>15.1068054794521</v>
      </c>
      <c r="O15" s="208">
        <f>(ZADNA!P13+ZADNA!P14+ZADNA!P15)/O12</f>
        <v>18.7722531068493</v>
      </c>
      <c r="P15" s="208">
        <f>(ZADNA!Q13+ZADNA!Q14+ZADNA!Q15)/P12</f>
        <v>23.1425364032877</v>
      </c>
      <c r="Q15" s="208">
        <f>(ZADNA!R13+ZADNA!R14+ZADNA!R15)/Q12</f>
        <v>27.6201831758904</v>
      </c>
      <c r="R15" s="208">
        <f>(ZADNA!S13+ZADNA!S14+ZADNA!S15)/R12</f>
        <v>31.9163707616658</v>
      </c>
      <c r="S15" s="208">
        <f>(ZADNA!T13+ZADNA!T14+ZADNA!T15)/S12</f>
        <v>36.5319595994356</v>
      </c>
    </row>
    <row r="16" spans="1:19">
      <c r="A16" s="202" t="s">
        <v>71</v>
      </c>
      <c r="B16" s="66" t="s">
        <v>50</v>
      </c>
      <c r="C16" s="66"/>
      <c r="D16" s="203">
        <f t="shared" ref="D16:S16" si="5">D13+D14-D15</f>
        <v>0.904471232876712</v>
      </c>
      <c r="E16" s="203">
        <f t="shared" si="5"/>
        <v>2.57327452054794</v>
      </c>
      <c r="F16" s="203">
        <f t="shared" si="5"/>
        <v>3.91811928767123</v>
      </c>
      <c r="G16" s="203">
        <f t="shared" si="5"/>
        <v>4.86550443835616</v>
      </c>
      <c r="H16" s="203">
        <f t="shared" si="5"/>
        <v>5.83367095890411</v>
      </c>
      <c r="I16" s="203">
        <f t="shared" si="5"/>
        <v>6.96153989041095</v>
      </c>
      <c r="J16" s="203">
        <f t="shared" si="5"/>
        <v>8.14672838356164</v>
      </c>
      <c r="K16" s="203">
        <f t="shared" si="5"/>
        <v>9.389496</v>
      </c>
      <c r="L16" s="210">
        <f t="shared" si="5"/>
        <v>12.5191323287671</v>
      </c>
      <c r="M16" s="210">
        <f t="shared" si="5"/>
        <v>14.5412917808219</v>
      </c>
      <c r="N16" s="210">
        <f t="shared" si="5"/>
        <v>16.4080219178082</v>
      </c>
      <c r="O16" s="210">
        <f t="shared" si="5"/>
        <v>18.331965720548</v>
      </c>
      <c r="P16" s="210">
        <f t="shared" si="5"/>
        <v>20.061874089863</v>
      </c>
      <c r="Q16" s="210">
        <f t="shared" si="5"/>
        <v>20.9124244046028</v>
      </c>
      <c r="R16" s="210">
        <f t="shared" si="5"/>
        <v>25.8237089309644</v>
      </c>
      <c r="S16" s="210">
        <f t="shared" si="5"/>
        <v>29.7900642951397</v>
      </c>
    </row>
    <row r="17" spans="1:19">
      <c r="A17" s="204" t="s">
        <v>72</v>
      </c>
      <c r="B17" s="59" t="s">
        <v>51</v>
      </c>
      <c r="C17" s="59"/>
      <c r="D17" s="205">
        <f t="shared" ref="D17:S17" si="6">D16/D5</f>
        <v>0.050248401826484</v>
      </c>
      <c r="E17" s="205">
        <f t="shared" si="6"/>
        <v>0.0480303591262495</v>
      </c>
      <c r="F17" s="205">
        <f t="shared" si="6"/>
        <v>0.0458115969224995</v>
      </c>
      <c r="G17" s="205">
        <f t="shared" si="6"/>
        <v>0.0435920852359208</v>
      </c>
      <c r="H17" s="205">
        <f t="shared" si="6"/>
        <v>0.041371792398225</v>
      </c>
      <c r="I17" s="205">
        <f t="shared" si="6"/>
        <v>0.0391506849315068</v>
      </c>
      <c r="J17" s="205">
        <f t="shared" si="6"/>
        <v>0.0369287274171133</v>
      </c>
      <c r="K17" s="205">
        <f t="shared" si="6"/>
        <v>0.0347058823529412</v>
      </c>
      <c r="L17" s="205">
        <f t="shared" si="6"/>
        <v>0.0233607305936073</v>
      </c>
      <c r="M17" s="205">
        <f t="shared" si="6"/>
        <v>0.0210958904109589</v>
      </c>
      <c r="N17" s="205">
        <f t="shared" si="6"/>
        <v>0.0188858447488584</v>
      </c>
      <c r="O17" s="205">
        <f t="shared" si="6"/>
        <v>0.0167305936073059</v>
      </c>
      <c r="P17" s="205">
        <f t="shared" si="6"/>
        <v>0.0146301369863014</v>
      </c>
      <c r="Q17" s="205">
        <f t="shared" si="6"/>
        <v>0.0125844748858448</v>
      </c>
      <c r="R17" s="205">
        <f t="shared" si="6"/>
        <v>0.012951598173516</v>
      </c>
      <c r="S17" s="205">
        <f t="shared" si="6"/>
        <v>0.012896803652968</v>
      </c>
    </row>
    <row r="18" spans="1:1">
      <c r="A18" s="104"/>
    </row>
    <row r="19" spans="1:1">
      <c r="A19" s="104"/>
    </row>
    <row r="20" spans="1:1">
      <c r="A20" s="104"/>
    </row>
    <row r="21" spans="1:1">
      <c r="A21" s="104"/>
    </row>
    <row r="22" spans="1:1">
      <c r="A22" s="104"/>
    </row>
    <row r="23" spans="1:1">
      <c r="A23" s="104"/>
    </row>
  </sheetData>
  <mergeCells count="4">
    <mergeCell ref="D2:G2"/>
    <mergeCell ref="H2:K2"/>
    <mergeCell ref="L2:O2"/>
    <mergeCell ref="P2:S2"/>
  </mergeCells>
  <pageMargins left="0.75" right="0.75" top="1" bottom="1" header="0.5" footer="0.5"/>
  <headerFooter/>
  <ignoredErrors>
    <ignoredError sqref="E9:S9 D11:S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15"/>
  <sheetViews>
    <sheetView zoomScale="107" zoomScaleNormal="107" workbookViewId="0">
      <selection activeCell="A1" sqref="A1"/>
    </sheetView>
  </sheetViews>
  <sheetFormatPr defaultColWidth="9.23076923076923" defaultRowHeight="16.8"/>
  <cols>
    <col min="1" max="1" width="58.0096153846154" customWidth="1"/>
    <col min="4" max="6" width="11.6153846153846"/>
    <col min="7" max="11" width="12.8461538461538"/>
  </cols>
  <sheetData>
    <row r="1" spans="1:11">
      <c r="A1" s="57" t="s">
        <v>73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180"/>
      <c r="B2" s="59"/>
      <c r="C2" s="59"/>
      <c r="D2" s="77" t="s">
        <v>6</v>
      </c>
      <c r="E2" s="77"/>
      <c r="F2" s="77"/>
      <c r="G2" s="77"/>
      <c r="H2" s="77" t="s">
        <v>7</v>
      </c>
      <c r="I2" s="37"/>
      <c r="J2" s="37"/>
      <c r="K2" s="37"/>
    </row>
    <row r="3" ht="17.55" spans="1:11">
      <c r="A3" s="120" t="s">
        <v>74</v>
      </c>
      <c r="B3" s="63"/>
      <c r="C3" s="63"/>
      <c r="D3" s="63" t="s">
        <v>8</v>
      </c>
      <c r="E3" s="63" t="s">
        <v>9</v>
      </c>
      <c r="F3" s="63" t="s">
        <v>10</v>
      </c>
      <c r="G3" s="63" t="s">
        <v>11</v>
      </c>
      <c r="H3" s="63" t="s">
        <v>8</v>
      </c>
      <c r="I3" s="63" t="s">
        <v>9</v>
      </c>
      <c r="J3" s="63" t="s">
        <v>10</v>
      </c>
      <c r="K3" s="63" t="s">
        <v>11</v>
      </c>
    </row>
    <row r="4" spans="1:13">
      <c r="A4" s="181" t="s">
        <v>75</v>
      </c>
      <c r="B4" s="66" t="s">
        <v>50</v>
      </c>
      <c r="C4" s="66"/>
      <c r="D4" s="182">
        <f>ZADNA!M6</f>
        <v>616</v>
      </c>
      <c r="E4" s="182">
        <f>ZADNA!N6</f>
        <v>774.4</v>
      </c>
      <c r="F4" s="182">
        <f>ZADNA!O6</f>
        <v>958.32</v>
      </c>
      <c r="G4" s="182">
        <f>ZADNA!P6</f>
        <v>1194.7056</v>
      </c>
      <c r="H4" s="182">
        <f>ZADNA!Q6</f>
        <v>1481.6692</v>
      </c>
      <c r="I4" s="182">
        <f>ZADNA!R6</f>
        <v>1771.561</v>
      </c>
      <c r="J4" s="182">
        <f>ZADNA!S6</f>
        <v>2104.614468</v>
      </c>
      <c r="K4" s="182">
        <f>ZADNA!T6</f>
        <v>2400.8194672</v>
      </c>
      <c r="L4" s="104"/>
      <c r="M4" s="104"/>
    </row>
    <row r="5" spans="1:16376">
      <c r="A5" s="183" t="s">
        <v>76</v>
      </c>
      <c r="B5" s="128" t="s">
        <v>51</v>
      </c>
      <c r="C5" s="184"/>
      <c r="D5" s="185">
        <v>0.0125</v>
      </c>
      <c r="E5" s="185">
        <v>0.0125</v>
      </c>
      <c r="F5" s="185">
        <v>0.0125</v>
      </c>
      <c r="G5" s="185">
        <v>0.0125</v>
      </c>
      <c r="H5" s="185">
        <v>0.0125</v>
      </c>
      <c r="I5" s="185">
        <v>0.0125</v>
      </c>
      <c r="J5" s="185">
        <v>0.0125</v>
      </c>
      <c r="K5" s="185">
        <v>0.0125</v>
      </c>
      <c r="L5" s="104"/>
      <c r="M5" s="104"/>
      <c r="XEV5" s="192"/>
    </row>
    <row r="6" spans="1:13">
      <c r="A6" s="186" t="s">
        <v>77</v>
      </c>
      <c r="B6" s="122" t="s">
        <v>50</v>
      </c>
      <c r="C6" s="59"/>
      <c r="D6" s="187">
        <f t="shared" ref="D6:K6" si="0">D4*D5</f>
        <v>7.7</v>
      </c>
      <c r="E6" s="187">
        <f t="shared" si="0"/>
        <v>9.68</v>
      </c>
      <c r="F6" s="187">
        <f t="shared" si="0"/>
        <v>11.979</v>
      </c>
      <c r="G6" s="187">
        <f t="shared" si="0"/>
        <v>14.93382</v>
      </c>
      <c r="H6" s="187">
        <f t="shared" si="0"/>
        <v>18.520865</v>
      </c>
      <c r="I6" s="187">
        <f t="shared" si="0"/>
        <v>22.1445125</v>
      </c>
      <c r="J6" s="187">
        <f t="shared" si="0"/>
        <v>26.30768085</v>
      </c>
      <c r="K6" s="187">
        <f t="shared" si="0"/>
        <v>30.01024334</v>
      </c>
      <c r="L6" s="104"/>
      <c r="M6" s="104"/>
    </row>
    <row r="7" spans="1:13">
      <c r="A7" s="180"/>
      <c r="B7" s="59"/>
      <c r="C7" s="59"/>
      <c r="D7" s="188"/>
      <c r="E7" s="188"/>
      <c r="F7" s="188"/>
      <c r="G7" s="188"/>
      <c r="H7" s="188"/>
      <c r="I7" s="188"/>
      <c r="J7" s="188"/>
      <c r="K7" s="188"/>
      <c r="L7" s="104"/>
      <c r="M7" s="104"/>
    </row>
    <row r="8" ht="17.55" spans="1:13">
      <c r="A8" s="120" t="s">
        <v>78</v>
      </c>
      <c r="B8" s="63"/>
      <c r="C8" s="63"/>
      <c r="D8" s="170" t="s">
        <v>8</v>
      </c>
      <c r="E8" s="170" t="s">
        <v>9</v>
      </c>
      <c r="F8" s="170" t="s">
        <v>10</v>
      </c>
      <c r="G8" s="170" t="s">
        <v>11</v>
      </c>
      <c r="H8" s="170" t="s">
        <v>8</v>
      </c>
      <c r="I8" s="170" t="s">
        <v>9</v>
      </c>
      <c r="J8" s="170" t="s">
        <v>10</v>
      </c>
      <c r="K8" s="170" t="s">
        <v>11</v>
      </c>
      <c r="L8" s="104"/>
      <c r="M8" s="104"/>
    </row>
    <row r="9" spans="1:13">
      <c r="A9" s="181" t="s">
        <v>79</v>
      </c>
      <c r="B9" s="66" t="s">
        <v>50</v>
      </c>
      <c r="C9" s="66"/>
      <c r="D9" s="182">
        <f t="shared" ref="D9:K9" si="1">D4*D10</f>
        <v>3.08</v>
      </c>
      <c r="E9" s="182">
        <f t="shared" si="1"/>
        <v>3.872</v>
      </c>
      <c r="F9" s="182">
        <f t="shared" si="1"/>
        <v>4.7916</v>
      </c>
      <c r="G9" s="182">
        <f t="shared" si="1"/>
        <v>5.973528</v>
      </c>
      <c r="H9" s="182">
        <f t="shared" si="1"/>
        <v>7.408346</v>
      </c>
      <c r="I9" s="182">
        <f t="shared" si="1"/>
        <v>8.857805</v>
      </c>
      <c r="J9" s="182">
        <f t="shared" si="1"/>
        <v>10.52307234</v>
      </c>
      <c r="K9" s="182">
        <f t="shared" si="1"/>
        <v>12.004097336</v>
      </c>
      <c r="L9" s="104"/>
      <c r="M9" s="104"/>
    </row>
    <row r="10" spans="1:13">
      <c r="A10" s="69" t="s">
        <v>80</v>
      </c>
      <c r="B10" s="59" t="s">
        <v>51</v>
      </c>
      <c r="C10" s="59"/>
      <c r="D10" s="189">
        <v>0.005</v>
      </c>
      <c r="E10" s="189">
        <v>0.005</v>
      </c>
      <c r="F10" s="189">
        <v>0.005</v>
      </c>
      <c r="G10" s="189">
        <v>0.005</v>
      </c>
      <c r="H10" s="189">
        <v>0.005</v>
      </c>
      <c r="I10" s="189">
        <v>0.005</v>
      </c>
      <c r="J10" s="189">
        <v>0.005</v>
      </c>
      <c r="K10" s="189">
        <v>0.005</v>
      </c>
      <c r="L10" s="104"/>
      <c r="M10" s="104"/>
    </row>
    <row r="11" spans="1:13">
      <c r="A11" s="190" t="s">
        <v>81</v>
      </c>
      <c r="B11" s="122" t="s">
        <v>50</v>
      </c>
      <c r="C11" s="59"/>
      <c r="D11" s="108">
        <f t="shared" ref="D11:K11" si="2">D4*D12</f>
        <v>21.56</v>
      </c>
      <c r="E11" s="108">
        <f t="shared" si="2"/>
        <v>27.104</v>
      </c>
      <c r="F11" s="108">
        <f t="shared" si="2"/>
        <v>33.5412</v>
      </c>
      <c r="G11" s="108">
        <f t="shared" si="2"/>
        <v>41.814696</v>
      </c>
      <c r="H11" s="108">
        <f t="shared" si="2"/>
        <v>51.858422</v>
      </c>
      <c r="I11" s="108">
        <f t="shared" si="2"/>
        <v>62.004635</v>
      </c>
      <c r="J11" s="108">
        <f t="shared" si="2"/>
        <v>73.66150638</v>
      </c>
      <c r="K11" s="108">
        <f t="shared" si="2"/>
        <v>84.028681352</v>
      </c>
      <c r="L11" s="104"/>
      <c r="M11" s="104"/>
    </row>
    <row r="12" spans="1:13">
      <c r="A12" s="183" t="s">
        <v>82</v>
      </c>
      <c r="B12" s="128" t="s">
        <v>51</v>
      </c>
      <c r="C12" s="128"/>
      <c r="D12" s="191">
        <v>0.035</v>
      </c>
      <c r="E12" s="191">
        <v>0.035</v>
      </c>
      <c r="F12" s="191">
        <v>0.035</v>
      </c>
      <c r="G12" s="191">
        <v>0.035</v>
      </c>
      <c r="H12" s="191">
        <v>0.035</v>
      </c>
      <c r="I12" s="191">
        <v>0.035</v>
      </c>
      <c r="J12" s="191">
        <v>0.035</v>
      </c>
      <c r="K12" s="191">
        <v>0.035</v>
      </c>
      <c r="L12" s="104"/>
      <c r="M12" s="104"/>
    </row>
    <row r="13" spans="1:13">
      <c r="A13" s="186" t="s">
        <v>83</v>
      </c>
      <c r="B13" s="122" t="s">
        <v>50</v>
      </c>
      <c r="C13" s="59"/>
      <c r="D13" s="115">
        <f t="shared" ref="D13:K13" si="3">D9+D11</f>
        <v>24.64</v>
      </c>
      <c r="E13" s="115">
        <f t="shared" si="3"/>
        <v>30.976</v>
      </c>
      <c r="F13" s="115">
        <f t="shared" si="3"/>
        <v>38.3328</v>
      </c>
      <c r="G13" s="115">
        <f t="shared" si="3"/>
        <v>47.788224</v>
      </c>
      <c r="H13" s="115">
        <f t="shared" si="3"/>
        <v>59.266768</v>
      </c>
      <c r="I13" s="115">
        <f t="shared" si="3"/>
        <v>70.86244</v>
      </c>
      <c r="J13" s="115">
        <f t="shared" si="3"/>
        <v>84.18457872</v>
      </c>
      <c r="K13" s="115">
        <f t="shared" si="3"/>
        <v>96.0327786880001</v>
      </c>
      <c r="L13" s="104"/>
      <c r="M13" s="104"/>
    </row>
    <row r="14" spans="1:13">
      <c r="A14" s="180"/>
      <c r="B14" s="59"/>
      <c r="C14" s="59"/>
      <c r="D14" s="109"/>
      <c r="E14" s="109"/>
      <c r="F14" s="109"/>
      <c r="G14" s="109"/>
      <c r="H14" s="109"/>
      <c r="I14" s="109"/>
      <c r="J14" s="109"/>
      <c r="K14" s="109"/>
      <c r="L14" s="104"/>
      <c r="M14" s="104"/>
    </row>
    <row r="15" spans="4:13"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37"/>
  <sheetViews>
    <sheetView zoomScale="92" zoomScaleNormal="92" workbookViewId="0">
      <selection activeCell="H42" sqref="H42"/>
    </sheetView>
  </sheetViews>
  <sheetFormatPr defaultColWidth="9.23076923076923" defaultRowHeight="16.8"/>
  <cols>
    <col min="1" max="1" width="33.9615384615385" customWidth="1"/>
    <col min="3" max="3" width="5.92307692307692" customWidth="1"/>
    <col min="4" max="4" width="7.65384615384615" customWidth="1"/>
    <col min="5" max="5" width="7.66346153846154" customWidth="1"/>
    <col min="6" max="6" width="7.31730769230769" customWidth="1"/>
    <col min="7" max="7" width="8.00961538461539" customWidth="1"/>
    <col min="8" max="8" width="7.83653846153846" customWidth="1"/>
    <col min="9" max="9" width="7.82692307692308" customWidth="1"/>
    <col min="10" max="10" width="7.65384615384615" customWidth="1"/>
    <col min="11" max="11" width="8.52884615384615" customWidth="1"/>
    <col min="12" max="12" width="8.53846153846154" customWidth="1"/>
    <col min="13" max="13" width="8.18269230769231" customWidth="1"/>
    <col min="14" max="14" width="9.22115384615385" customWidth="1"/>
    <col min="15" max="15" width="8.875" customWidth="1"/>
    <col min="16" max="16" width="8.52884615384615" customWidth="1"/>
    <col min="17" max="18" width="8.35576923076923" customWidth="1"/>
    <col min="19" max="19" width="7.83653846153846" customWidth="1"/>
  </cols>
  <sheetData>
    <row r="1" s="112" customFormat="1" spans="1:19">
      <c r="A1" s="57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="112" customFormat="1" spans="1:19">
      <c r="A2" s="118"/>
      <c r="B2" s="59"/>
      <c r="C2" s="59"/>
      <c r="D2" s="119" t="s">
        <v>4</v>
      </c>
      <c r="E2" s="119"/>
      <c r="F2" s="119"/>
      <c r="G2" s="119"/>
      <c r="H2" s="156" t="s">
        <v>5</v>
      </c>
      <c r="I2" s="156"/>
      <c r="J2" s="156"/>
      <c r="K2" s="156"/>
      <c r="L2" s="156" t="s">
        <v>6</v>
      </c>
      <c r="M2" s="156"/>
      <c r="N2" s="156"/>
      <c r="O2" s="156"/>
      <c r="P2" s="156" t="s">
        <v>7</v>
      </c>
      <c r="Q2" s="156"/>
      <c r="R2" s="156"/>
      <c r="S2" s="156"/>
    </row>
    <row r="3" s="112" customFormat="1" ht="17.55" spans="1:19">
      <c r="A3" s="120" t="s">
        <v>84</v>
      </c>
      <c r="B3" s="63"/>
      <c r="C3" s="63"/>
      <c r="D3" s="63" t="s">
        <v>8</v>
      </c>
      <c r="E3" s="63" t="s">
        <v>9</v>
      </c>
      <c r="F3" s="63" t="s">
        <v>10</v>
      </c>
      <c r="G3" s="63" t="s">
        <v>11</v>
      </c>
      <c r="H3" s="63" t="s">
        <v>8</v>
      </c>
      <c r="I3" s="63" t="s">
        <v>9</v>
      </c>
      <c r="J3" s="63" t="s">
        <v>10</v>
      </c>
      <c r="K3" s="63" t="s">
        <v>11</v>
      </c>
      <c r="L3" s="63" t="s">
        <v>8</v>
      </c>
      <c r="M3" s="63" t="s">
        <v>9</v>
      </c>
      <c r="N3" s="63" t="s">
        <v>10</v>
      </c>
      <c r="O3" s="63" t="s">
        <v>11</v>
      </c>
      <c r="P3" s="63" t="s">
        <v>8</v>
      </c>
      <c r="Q3" s="63" t="s">
        <v>9</v>
      </c>
      <c r="R3" s="63" t="s">
        <v>10</v>
      </c>
      <c r="S3" s="63" t="s">
        <v>11</v>
      </c>
    </row>
    <row r="4" s="112" customFormat="1" hidden="1" spans="1:19">
      <c r="A4" s="121"/>
      <c r="B4" s="122"/>
      <c r="C4" s="59"/>
      <c r="D4" s="59"/>
      <c r="E4" s="157"/>
      <c r="F4" s="157"/>
      <c r="G4" s="157"/>
      <c r="H4" s="157"/>
      <c r="I4" s="157"/>
      <c r="J4" s="59"/>
      <c r="K4" s="59"/>
      <c r="L4" s="59"/>
      <c r="M4" s="59"/>
      <c r="N4" s="59"/>
      <c r="O4" s="59"/>
      <c r="P4" s="37"/>
      <c r="Q4" s="37"/>
      <c r="R4" s="37"/>
      <c r="S4" s="37"/>
    </row>
    <row r="5" s="112" customFormat="1" hidden="1" spans="1:19">
      <c r="A5" s="121" t="str">
        <f>ZADNA!B5</f>
        <v>Gross Revenue</v>
      </c>
      <c r="B5" s="123" t="s">
        <v>50</v>
      </c>
      <c r="C5" s="64"/>
      <c r="D5" s="124">
        <f>ZADNA!E5</f>
        <v>24</v>
      </c>
      <c r="E5" s="124">
        <f>ZADNA!F5</f>
        <v>72.4</v>
      </c>
      <c r="F5" s="124">
        <f>ZADNA!G5</f>
        <v>117.16</v>
      </c>
      <c r="G5" s="124">
        <f>ZADNA!H5</f>
        <v>155.02</v>
      </c>
      <c r="H5" s="124">
        <f>ZADNA!I5</f>
        <v>198.6</v>
      </c>
      <c r="I5" s="124">
        <f>ZADNA!J5</f>
        <v>254.02</v>
      </c>
      <c r="J5" s="124">
        <f>ZADNA!K5</f>
        <v>319.72</v>
      </c>
      <c r="K5" s="124">
        <f>ZADNA!L5</f>
        <v>397.86</v>
      </c>
      <c r="L5" s="158">
        <f>ZADNA!M5</f>
        <v>714.54</v>
      </c>
      <c r="M5" s="158">
        <f>ZADNA!N5</f>
        <v>919.06</v>
      </c>
      <c r="N5" s="158">
        <f>ZADNA!O5</f>
        <v>1158.4</v>
      </c>
      <c r="O5" s="158">
        <f>ZADNA!P5</f>
        <v>1460.9536</v>
      </c>
      <c r="P5" s="158">
        <f>ZADNA!Q5</f>
        <v>1828.36056</v>
      </c>
      <c r="Q5" s="158">
        <f>ZADNA!R5</f>
        <v>2215.685024</v>
      </c>
      <c r="R5" s="158">
        <f>ZADNA!S5</f>
        <v>2658.483644</v>
      </c>
      <c r="S5" s="158">
        <f>ZADNA!T5</f>
        <v>3079.839532</v>
      </c>
    </row>
    <row r="6" s="112" customFormat="1" hidden="1" spans="1:19">
      <c r="A6" s="125" t="str">
        <f>ZADNA!B6</f>
        <v>Revenue from new customers</v>
      </c>
      <c r="B6" s="122" t="s">
        <v>50</v>
      </c>
      <c r="C6" s="59"/>
      <c r="D6" s="126">
        <f>ZADNA!E6</f>
        <v>24</v>
      </c>
      <c r="E6" s="126">
        <f>ZADNA!F6</f>
        <v>70</v>
      </c>
      <c r="F6" s="126">
        <f>ZADNA!G6</f>
        <v>108</v>
      </c>
      <c r="G6" s="126">
        <f>ZADNA!H6</f>
        <v>136</v>
      </c>
      <c r="H6" s="126">
        <f>ZADNA!I6</f>
        <v>168</v>
      </c>
      <c r="I6" s="126">
        <f>ZADNA!J6</f>
        <v>210</v>
      </c>
      <c r="J6" s="126">
        <f>ZADNA!K6</f>
        <v>260</v>
      </c>
      <c r="K6" s="126">
        <f>ZADNA!L6</f>
        <v>320</v>
      </c>
      <c r="L6" s="159">
        <f>ZADNA!M6</f>
        <v>616</v>
      </c>
      <c r="M6" s="159">
        <f>ZADNA!N6</f>
        <v>774.4</v>
      </c>
      <c r="N6" s="159">
        <f>ZADNA!O6</f>
        <v>958.32</v>
      </c>
      <c r="O6" s="159">
        <f>ZADNA!P6</f>
        <v>1194.7056</v>
      </c>
      <c r="P6" s="159">
        <f>ZADNA!Q6</f>
        <v>1481.6692</v>
      </c>
      <c r="Q6" s="159">
        <f>ZADNA!R6</f>
        <v>1771.561</v>
      </c>
      <c r="R6" s="159">
        <f>ZADNA!S6</f>
        <v>2104.614468</v>
      </c>
      <c r="S6" s="159">
        <f>ZADNA!T6</f>
        <v>2400.8194672</v>
      </c>
    </row>
    <row r="7" s="112" customFormat="1" hidden="1" spans="1:19">
      <c r="A7" s="125" t="str">
        <f>ZADNA!B7</f>
        <v>Revenue from repeat customers</v>
      </c>
      <c r="B7" s="122" t="s">
        <v>50</v>
      </c>
      <c r="C7" s="59"/>
      <c r="D7" s="126">
        <f>ZADNA!E7</f>
        <v>0</v>
      </c>
      <c r="E7" s="126">
        <f>ZADNA!F7</f>
        <v>2.40000000000001</v>
      </c>
      <c r="F7" s="126">
        <f>ZADNA!G7</f>
        <v>9.16</v>
      </c>
      <c r="G7" s="126">
        <f>ZADNA!H7</f>
        <v>19.02</v>
      </c>
      <c r="H7" s="126">
        <f>ZADNA!I7</f>
        <v>30.6</v>
      </c>
      <c r="I7" s="126">
        <f>ZADNA!J7</f>
        <v>44.02</v>
      </c>
      <c r="J7" s="126">
        <f>ZADNA!K7</f>
        <v>59.72</v>
      </c>
      <c r="K7" s="126">
        <f>ZADNA!L7</f>
        <v>77.86</v>
      </c>
      <c r="L7" s="159">
        <f>ZADNA!M7</f>
        <v>98.54</v>
      </c>
      <c r="M7" s="159">
        <f>ZADNA!N7</f>
        <v>144.66</v>
      </c>
      <c r="N7" s="159">
        <f>ZADNA!O7</f>
        <v>200.08</v>
      </c>
      <c r="O7" s="159">
        <f>ZADNA!P7</f>
        <v>266.248</v>
      </c>
      <c r="P7" s="159">
        <f>ZADNA!Q7</f>
        <v>346.69136</v>
      </c>
      <c r="Q7" s="159">
        <f>ZADNA!R7</f>
        <v>444.124024</v>
      </c>
      <c r="R7" s="159">
        <f>ZADNA!S7</f>
        <v>553.869176</v>
      </c>
      <c r="S7" s="159">
        <f>ZADNA!T7</f>
        <v>679.0200648</v>
      </c>
    </row>
    <row r="8" s="112" customFormat="1" hidden="1" spans="1:19">
      <c r="A8" s="127" t="str">
        <f>ZADNA!B8</f>
        <v>Product Returns (%)</v>
      </c>
      <c r="B8" s="128" t="s">
        <v>51</v>
      </c>
      <c r="C8" s="128"/>
      <c r="D8" s="129">
        <f>ZADNA!E8</f>
        <v>0.25</v>
      </c>
      <c r="E8" s="129">
        <f>ZADNA!F8</f>
        <v>0.26</v>
      </c>
      <c r="F8" s="129">
        <f>ZADNA!G8</f>
        <v>0.27</v>
      </c>
      <c r="G8" s="129">
        <f>ZADNA!H8</f>
        <v>0.28</v>
      </c>
      <c r="H8" s="129">
        <f>ZADNA!I8</f>
        <v>0.29</v>
      </c>
      <c r="I8" s="129">
        <f>ZADNA!J8</f>
        <v>0.3</v>
      </c>
      <c r="J8" s="129">
        <f>ZADNA!K8</f>
        <v>0.31</v>
      </c>
      <c r="K8" s="129">
        <f>ZADNA!L8</f>
        <v>0.32</v>
      </c>
      <c r="L8" s="160">
        <f>ZADNA!M8</f>
        <v>0.25</v>
      </c>
      <c r="M8" s="160">
        <f>ZADNA!N8</f>
        <v>0.25</v>
      </c>
      <c r="N8" s="160">
        <f>ZADNA!O8</f>
        <v>0.25</v>
      </c>
      <c r="O8" s="160">
        <f>ZADNA!P8</f>
        <v>0.25</v>
      </c>
      <c r="P8" s="160">
        <f>ZADNA!Q8</f>
        <v>0.25</v>
      </c>
      <c r="Q8" s="160">
        <f>ZADNA!R8</f>
        <v>0.25</v>
      </c>
      <c r="R8" s="160">
        <f>ZADNA!S8</f>
        <v>0.25</v>
      </c>
      <c r="S8" s="160">
        <f>ZADNA!T8</f>
        <v>0.25</v>
      </c>
    </row>
    <row r="9" s="112" customFormat="1" hidden="1" spans="1:19">
      <c r="A9" s="130" t="str">
        <f>ZADNA!B9</f>
        <v>Net Revenue</v>
      </c>
      <c r="B9" s="123" t="s">
        <v>50</v>
      </c>
      <c r="C9" s="64"/>
      <c r="D9" s="124">
        <f>ZADNA!E9</f>
        <v>18</v>
      </c>
      <c r="E9" s="124">
        <f>ZADNA!F9</f>
        <v>53.576</v>
      </c>
      <c r="F9" s="124">
        <f>ZADNA!G9</f>
        <v>85.5268</v>
      </c>
      <c r="G9" s="124">
        <f>ZADNA!H9</f>
        <v>111.6144</v>
      </c>
      <c r="H9" s="124">
        <f>ZADNA!I9</f>
        <v>141.006</v>
      </c>
      <c r="I9" s="124">
        <f>ZADNA!J9</f>
        <v>177.814</v>
      </c>
      <c r="J9" s="124">
        <f>ZADNA!K9</f>
        <v>220.6068</v>
      </c>
      <c r="K9" s="124">
        <f>ZADNA!L9</f>
        <v>270.5448</v>
      </c>
      <c r="L9" s="158">
        <f>ZADNA!M9</f>
        <v>535.905</v>
      </c>
      <c r="M9" s="158">
        <f>ZADNA!N9</f>
        <v>689.295</v>
      </c>
      <c r="N9" s="158">
        <f>ZADNA!O9</f>
        <v>868.8</v>
      </c>
      <c r="O9" s="158">
        <f>ZADNA!P9</f>
        <v>1095.7152</v>
      </c>
      <c r="P9" s="158">
        <f>ZADNA!Q9</f>
        <v>1371.27042</v>
      </c>
      <c r="Q9" s="158">
        <f>ZADNA!R9</f>
        <v>1661.763768</v>
      </c>
      <c r="R9" s="158">
        <f>ZADNA!S9</f>
        <v>1993.862733</v>
      </c>
      <c r="S9" s="158">
        <f>ZADNA!T9</f>
        <v>2309.879649</v>
      </c>
    </row>
    <row r="10" s="112" customFormat="1" hidden="1" spans="1:19">
      <c r="A10" s="125" t="str">
        <f>ZADNA!C10</f>
        <v>Growth (%)</v>
      </c>
      <c r="B10" s="122" t="s">
        <v>51</v>
      </c>
      <c r="C10" s="59"/>
      <c r="D10" s="126">
        <f>ZADNA!E10</f>
        <v>0</v>
      </c>
      <c r="E10" s="126">
        <f>ZADNA!F10</f>
        <v>1.97644444444444</v>
      </c>
      <c r="F10" s="126">
        <f>ZADNA!G10</f>
        <v>0.596364043601612</v>
      </c>
      <c r="G10" s="126">
        <f>ZADNA!H10</f>
        <v>0.305022519257122</v>
      </c>
      <c r="H10" s="126">
        <f>ZADNA!I10</f>
        <v>0.263331613125188</v>
      </c>
      <c r="I10" s="126">
        <f>ZADNA!J10</f>
        <v>0.261038537367204</v>
      </c>
      <c r="J10" s="126">
        <f>ZADNA!K10</f>
        <v>0.240660465430169</v>
      </c>
      <c r="K10" s="126">
        <f>ZADNA!L10</f>
        <v>0.226366548991237</v>
      </c>
      <c r="L10" s="159">
        <f>ZADNA!M10</f>
        <v>0.980836445572046</v>
      </c>
      <c r="M10" s="159">
        <f>ZADNA!N10</f>
        <v>0.286226103507152</v>
      </c>
      <c r="N10" s="159">
        <f>ZADNA!O10</f>
        <v>0.260418253432855</v>
      </c>
      <c r="O10" s="159">
        <f>ZADNA!P10</f>
        <v>0.261182320441989</v>
      </c>
      <c r="P10" s="159">
        <f>ZADNA!Q10</f>
        <v>0.251484345567169</v>
      </c>
      <c r="Q10" s="159">
        <f>ZADNA!R10</f>
        <v>0.211842495661797</v>
      </c>
      <c r="R10" s="159">
        <f>ZADNA!S10</f>
        <v>0.199847277570442</v>
      </c>
      <c r="S10" s="159">
        <f>ZADNA!T10</f>
        <v>0.158494820515812</v>
      </c>
    </row>
    <row r="11" s="112" customFormat="1" hidden="1" spans="1:19">
      <c r="A11" s="127" t="str">
        <f>ZADNA!B11</f>
        <v>Interest Income from investments*</v>
      </c>
      <c r="B11" s="128" t="s">
        <v>50</v>
      </c>
      <c r="C11" s="128"/>
      <c r="D11" s="129">
        <f>ZADNA!E11</f>
        <v>0.045</v>
      </c>
      <c r="E11" s="129">
        <f>ZADNA!F11</f>
        <v>0.13394</v>
      </c>
      <c r="F11" s="129">
        <f>ZADNA!G11</f>
        <v>0.213817</v>
      </c>
      <c r="G11" s="129">
        <f>ZADNA!H11</f>
        <v>0.279036</v>
      </c>
      <c r="H11" s="129">
        <f>ZADNA!I11</f>
        <v>0.352515</v>
      </c>
      <c r="I11" s="129">
        <f>ZADNA!J11</f>
        <v>0.444535</v>
      </c>
      <c r="J11" s="129">
        <f>ZADNA!K11</f>
        <v>0.551517</v>
      </c>
      <c r="K11" s="129">
        <f>ZADNA!L11</f>
        <v>0.676362</v>
      </c>
      <c r="L11" s="160">
        <f>ZADNA!M11</f>
        <v>0.65625</v>
      </c>
      <c r="M11" s="160">
        <f>ZADNA!N11</f>
        <v>0.61328125</v>
      </c>
      <c r="N11" s="160">
        <f>ZADNA!O11</f>
        <v>0.53994140625</v>
      </c>
      <c r="O11" s="160">
        <f>ZADNA!P11</f>
        <v>0.50743408203125</v>
      </c>
      <c r="P11" s="160">
        <f>ZADNA!Q11</f>
        <v>0.445863342285156</v>
      </c>
      <c r="Q11" s="160">
        <f>ZADNA!R11</f>
        <v>0.439096260070801</v>
      </c>
      <c r="R11" s="160">
        <f>ZADNA!S11</f>
        <v>0.443983292579651</v>
      </c>
      <c r="S11" s="160">
        <f>ZADNA!T11</f>
        <v>0.474481204152107</v>
      </c>
    </row>
    <row r="12" s="112" customFormat="1" hidden="1" spans="1:115">
      <c r="A12" s="130" t="str">
        <f>ZADNA!B12</f>
        <v>Total Revenue</v>
      </c>
      <c r="B12" s="123" t="s">
        <v>50</v>
      </c>
      <c r="C12" s="64"/>
      <c r="D12" s="124">
        <f>ZADNA!E12</f>
        <v>18.045</v>
      </c>
      <c r="E12" s="124">
        <f>ZADNA!F12</f>
        <v>53.70994</v>
      </c>
      <c r="F12" s="124">
        <f>ZADNA!G12</f>
        <v>85.740617</v>
      </c>
      <c r="G12" s="124">
        <f>ZADNA!H12</f>
        <v>111.893436</v>
      </c>
      <c r="H12" s="124">
        <f>ZADNA!I12</f>
        <v>141.358515</v>
      </c>
      <c r="I12" s="124">
        <f>ZADNA!J12</f>
        <v>178.258535</v>
      </c>
      <c r="J12" s="124">
        <f>ZADNA!K12</f>
        <v>221.158317</v>
      </c>
      <c r="K12" s="124">
        <f>ZADNA!L12</f>
        <v>271.221162</v>
      </c>
      <c r="L12" s="158">
        <f>ZADNA!M12</f>
        <v>536.56125</v>
      </c>
      <c r="M12" s="158">
        <f>ZADNA!N12</f>
        <v>689.90828125</v>
      </c>
      <c r="N12" s="158">
        <f>ZADNA!O12</f>
        <v>869.33994140625</v>
      </c>
      <c r="O12" s="158">
        <f>ZADNA!P12</f>
        <v>1096.22263408203</v>
      </c>
      <c r="P12" s="158">
        <f>ZADNA!Q12</f>
        <v>1371.71628334229</v>
      </c>
      <c r="Q12" s="158">
        <f>ZADNA!R12</f>
        <v>1662.20286426007</v>
      </c>
      <c r="R12" s="158">
        <f>ZADNA!S12</f>
        <v>1994.30671629258</v>
      </c>
      <c r="S12" s="158">
        <f>ZADNA!T12</f>
        <v>2310.35413020415</v>
      </c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</row>
    <row r="13" s="112" customFormat="1" hidden="1" spans="1:20">
      <c r="A13" s="131"/>
      <c r="B13" s="132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77"/>
    </row>
    <row r="14" s="112" customFormat="1" ht="17.55" hidden="1" spans="1:20">
      <c r="A14" s="120" t="s">
        <v>52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177"/>
    </row>
    <row r="15" s="112" customFormat="1" hidden="1" spans="1:20">
      <c r="A15" s="121" t="str">
        <f>ZADNA!B13</f>
        <v>COGS</v>
      </c>
      <c r="B15" s="122" t="s">
        <v>50</v>
      </c>
      <c r="C15" s="59"/>
      <c r="D15" s="134">
        <f>ZADNA!E13</f>
        <v>14.4</v>
      </c>
      <c r="E15" s="134">
        <f>ZADNA!F13</f>
        <v>42.8608</v>
      </c>
      <c r="F15" s="134">
        <f>ZADNA!G13</f>
        <v>68.42144</v>
      </c>
      <c r="G15" s="134">
        <f>ZADNA!H13</f>
        <v>89.29152</v>
      </c>
      <c r="H15" s="134">
        <f>ZADNA!I13</f>
        <v>112.8048</v>
      </c>
      <c r="I15" s="134">
        <f>ZADNA!J13</f>
        <v>142.2512</v>
      </c>
      <c r="J15" s="134">
        <f>ZADNA!K13</f>
        <v>176.48544</v>
      </c>
      <c r="K15" s="134">
        <f>ZADNA!L13</f>
        <v>216.43584</v>
      </c>
      <c r="L15" s="161">
        <f>ZADNA!M13</f>
        <v>423.36495</v>
      </c>
      <c r="M15" s="161">
        <f>ZADNA!N13</f>
        <v>537.6501</v>
      </c>
      <c r="N15" s="161">
        <f>ZADNA!O13</f>
        <v>668.976</v>
      </c>
      <c r="O15" s="161">
        <f>ZADNA!P13</f>
        <v>832.743552</v>
      </c>
      <c r="P15" s="161">
        <f>ZADNA!Q13</f>
        <v>1028.452815</v>
      </c>
      <c r="Q15" s="161">
        <f>ZADNA!R13</f>
        <v>1229.70518832</v>
      </c>
      <c r="R15" s="161">
        <f>ZADNA!S13</f>
        <v>1455.51979509</v>
      </c>
      <c r="S15" s="161">
        <f>ZADNA!T13</f>
        <v>1663.11334728</v>
      </c>
      <c r="T15" s="177"/>
    </row>
    <row r="16" s="112" customFormat="1" hidden="1" spans="1:20">
      <c r="A16" s="135" t="str">
        <f>ZADNA!B14</f>
        <v>Logistics</v>
      </c>
      <c r="B16" s="122" t="s">
        <v>50</v>
      </c>
      <c r="C16" s="59"/>
      <c r="D16" s="126">
        <f>ZADNA!E14</f>
        <v>2.52</v>
      </c>
      <c r="E16" s="126">
        <f>ZADNA!F14</f>
        <v>7.5658</v>
      </c>
      <c r="F16" s="126">
        <f>ZADNA!G14</f>
        <v>12.18464</v>
      </c>
      <c r="G16" s="126">
        <f>ZADNA!H14</f>
        <v>16.04457</v>
      </c>
      <c r="H16" s="126">
        <f>ZADNA!I14</f>
        <v>20.4558</v>
      </c>
      <c r="I16" s="126">
        <f>ZADNA!J14</f>
        <v>26.03705</v>
      </c>
      <c r="J16" s="126">
        <f>ZADNA!K14</f>
        <v>32.61144</v>
      </c>
      <c r="K16" s="126">
        <f>ZADNA!L14</f>
        <v>40.38279</v>
      </c>
      <c r="L16" s="159">
        <f>ZADNA!M14</f>
        <v>70.73946</v>
      </c>
      <c r="M16" s="159">
        <f>ZADNA!N14</f>
        <v>88.68929</v>
      </c>
      <c r="N16" s="159">
        <f>ZADNA!O14</f>
        <v>108.8896</v>
      </c>
      <c r="O16" s="159">
        <f>ZADNA!P14</f>
        <v>133.6772544</v>
      </c>
      <c r="P16" s="159">
        <f>ZADNA!Q14</f>
        <v>162.72408984</v>
      </c>
      <c r="Q16" s="159">
        <f>ZADNA!R14</f>
        <v>191.656754576</v>
      </c>
      <c r="R16" s="159">
        <f>ZADNA!S14</f>
        <v>186.09385508</v>
      </c>
      <c r="S16" s="159">
        <f>ZADNA!T14</f>
        <v>215.58876724</v>
      </c>
      <c r="T16" s="177"/>
    </row>
    <row r="17" s="112" customFormat="1" hidden="1" spans="1:20">
      <c r="A17" s="135" t="str">
        <f>ZADNA!B15</f>
        <v>Payment Gateway</v>
      </c>
      <c r="B17" s="122" t="s">
        <v>50</v>
      </c>
      <c r="C17" s="59"/>
      <c r="D17" s="136">
        <f>ZADNA!E15</f>
        <v>0.204</v>
      </c>
      <c r="E17" s="136">
        <f>ZADNA!F15</f>
        <v>0.6154</v>
      </c>
      <c r="F17" s="136">
        <f>ZADNA!G15</f>
        <v>0.99586</v>
      </c>
      <c r="G17" s="136">
        <f>ZADNA!H15</f>
        <v>1.31767</v>
      </c>
      <c r="H17" s="136">
        <f>ZADNA!I15</f>
        <v>1.6881</v>
      </c>
      <c r="I17" s="136">
        <f>ZADNA!J15</f>
        <v>2.15917</v>
      </c>
      <c r="J17" s="136">
        <f>ZADNA!K15</f>
        <v>2.71762</v>
      </c>
      <c r="K17" s="136">
        <f>ZADNA!L15</f>
        <v>3.38181</v>
      </c>
      <c r="L17" s="162">
        <f>ZADNA!M15</f>
        <v>6.07359</v>
      </c>
      <c r="M17" s="162">
        <f>ZADNA!N15</f>
        <v>7.81201</v>
      </c>
      <c r="N17" s="162">
        <f>ZADNA!O15</f>
        <v>9.8464</v>
      </c>
      <c r="O17" s="162">
        <f>ZADNA!P15</f>
        <v>12.4181056</v>
      </c>
      <c r="P17" s="162">
        <f>ZADNA!Q15</f>
        <v>15.54106476</v>
      </c>
      <c r="Q17" s="162">
        <f>ZADNA!R15</f>
        <v>18.833322704</v>
      </c>
      <c r="R17" s="162">
        <f>ZADNA!S15</f>
        <v>22.597110974</v>
      </c>
      <c r="S17" s="162">
        <f>ZADNA!T15</f>
        <v>26.178636022</v>
      </c>
      <c r="T17" s="177"/>
    </row>
    <row r="18" s="112" customFormat="1" hidden="1" spans="1:19">
      <c r="A18" s="135" t="str">
        <f>ZADNA!B16</f>
        <v>Customer support cost</v>
      </c>
      <c r="B18" s="122" t="s">
        <v>50</v>
      </c>
      <c r="C18" s="59"/>
      <c r="D18" s="136">
        <f>ZADNA!E16</f>
        <v>1.08</v>
      </c>
      <c r="E18" s="136">
        <f>ZADNA!F16</f>
        <v>3.2218</v>
      </c>
      <c r="F18" s="136">
        <f>ZADNA!G16</f>
        <v>5.15504</v>
      </c>
      <c r="G18" s="136">
        <f>ZADNA!H16</f>
        <v>6.74337</v>
      </c>
      <c r="H18" s="136">
        <f>ZADNA!I16</f>
        <v>8.5398</v>
      </c>
      <c r="I18" s="136">
        <f>ZADNA!J16</f>
        <v>10.79585</v>
      </c>
      <c r="J18" s="136">
        <f>ZADNA!K16</f>
        <v>13.42824</v>
      </c>
      <c r="K18" s="136">
        <f>ZADNA!L16</f>
        <v>16.51119</v>
      </c>
      <c r="L18" s="162">
        <f>ZADNA!M16</f>
        <v>27.86706</v>
      </c>
      <c r="M18" s="162">
        <f>ZADNA!N16</f>
        <v>33.54569</v>
      </c>
      <c r="N18" s="162">
        <f>ZADNA!O16</f>
        <v>39.3856</v>
      </c>
      <c r="O18" s="162">
        <f>ZADNA!P16</f>
        <v>46.0200384</v>
      </c>
      <c r="P18" s="162">
        <f>ZADNA!Q16</f>
        <v>54.8508168</v>
      </c>
      <c r="Q18" s="162">
        <f>ZADNA!R16</f>
        <v>66.47055072</v>
      </c>
      <c r="R18" s="162">
        <f>ZADNA!S16</f>
        <v>53.16967288</v>
      </c>
      <c r="S18" s="162">
        <f>ZADNA!T16</f>
        <v>61.59679064</v>
      </c>
    </row>
    <row r="19" s="112" customFormat="1" hidden="1" spans="1:108">
      <c r="A19" s="137" t="str">
        <f>ZADNA!B17</f>
        <v>Other direct costs</v>
      </c>
      <c r="B19" s="128" t="s">
        <v>50</v>
      </c>
      <c r="C19" s="128"/>
      <c r="D19" s="138">
        <f>ZADNA!E17</f>
        <v>0.24</v>
      </c>
      <c r="E19" s="138">
        <f>ZADNA!F17</f>
        <v>0.724</v>
      </c>
      <c r="F19" s="138">
        <f>ZADNA!G17</f>
        <v>1.1716</v>
      </c>
      <c r="G19" s="138">
        <f>ZADNA!H17</f>
        <v>1.5502</v>
      </c>
      <c r="H19" s="138">
        <f>ZADNA!I17</f>
        <v>1.986</v>
      </c>
      <c r="I19" s="138">
        <f>ZADNA!J17</f>
        <v>2.5402</v>
      </c>
      <c r="J19" s="138">
        <f>ZADNA!K17</f>
        <v>3.1972</v>
      </c>
      <c r="K19" s="138">
        <f>ZADNA!L17</f>
        <v>3.9786</v>
      </c>
      <c r="L19" s="163">
        <f>ZADNA!M17</f>
        <v>7.1454</v>
      </c>
      <c r="M19" s="163">
        <f>ZADNA!N17</f>
        <v>9.1906</v>
      </c>
      <c r="N19" s="163">
        <f>ZADNA!O17</f>
        <v>11.584</v>
      </c>
      <c r="O19" s="163">
        <f>ZADNA!P17</f>
        <v>14.609536</v>
      </c>
      <c r="P19" s="163">
        <f>ZADNA!Q17</f>
        <v>18.2836056</v>
      </c>
      <c r="Q19" s="163">
        <f>ZADNA!R17</f>
        <v>22.15685024</v>
      </c>
      <c r="R19" s="163">
        <f>ZADNA!S17</f>
        <v>26.58483644</v>
      </c>
      <c r="S19" s="163">
        <f>ZADNA!T17</f>
        <v>30.79839532</v>
      </c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M19" s="178"/>
      <c r="CN19" s="178"/>
      <c r="CO19" s="178"/>
      <c r="CP19" s="178"/>
      <c r="CQ19" s="178"/>
      <c r="CR19" s="178"/>
      <c r="CS19" s="178"/>
      <c r="CT19" s="178"/>
      <c r="CU19" s="178"/>
      <c r="CV19" s="178"/>
      <c r="CW19" s="178"/>
      <c r="CX19" s="178"/>
      <c r="CY19" s="178"/>
      <c r="CZ19" s="178"/>
      <c r="DA19" s="178"/>
      <c r="DB19" s="178"/>
      <c r="DC19" s="178"/>
      <c r="DD19" s="178"/>
    </row>
    <row r="20" s="112" customFormat="1" hidden="1" spans="1:108">
      <c r="A20" s="121" t="str">
        <f>ZADNA!B18</f>
        <v>Gross Margin</v>
      </c>
      <c r="B20" s="122" t="s">
        <v>50</v>
      </c>
      <c r="C20" s="122"/>
      <c r="D20" s="139">
        <f>ZADNA!E18</f>
        <v>-0.398999999999997</v>
      </c>
      <c r="E20" s="139">
        <f>ZADNA!F18</f>
        <v>-1.27786</v>
      </c>
      <c r="F20" s="139">
        <f>ZADNA!G18</f>
        <v>-2.187963</v>
      </c>
      <c r="G20" s="139">
        <f>ZADNA!H18</f>
        <v>-3.05389400000001</v>
      </c>
      <c r="H20" s="139">
        <f>ZADNA!I18</f>
        <v>-4.11598499999997</v>
      </c>
      <c r="I20" s="139">
        <f>ZADNA!J18</f>
        <v>-5.52493500000003</v>
      </c>
      <c r="J20" s="139">
        <f>ZADNA!K18</f>
        <v>-7.28162300000002</v>
      </c>
      <c r="K20" s="139">
        <f>ZADNA!L18</f>
        <v>-9.46906799999994</v>
      </c>
      <c r="L20" s="164">
        <f>ZADNA!M18</f>
        <v>1.37078999999994</v>
      </c>
      <c r="M20" s="164">
        <f>ZADNA!N18</f>
        <v>13.0205912499999</v>
      </c>
      <c r="N20" s="164">
        <f>ZADNA!O18</f>
        <v>30.6583414062501</v>
      </c>
      <c r="O20" s="164">
        <f>ZADNA!P18</f>
        <v>56.7541476820313</v>
      </c>
      <c r="P20" s="164">
        <f>ZADNA!Q18</f>
        <v>91.8638913422852</v>
      </c>
      <c r="Q20" s="164">
        <f>ZADNA!R18</f>
        <v>133.380197700071</v>
      </c>
      <c r="R20" s="164">
        <f>ZADNA!S18</f>
        <v>250.34144582858</v>
      </c>
      <c r="S20" s="164">
        <f>ZADNA!T18</f>
        <v>313.078193702152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78"/>
      <c r="CN20" s="178"/>
      <c r="CO20" s="178"/>
      <c r="CP20" s="178"/>
      <c r="CQ20" s="178"/>
      <c r="CR20" s="178"/>
      <c r="CS20" s="178"/>
      <c r="CT20" s="178"/>
      <c r="CU20" s="178"/>
      <c r="CV20" s="178"/>
      <c r="CW20" s="178"/>
      <c r="CX20" s="178"/>
      <c r="CY20" s="178"/>
      <c r="CZ20" s="178"/>
      <c r="DA20" s="178"/>
      <c r="DB20" s="178"/>
      <c r="DC20" s="178"/>
      <c r="DD20" s="178"/>
    </row>
    <row r="21" s="112" customFormat="1" hidden="1" spans="1:108">
      <c r="A21" s="135" t="str">
        <f>ZADNA!C19</f>
        <v>GM (%)</v>
      </c>
      <c r="B21" s="122" t="s">
        <v>54</v>
      </c>
      <c r="C21" s="122"/>
      <c r="D21" s="140">
        <f>ZADNA!E19</f>
        <v>-0.0221666666666665</v>
      </c>
      <c r="E21" s="140">
        <f>ZADNA!F19</f>
        <v>-0.0238513513513513</v>
      </c>
      <c r="F21" s="140">
        <f>ZADNA!G19</f>
        <v>-0.0255821917808219</v>
      </c>
      <c r="G21" s="140">
        <f>ZADNA!H19</f>
        <v>-0.0273611111111112</v>
      </c>
      <c r="H21" s="140">
        <f>ZADNA!I19</f>
        <v>-0.0291901408450702</v>
      </c>
      <c r="I21" s="140">
        <f>ZADNA!J19</f>
        <v>-0.0310714285714287</v>
      </c>
      <c r="J21" s="140">
        <f>ZADNA!K19</f>
        <v>-0.0330072463768117</v>
      </c>
      <c r="K21" s="140">
        <f>ZADNA!L19</f>
        <v>-0.0349999999999998</v>
      </c>
      <c r="L21" s="165">
        <f>ZADNA!M19</f>
        <v>0.00255789738852958</v>
      </c>
      <c r="M21" s="165">
        <f>ZADNA!N19</f>
        <v>0.0188897224700599</v>
      </c>
      <c r="N21" s="165">
        <f>ZADNA!O19</f>
        <v>0.0352881461858311</v>
      </c>
      <c r="O21" s="165">
        <f>ZADNA!P19</f>
        <v>0.0517964409748366</v>
      </c>
      <c r="P21" s="165">
        <f>ZADNA!Q19</f>
        <v>0.0669918128492009</v>
      </c>
      <c r="Q21" s="165">
        <f>ZADNA!R19</f>
        <v>0.0802642350666962</v>
      </c>
      <c r="R21" s="165">
        <f>ZADNA!S19</f>
        <v>0.125556008287447</v>
      </c>
      <c r="S21" s="165">
        <f>ZADNA!T19</f>
        <v>0.135538747154074</v>
      </c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78"/>
      <c r="CN21" s="178"/>
      <c r="CO21" s="178"/>
      <c r="CP21" s="178"/>
      <c r="CQ21" s="178"/>
      <c r="CR21" s="178"/>
      <c r="CS21" s="178"/>
      <c r="CT21" s="178"/>
      <c r="CU21" s="178"/>
      <c r="CV21" s="178"/>
      <c r="CW21" s="178"/>
      <c r="CX21" s="178"/>
      <c r="CY21" s="178"/>
      <c r="CZ21" s="178"/>
      <c r="DA21" s="178"/>
      <c r="DB21" s="178"/>
      <c r="DC21" s="178"/>
      <c r="DD21" s="178"/>
    </row>
    <row r="22" s="112" customFormat="1" hidden="1" spans="1:108">
      <c r="A22" s="135" t="str">
        <f>ZADNA!B20</f>
        <v>Marketing spend</v>
      </c>
      <c r="B22" s="122" t="s">
        <v>50</v>
      </c>
      <c r="C22" s="122"/>
      <c r="D22" s="140">
        <f>ZADNA!E20</f>
        <v>3</v>
      </c>
      <c r="E22" s="140">
        <f>ZADNA!F20</f>
        <v>7</v>
      </c>
      <c r="F22" s="140">
        <f>ZADNA!G20</f>
        <v>12</v>
      </c>
      <c r="G22" s="140">
        <f>ZADNA!H20</f>
        <v>17</v>
      </c>
      <c r="H22" s="140">
        <f>ZADNA!I20</f>
        <v>28</v>
      </c>
      <c r="I22" s="140">
        <f>ZADNA!J20</f>
        <v>35</v>
      </c>
      <c r="J22" s="140">
        <f>ZADNA!K20</f>
        <v>52</v>
      </c>
      <c r="K22" s="140">
        <f>ZADNA!L20</f>
        <v>80</v>
      </c>
      <c r="L22" s="165">
        <f>ZADNA!M20</f>
        <v>88</v>
      </c>
      <c r="M22" s="165">
        <f>ZADNA!N20</f>
        <v>96.8</v>
      </c>
      <c r="N22" s="165">
        <f>ZADNA!O20</f>
        <v>106.48</v>
      </c>
      <c r="O22" s="165">
        <f>ZADNA!P20</f>
        <v>117.128</v>
      </c>
      <c r="P22" s="165">
        <f>ZADNA!Q20</f>
        <v>128.8408</v>
      </c>
      <c r="Q22" s="165">
        <f>ZADNA!R20</f>
        <v>141.72488</v>
      </c>
      <c r="R22" s="165">
        <f>ZADNA!S20</f>
        <v>155.897368</v>
      </c>
      <c r="S22" s="165">
        <f>ZADNA!T20</f>
        <v>171.4871048</v>
      </c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178"/>
      <c r="CZ22" s="178"/>
      <c r="DA22" s="178"/>
      <c r="DB22" s="178"/>
      <c r="DC22" s="178"/>
      <c r="DD22" s="178"/>
    </row>
    <row r="23" s="112" customFormat="1" hidden="1" spans="1:108">
      <c r="A23" s="137" t="str">
        <f>ZADNA!B21</f>
        <v>G&amp;A</v>
      </c>
      <c r="B23" s="128" t="s">
        <v>50</v>
      </c>
      <c r="C23" s="128"/>
      <c r="D23" s="138">
        <f>ZADNA!E21</f>
        <v>10</v>
      </c>
      <c r="E23" s="138">
        <f>ZADNA!F21</f>
        <v>11.5</v>
      </c>
      <c r="F23" s="138">
        <f>ZADNA!G21</f>
        <v>13.225</v>
      </c>
      <c r="G23" s="138">
        <f>ZADNA!H21</f>
        <v>15.20875</v>
      </c>
      <c r="H23" s="138">
        <f>ZADNA!I21</f>
        <v>17.4900625</v>
      </c>
      <c r="I23" s="138">
        <f>ZADNA!J21</f>
        <v>20.113571875</v>
      </c>
      <c r="J23" s="138">
        <f>ZADNA!K21</f>
        <v>23.13060765625</v>
      </c>
      <c r="K23" s="138">
        <f>ZADNA!L21</f>
        <v>26.6001988046875</v>
      </c>
      <c r="L23" s="163">
        <f>ZADNA!M21</f>
        <v>28.4622127210156</v>
      </c>
      <c r="M23" s="163">
        <f>ZADNA!N21</f>
        <v>30.4545676114867</v>
      </c>
      <c r="N23" s="163">
        <f>ZADNA!O21</f>
        <v>32.5863873442908</v>
      </c>
      <c r="O23" s="163">
        <f>ZADNA!P21</f>
        <v>34.8674344583911</v>
      </c>
      <c r="P23" s="163">
        <f>ZADNA!Q21</f>
        <v>37.3081548704785</v>
      </c>
      <c r="Q23" s="163">
        <f>ZADNA!R21</f>
        <v>39.919725711412</v>
      </c>
      <c r="R23" s="163">
        <f>ZADNA!S21</f>
        <v>42.7141065112109</v>
      </c>
      <c r="S23" s="163">
        <f>ZADNA!T21</f>
        <v>45.7040939669956</v>
      </c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8"/>
      <c r="BN23" s="178"/>
      <c r="BO23" s="178"/>
      <c r="BP23" s="178"/>
      <c r="BQ23" s="178"/>
      <c r="BR23" s="178"/>
      <c r="BS23" s="178"/>
      <c r="BT23" s="178"/>
      <c r="BU23" s="178"/>
      <c r="BV23" s="178"/>
      <c r="BW23" s="178"/>
      <c r="BX23" s="178"/>
      <c r="BY23" s="178"/>
      <c r="BZ23" s="178"/>
      <c r="CA23" s="178"/>
      <c r="CB23" s="178"/>
      <c r="CC23" s="178"/>
      <c r="CD23" s="178"/>
      <c r="CE23" s="178"/>
      <c r="CF23" s="178"/>
      <c r="CG23" s="178"/>
      <c r="CH23" s="178"/>
      <c r="CI23" s="178"/>
      <c r="CJ23" s="178"/>
      <c r="CK23" s="178"/>
      <c r="CL23" s="178"/>
      <c r="CM23" s="178"/>
      <c r="CN23" s="178"/>
      <c r="CO23" s="178"/>
      <c r="CP23" s="178"/>
      <c r="CQ23" s="178"/>
      <c r="CR23" s="178"/>
      <c r="CS23" s="178"/>
      <c r="CT23" s="178"/>
      <c r="CU23" s="178"/>
      <c r="CV23" s="178"/>
      <c r="CW23" s="178"/>
      <c r="CX23" s="178"/>
      <c r="CY23" s="178"/>
      <c r="CZ23" s="178"/>
      <c r="DA23" s="178"/>
      <c r="DB23" s="178"/>
      <c r="DC23" s="178"/>
      <c r="DD23" s="178"/>
    </row>
    <row r="24" s="112" customFormat="1" hidden="1" spans="1:108">
      <c r="A24" s="121" t="str">
        <f>ZADNA!B22</f>
        <v>PBT</v>
      </c>
      <c r="B24" s="141"/>
      <c r="C24" s="141"/>
      <c r="D24" s="142">
        <f>ZADNA!E22</f>
        <v>-13.399</v>
      </c>
      <c r="E24" s="142">
        <f>ZADNA!F22</f>
        <v>-19.77786</v>
      </c>
      <c r="F24" s="142">
        <f>ZADNA!G22</f>
        <v>-27.412963</v>
      </c>
      <c r="G24" s="142">
        <f>ZADNA!H22</f>
        <v>-35.262644</v>
      </c>
      <c r="H24" s="142">
        <f>ZADNA!I22</f>
        <v>-49.6060475</v>
      </c>
      <c r="I24" s="142">
        <f>ZADNA!J22</f>
        <v>-60.638506875</v>
      </c>
      <c r="J24" s="142">
        <f>ZADNA!K22</f>
        <v>-82.41223065625</v>
      </c>
      <c r="K24" s="142">
        <f>ZADNA!L22</f>
        <v>-116.069266804687</v>
      </c>
      <c r="L24" s="166">
        <f>ZADNA!M22</f>
        <v>-115.091422721016</v>
      </c>
      <c r="M24" s="166">
        <f>ZADNA!N22</f>
        <v>-114.233976361487</v>
      </c>
      <c r="N24" s="166">
        <f>ZADNA!O22</f>
        <v>-108.408045938041</v>
      </c>
      <c r="O24" s="166">
        <f>ZADNA!P22</f>
        <v>-95.2412867763599</v>
      </c>
      <c r="P24" s="166">
        <f>ZADNA!Q22</f>
        <v>-74.2850635281933</v>
      </c>
      <c r="Q24" s="166">
        <f>ZADNA!R22</f>
        <v>-48.2644080113412</v>
      </c>
      <c r="R24" s="166">
        <f>ZADNA!S22</f>
        <v>51.7299713173686</v>
      </c>
      <c r="S24" s="166">
        <f>ZADNA!T22</f>
        <v>95.8869949351564</v>
      </c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8"/>
      <c r="BN24" s="178"/>
      <c r="BO24" s="178"/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  <c r="CE24" s="178"/>
      <c r="CF24" s="178"/>
      <c r="CG24" s="178"/>
      <c r="CH24" s="178"/>
      <c r="CI24" s="178"/>
      <c r="CJ24" s="178"/>
      <c r="CK24" s="178"/>
      <c r="CL24" s="178"/>
      <c r="CM24" s="178"/>
      <c r="CN24" s="178"/>
      <c r="CO24" s="178"/>
      <c r="CP24" s="178"/>
      <c r="CQ24" s="178"/>
      <c r="CR24" s="178"/>
      <c r="CS24" s="178"/>
      <c r="CT24" s="178"/>
      <c r="CU24" s="178"/>
      <c r="CV24" s="178"/>
      <c r="CW24" s="178"/>
      <c r="CX24" s="178"/>
      <c r="CY24" s="178"/>
      <c r="CZ24" s="178"/>
      <c r="DA24" s="178"/>
      <c r="DB24" s="178"/>
      <c r="DC24" s="178"/>
      <c r="DD24" s="178"/>
    </row>
    <row r="25" s="112" customFormat="1" hidden="1" spans="1:108">
      <c r="A25" s="137" t="str">
        <f>ZADNA!B23</f>
        <v>Tax (@ 15%)</v>
      </c>
      <c r="B25" s="128" t="s">
        <v>50</v>
      </c>
      <c r="C25" s="143"/>
      <c r="D25" s="144">
        <f>ZADNA!E23</f>
        <v>0</v>
      </c>
      <c r="E25" s="144">
        <f>ZADNA!F23</f>
        <v>0</v>
      </c>
      <c r="F25" s="144">
        <f>ZADNA!G23</f>
        <v>0</v>
      </c>
      <c r="G25" s="144">
        <f>ZADNA!H23</f>
        <v>0</v>
      </c>
      <c r="H25" s="144">
        <f>ZADNA!I23</f>
        <v>0</v>
      </c>
      <c r="I25" s="144">
        <f>ZADNA!J23</f>
        <v>0</v>
      </c>
      <c r="J25" s="144">
        <f>ZADNA!K23</f>
        <v>0</v>
      </c>
      <c r="K25" s="144">
        <f>ZADNA!L23</f>
        <v>0</v>
      </c>
      <c r="L25" s="167">
        <f>ZADNA!M23</f>
        <v>0</v>
      </c>
      <c r="M25" s="167">
        <f>ZADNA!N23</f>
        <v>0</v>
      </c>
      <c r="N25" s="167">
        <f>ZADNA!O23</f>
        <v>0</v>
      </c>
      <c r="O25" s="167">
        <f>ZADNA!P23</f>
        <v>0</v>
      </c>
      <c r="P25" s="167">
        <f>ZADNA!Q23</f>
        <v>0</v>
      </c>
      <c r="Q25" s="167">
        <f>ZADNA!R23</f>
        <v>0</v>
      </c>
      <c r="R25" s="167">
        <f>ZADNA!S23</f>
        <v>7.7594956976053</v>
      </c>
      <c r="S25" s="167">
        <f>ZADNA!T23</f>
        <v>14.3830492402735</v>
      </c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8"/>
      <c r="BN25" s="178"/>
      <c r="BO25" s="178"/>
      <c r="BP25" s="178"/>
      <c r="BQ25" s="178"/>
      <c r="BR25" s="178"/>
      <c r="BS25" s="178"/>
      <c r="BT25" s="178"/>
      <c r="BU25" s="178"/>
      <c r="BV25" s="178"/>
      <c r="BW25" s="178"/>
      <c r="BX25" s="178"/>
      <c r="BY25" s="178"/>
      <c r="BZ25" s="178"/>
      <c r="CA25" s="178"/>
      <c r="CB25" s="178"/>
      <c r="CC25" s="178"/>
      <c r="CD25" s="178"/>
      <c r="CE25" s="178"/>
      <c r="CF25" s="178"/>
      <c r="CG25" s="178"/>
      <c r="CH25" s="178"/>
      <c r="CI25" s="178"/>
      <c r="CJ25" s="178"/>
      <c r="CK25" s="178"/>
      <c r="CL25" s="178"/>
      <c r="CM25" s="178"/>
      <c r="CN25" s="178"/>
      <c r="CO25" s="178"/>
      <c r="CP25" s="178"/>
      <c r="CQ25" s="178"/>
      <c r="CR25" s="178"/>
      <c r="CS25" s="178"/>
      <c r="CT25" s="178"/>
      <c r="CU25" s="178"/>
      <c r="CV25" s="178"/>
      <c r="CW25" s="178"/>
      <c r="CX25" s="178"/>
      <c r="CY25" s="178"/>
      <c r="CZ25" s="178"/>
      <c r="DA25" s="178"/>
      <c r="DB25" s="178"/>
      <c r="DC25" s="178"/>
      <c r="DD25" s="178"/>
    </row>
    <row r="26" s="112" customFormat="1" spans="1:108">
      <c r="A26" s="121" t="str">
        <f>ZADNA!B24</f>
        <v>PAT</v>
      </c>
      <c r="B26" s="141" t="s">
        <v>50</v>
      </c>
      <c r="C26" s="141"/>
      <c r="D26" s="142">
        <f>ZADNA!E24</f>
        <v>-13.399</v>
      </c>
      <c r="E26" s="142">
        <f>ZADNA!F24</f>
        <v>-19.77786</v>
      </c>
      <c r="F26" s="142">
        <f>ZADNA!G24</f>
        <v>-27.412963</v>
      </c>
      <c r="G26" s="142">
        <f>ZADNA!H24</f>
        <v>-35.262644</v>
      </c>
      <c r="H26" s="142">
        <f>ZADNA!I24</f>
        <v>-49.6060475</v>
      </c>
      <c r="I26" s="142">
        <f>ZADNA!J24</f>
        <v>-60.638506875</v>
      </c>
      <c r="J26" s="142">
        <f>ZADNA!K24</f>
        <v>-82.41223065625</v>
      </c>
      <c r="K26" s="142">
        <f>ZADNA!L24</f>
        <v>-116.069266804687</v>
      </c>
      <c r="L26" s="168">
        <f>ZADNA!M24</f>
        <v>-115.091422721016</v>
      </c>
      <c r="M26" s="168">
        <f>ZADNA!N24</f>
        <v>-114.233976361487</v>
      </c>
      <c r="N26" s="168">
        <f>ZADNA!O24</f>
        <v>-108.408045938041</v>
      </c>
      <c r="O26" s="168">
        <f>ZADNA!P24</f>
        <v>-95.2412867763599</v>
      </c>
      <c r="P26" s="168">
        <f>ZADNA!Q24</f>
        <v>-74.2850635281933</v>
      </c>
      <c r="Q26" s="168">
        <f>ZADNA!R24</f>
        <v>-48.2644080113412</v>
      </c>
      <c r="R26" s="168">
        <f>ZADNA!S24</f>
        <v>43.9704756197633</v>
      </c>
      <c r="S26" s="168">
        <f>ZADNA!T24</f>
        <v>81.503945694883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78"/>
      <c r="BT26" s="178"/>
      <c r="BU26" s="178"/>
      <c r="BV26" s="178"/>
      <c r="BW26" s="178"/>
      <c r="BX26" s="178"/>
      <c r="BY26" s="178"/>
      <c r="BZ26" s="178"/>
      <c r="CA26" s="178"/>
      <c r="CB26" s="178"/>
      <c r="CC26" s="178"/>
      <c r="CD26" s="178"/>
      <c r="CE26" s="178"/>
      <c r="CF26" s="178"/>
      <c r="CG26" s="178"/>
      <c r="CH26" s="178"/>
      <c r="CI26" s="178"/>
      <c r="CJ26" s="178"/>
      <c r="CK26" s="178"/>
      <c r="CL26" s="178"/>
      <c r="CM26" s="178"/>
      <c r="CN26" s="178"/>
      <c r="CO26" s="178"/>
      <c r="CP26" s="178"/>
      <c r="CQ26" s="178"/>
      <c r="CR26" s="178"/>
      <c r="CS26" s="178"/>
      <c r="CT26" s="178"/>
      <c r="CU26" s="178"/>
      <c r="CV26" s="178"/>
      <c r="CW26" s="178"/>
      <c r="CX26" s="178"/>
      <c r="CY26" s="178"/>
      <c r="CZ26" s="178"/>
      <c r="DA26" s="178"/>
      <c r="DB26" s="178"/>
      <c r="DC26" s="178"/>
      <c r="DD26" s="178"/>
    </row>
    <row r="27" spans="1:108">
      <c r="A27" s="12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69"/>
      <c r="M27" s="169"/>
      <c r="N27" s="169"/>
      <c r="O27" s="169"/>
      <c r="P27" s="169"/>
      <c r="Q27" s="169"/>
      <c r="R27" s="169"/>
      <c r="S27" s="16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79"/>
      <c r="CL27" s="179"/>
      <c r="CM27" s="179"/>
      <c r="CN27" s="179"/>
      <c r="CO27" s="179"/>
      <c r="CP27" s="179"/>
      <c r="CQ27" s="179"/>
      <c r="CR27" s="179"/>
      <c r="CS27" s="179"/>
      <c r="CT27" s="179"/>
      <c r="CU27" s="179"/>
      <c r="CV27" s="179"/>
      <c r="CW27" s="179"/>
      <c r="CX27" s="179"/>
      <c r="CY27" s="179"/>
      <c r="CZ27" s="179"/>
      <c r="DA27" s="179"/>
      <c r="DB27" s="179"/>
      <c r="DC27" s="179"/>
      <c r="DD27" s="179"/>
    </row>
    <row r="28" ht="17.55" spans="1:19">
      <c r="A28" s="120" t="s">
        <v>85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170"/>
      <c r="M28" s="170"/>
      <c r="N28" s="170"/>
      <c r="O28" s="170"/>
      <c r="P28" s="170"/>
      <c r="Q28" s="170"/>
      <c r="R28" s="170"/>
      <c r="S28" s="170"/>
    </row>
    <row r="29" spans="1:19">
      <c r="A29" s="145" t="s">
        <v>86</v>
      </c>
      <c r="B29" s="146" t="s">
        <v>50</v>
      </c>
      <c r="C29" s="147"/>
      <c r="D29" s="148">
        <v>0</v>
      </c>
      <c r="E29" s="134">
        <f t="shared" ref="E29:S29" si="0">(E12-D12)*E30</f>
        <v>1.71299987641614</v>
      </c>
      <c r="F29" s="134">
        <f t="shared" si="0"/>
        <v>1.46737646387878</v>
      </c>
      <c r="G29" s="134">
        <f t="shared" si="0"/>
        <v>1.14005591500761</v>
      </c>
      <c r="H29" s="134">
        <f t="shared" si="0"/>
        <v>1.2190231313853</v>
      </c>
      <c r="I29" s="134">
        <f t="shared" si="0"/>
        <v>1.4446610569863</v>
      </c>
      <c r="J29" s="134">
        <f t="shared" si="0"/>
        <v>1.58423435573159</v>
      </c>
      <c r="K29" s="134">
        <f t="shared" si="0"/>
        <v>1.73747520882353</v>
      </c>
      <c r="L29" s="171">
        <f t="shared" si="0"/>
        <v>6.19853831145205</v>
      </c>
      <c r="M29" s="171">
        <f t="shared" si="0"/>
        <v>3.23499216609589</v>
      </c>
      <c r="N29" s="171">
        <f t="shared" si="0"/>
        <v>3.38871847674087</v>
      </c>
      <c r="O29" s="171">
        <f t="shared" si="0"/>
        <v>3.79588212768978</v>
      </c>
      <c r="P29" s="171">
        <f t="shared" si="0"/>
        <v>4.03050982753358</v>
      </c>
      <c r="Q29" s="171">
        <f t="shared" si="0"/>
        <v>3.65562108223479</v>
      </c>
      <c r="R29" s="171">
        <f t="shared" si="0"/>
        <v>4.30127564340186</v>
      </c>
      <c r="S29" s="171">
        <f t="shared" si="0"/>
        <v>4.07600144224588</v>
      </c>
    </row>
    <row r="30" spans="1:19">
      <c r="A30" s="149" t="s">
        <v>87</v>
      </c>
      <c r="B30" s="150" t="s">
        <v>51</v>
      </c>
      <c r="C30" s="150"/>
      <c r="D30" s="151">
        <f>'Working Capital Forecast Model'!D17</f>
        <v>0.050248401826484</v>
      </c>
      <c r="E30" s="151">
        <f>'Working Capital Forecast Model'!E17</f>
        <v>0.0480303591262495</v>
      </c>
      <c r="F30" s="151">
        <f>'Working Capital Forecast Model'!F17</f>
        <v>0.0458115969224995</v>
      </c>
      <c r="G30" s="151">
        <f>'Working Capital Forecast Model'!G17</f>
        <v>0.0435920852359208</v>
      </c>
      <c r="H30" s="151">
        <f>'Working Capital Forecast Model'!H17</f>
        <v>0.041371792398225</v>
      </c>
      <c r="I30" s="151">
        <f>'Working Capital Forecast Model'!I17</f>
        <v>0.0391506849315068</v>
      </c>
      <c r="J30" s="151">
        <f>'Working Capital Forecast Model'!J17</f>
        <v>0.0369287274171133</v>
      </c>
      <c r="K30" s="151">
        <f>'Working Capital Forecast Model'!K17</f>
        <v>0.0347058823529412</v>
      </c>
      <c r="L30" s="151">
        <f>'Working Capital Forecast Model'!L17</f>
        <v>0.0233607305936073</v>
      </c>
      <c r="M30" s="151">
        <f>'Working Capital Forecast Model'!M17</f>
        <v>0.0210958904109589</v>
      </c>
      <c r="N30" s="151">
        <f>'Working Capital Forecast Model'!N17</f>
        <v>0.0188858447488584</v>
      </c>
      <c r="O30" s="151">
        <f>'Working Capital Forecast Model'!O17</f>
        <v>0.0167305936073059</v>
      </c>
      <c r="P30" s="151">
        <f>'Working Capital Forecast Model'!P17</f>
        <v>0.0146301369863014</v>
      </c>
      <c r="Q30" s="151">
        <f>'Working Capital Forecast Model'!Q17</f>
        <v>0.0125844748858448</v>
      </c>
      <c r="R30" s="151">
        <f>'Working Capital Forecast Model'!R17</f>
        <v>0.012951598173516</v>
      </c>
      <c r="S30" s="151">
        <f>'Working Capital Forecast Model'!S17</f>
        <v>0.012896803652968</v>
      </c>
    </row>
    <row r="31" spans="1:19">
      <c r="A31" s="152" t="s">
        <v>88</v>
      </c>
      <c r="B31" s="146" t="s">
        <v>50</v>
      </c>
      <c r="C31" s="153"/>
      <c r="D31" s="153">
        <f>D26-D29</f>
        <v>-13.399</v>
      </c>
      <c r="E31" s="153">
        <f t="shared" ref="D31:S31" si="1">E26-E29</f>
        <v>-21.4908598764161</v>
      </c>
      <c r="F31" s="153">
        <f t="shared" si="1"/>
        <v>-28.8803394638788</v>
      </c>
      <c r="G31" s="153">
        <f t="shared" si="1"/>
        <v>-36.4026999150076</v>
      </c>
      <c r="H31" s="152">
        <f t="shared" si="1"/>
        <v>-50.8250706313853</v>
      </c>
      <c r="I31" s="152">
        <f t="shared" si="1"/>
        <v>-62.0831679319863</v>
      </c>
      <c r="J31" s="152">
        <f t="shared" si="1"/>
        <v>-83.9964650119816</v>
      </c>
      <c r="K31" s="152">
        <f t="shared" si="1"/>
        <v>-117.806742013511</v>
      </c>
      <c r="L31" s="172">
        <f t="shared" si="1"/>
        <v>-121.289961032468</v>
      </c>
      <c r="M31" s="172">
        <f t="shared" si="1"/>
        <v>-117.468968527583</v>
      </c>
      <c r="N31" s="172">
        <f t="shared" si="1"/>
        <v>-111.796764414782</v>
      </c>
      <c r="O31" s="172">
        <f t="shared" si="1"/>
        <v>-99.0371689040497</v>
      </c>
      <c r="P31" s="172">
        <f t="shared" si="1"/>
        <v>-78.3155733557269</v>
      </c>
      <c r="Q31" s="172">
        <f t="shared" si="1"/>
        <v>-51.920029093576</v>
      </c>
      <c r="R31" s="172">
        <f t="shared" si="1"/>
        <v>39.6691999763615</v>
      </c>
      <c r="S31" s="172">
        <f t="shared" si="1"/>
        <v>77.4279442526371</v>
      </c>
    </row>
    <row r="32" spans="1:19">
      <c r="A32" s="43" t="s">
        <v>89</v>
      </c>
      <c r="B32" s="122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173">
        <f>'CAPX &amp; Depreciation Forecast'!D13</f>
        <v>24.64</v>
      </c>
      <c r="M32" s="173">
        <f>'CAPX &amp; Depreciation Forecast'!E13</f>
        <v>30.976</v>
      </c>
      <c r="N32" s="173">
        <f>'CAPX &amp; Depreciation Forecast'!F13</f>
        <v>38.3328</v>
      </c>
      <c r="O32" s="173">
        <f>'CAPX &amp; Depreciation Forecast'!G13</f>
        <v>47.788224</v>
      </c>
      <c r="P32" s="173">
        <f>'CAPX &amp; Depreciation Forecast'!H13</f>
        <v>59.266768</v>
      </c>
      <c r="Q32" s="173">
        <f>'CAPX &amp; Depreciation Forecast'!I13</f>
        <v>70.86244</v>
      </c>
      <c r="R32" s="173">
        <f>'CAPX &amp; Depreciation Forecast'!J13</f>
        <v>84.18457872</v>
      </c>
      <c r="S32" s="173">
        <f>'CAPX &amp; Depreciation Forecast'!K13</f>
        <v>96.0327786880001</v>
      </c>
    </row>
    <row r="33" spans="1:19">
      <c r="A33" s="154" t="s">
        <v>90</v>
      </c>
      <c r="B33" s="128" t="s">
        <v>50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74">
        <f>'CAPX &amp; Depreciation Forecast'!D6</f>
        <v>7.7</v>
      </c>
      <c r="M33" s="175">
        <f>'CAPX &amp; Depreciation Forecast'!E6</f>
        <v>9.68</v>
      </c>
      <c r="N33" s="175">
        <f>'CAPX &amp; Depreciation Forecast'!F6</f>
        <v>11.979</v>
      </c>
      <c r="O33" s="175">
        <f>'CAPX &amp; Depreciation Forecast'!G6</f>
        <v>14.93382</v>
      </c>
      <c r="P33" s="175">
        <f>'CAPX &amp; Depreciation Forecast'!H6</f>
        <v>18.520865</v>
      </c>
      <c r="Q33" s="175">
        <f>'CAPX &amp; Depreciation Forecast'!I6</f>
        <v>22.1445125</v>
      </c>
      <c r="R33" s="175">
        <f>'CAPX &amp; Depreciation Forecast'!J6</f>
        <v>26.30768085</v>
      </c>
      <c r="S33" s="175">
        <f>'CAPX &amp; Depreciation Forecast'!K6</f>
        <v>30.01024334</v>
      </c>
    </row>
    <row r="34" spans="1:19">
      <c r="A34" s="155" t="s">
        <v>91</v>
      </c>
      <c r="B34" s="146" t="s">
        <v>50</v>
      </c>
      <c r="C34" s="37"/>
      <c r="D34" s="155">
        <f t="shared" ref="D34:S34" si="2">D31-D32+D33</f>
        <v>-13.399</v>
      </c>
      <c r="E34" s="152">
        <f t="shared" si="2"/>
        <v>-21.4908598764161</v>
      </c>
      <c r="F34" s="152">
        <f t="shared" si="2"/>
        <v>-28.8803394638788</v>
      </c>
      <c r="G34" s="152">
        <f t="shared" si="2"/>
        <v>-36.4026999150076</v>
      </c>
      <c r="H34" s="152">
        <f t="shared" si="2"/>
        <v>-50.8250706313853</v>
      </c>
      <c r="I34" s="152">
        <f t="shared" si="2"/>
        <v>-62.0831679319863</v>
      </c>
      <c r="J34" s="152">
        <f t="shared" si="2"/>
        <v>-83.9964650119816</v>
      </c>
      <c r="K34" s="152">
        <f t="shared" si="2"/>
        <v>-117.806742013511</v>
      </c>
      <c r="L34" s="172">
        <f t="shared" si="2"/>
        <v>-138.229961032468</v>
      </c>
      <c r="M34" s="172">
        <f t="shared" si="2"/>
        <v>-138.764968527583</v>
      </c>
      <c r="N34" s="172">
        <f t="shared" si="2"/>
        <v>-138.150564414782</v>
      </c>
      <c r="O34" s="172">
        <f t="shared" si="2"/>
        <v>-131.89157290405</v>
      </c>
      <c r="P34" s="172">
        <f t="shared" si="2"/>
        <v>-119.061476355727</v>
      </c>
      <c r="Q34" s="172">
        <f t="shared" si="2"/>
        <v>-100.637956593576</v>
      </c>
      <c r="R34" s="172">
        <f t="shared" si="2"/>
        <v>-18.2076978936385</v>
      </c>
      <c r="S34" s="172">
        <f t="shared" si="2"/>
        <v>11.405408904637</v>
      </c>
    </row>
    <row r="35" spans="12:19">
      <c r="L35" s="104"/>
      <c r="M35" s="104"/>
      <c r="N35" s="104"/>
      <c r="O35" s="104"/>
      <c r="P35" s="104"/>
      <c r="Q35" s="104"/>
      <c r="R35" s="104"/>
      <c r="S35" s="104"/>
    </row>
    <row r="36" spans="12:19">
      <c r="L36" s="104"/>
      <c r="M36" s="104"/>
      <c r="N36" s="104"/>
      <c r="O36" s="104"/>
      <c r="P36" s="104"/>
      <c r="Q36" s="104"/>
      <c r="R36" s="104"/>
      <c r="S36" s="104"/>
    </row>
    <row r="37" spans="12:19">
      <c r="L37" s="104"/>
      <c r="M37" s="104"/>
      <c r="N37" s="104"/>
      <c r="O37" s="104"/>
      <c r="P37" s="104"/>
      <c r="Q37" s="104"/>
      <c r="R37" s="104"/>
      <c r="S37" s="104"/>
    </row>
  </sheetData>
  <mergeCells count="4">
    <mergeCell ref="D2:G2"/>
    <mergeCell ref="H2:K2"/>
    <mergeCell ref="L2:O2"/>
    <mergeCell ref="P2:S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zoomScale="81" zoomScaleNormal="81" workbookViewId="0">
      <selection activeCell="A1" sqref="A1"/>
    </sheetView>
  </sheetViews>
  <sheetFormatPr defaultColWidth="9.23076923076923" defaultRowHeight="16.8"/>
  <cols>
    <col min="1" max="1" width="22.8653846153846" customWidth="1"/>
    <col min="2" max="2" width="12.3942307692308" customWidth="1"/>
    <col min="3" max="3" width="9.82692307692308" customWidth="1"/>
    <col min="4" max="4" width="8.51923076923077" customWidth="1"/>
    <col min="5" max="5" width="9.35576923076923" customWidth="1"/>
    <col min="6" max="6" width="9.82692307692308" customWidth="1"/>
    <col min="7" max="7" width="9.69230769230769" customWidth="1"/>
    <col min="8" max="8" width="8.30769230769231" customWidth="1"/>
    <col min="9" max="9" width="9.82692307692308" customWidth="1"/>
    <col min="10" max="10" width="10.4230769230769" customWidth="1"/>
    <col min="11" max="11" width="10.4615384615385"/>
    <col min="12" max="12" width="9.83653846153846" customWidth="1"/>
    <col min="13" max="13" width="11.6730769230769" customWidth="1"/>
    <col min="14" max="14" width="10.2788461538462" customWidth="1"/>
    <col min="15" max="15" width="11.1057692307692" customWidth="1"/>
    <col min="16" max="16" width="11.6826923076923" customWidth="1"/>
    <col min="17" max="17" width="11.1057692307692" customWidth="1"/>
    <col min="18" max="18" width="10.4134615384615" customWidth="1"/>
    <col min="19" max="19" width="10.4038461538462" customWidth="1"/>
    <col min="20" max="20" width="11.1153846153846" customWidth="1"/>
    <col min="21" max="21" width="14.8461538461538" customWidth="1"/>
    <col min="22" max="22" width="13.8461538461538"/>
  </cols>
  <sheetData>
    <row r="1" spans="1:26">
      <c r="A1" s="38" t="s">
        <v>92</v>
      </c>
      <c r="B1" s="38"/>
      <c r="C1" s="39"/>
      <c r="D1" s="40"/>
      <c r="E1" s="71"/>
      <c r="F1" s="72"/>
      <c r="G1" s="71"/>
      <c r="H1" s="72"/>
      <c r="I1" s="72"/>
      <c r="J1" s="71"/>
      <c r="K1" s="72"/>
      <c r="L1" s="86"/>
      <c r="M1" s="38" t="s">
        <v>93</v>
      </c>
      <c r="N1" s="72"/>
      <c r="O1" s="72"/>
      <c r="P1" s="87"/>
      <c r="Q1" s="87"/>
      <c r="R1" s="87"/>
      <c r="S1" s="87"/>
      <c r="T1" s="87"/>
      <c r="U1" s="87"/>
      <c r="V1" s="112"/>
      <c r="W1" s="112"/>
      <c r="X1" s="112"/>
      <c r="Y1" s="112"/>
      <c r="Z1" s="112"/>
    </row>
    <row r="2" spans="1:26">
      <c r="A2" s="41" t="s">
        <v>94</v>
      </c>
      <c r="B2" s="42">
        <v>0.0291</v>
      </c>
      <c r="C2" s="43" t="s">
        <v>95</v>
      </c>
      <c r="D2" s="44"/>
      <c r="E2" s="73"/>
      <c r="F2" s="74"/>
      <c r="G2" s="73"/>
      <c r="H2" s="74"/>
      <c r="I2" s="74"/>
      <c r="J2" s="73"/>
      <c r="K2" s="74"/>
      <c r="L2" s="74"/>
      <c r="M2" s="88" t="s">
        <v>96</v>
      </c>
      <c r="N2" s="89">
        <f>SUM(M30:T30)</f>
        <v>-697.860549513781</v>
      </c>
      <c r="O2" s="89"/>
      <c r="P2" s="90"/>
      <c r="Q2" s="90"/>
      <c r="R2" s="90"/>
      <c r="S2" s="90"/>
      <c r="T2" s="90"/>
      <c r="U2" s="90"/>
      <c r="V2" s="112"/>
      <c r="W2" s="112"/>
      <c r="X2" s="112"/>
      <c r="Y2" s="112"/>
      <c r="Z2" s="112"/>
    </row>
    <row r="3" spans="1:21">
      <c r="A3" s="41" t="s">
        <v>97</v>
      </c>
      <c r="B3" s="45">
        <v>0.0589</v>
      </c>
      <c r="C3" s="43" t="s">
        <v>98</v>
      </c>
      <c r="D3" s="44"/>
      <c r="E3" s="73"/>
      <c r="F3" s="74"/>
      <c r="G3" s="73"/>
      <c r="H3" s="74"/>
      <c r="I3" s="74"/>
      <c r="J3" s="73"/>
      <c r="K3" s="74"/>
      <c r="L3" s="74"/>
      <c r="M3" s="88" t="s">
        <v>99</v>
      </c>
      <c r="N3" s="89">
        <f>U26</f>
        <v>6438.43445375145</v>
      </c>
      <c r="O3" s="89"/>
      <c r="P3" s="90"/>
      <c r="Q3" s="90"/>
      <c r="R3" s="90"/>
      <c r="S3" s="90"/>
      <c r="T3" s="90"/>
      <c r="U3" s="90"/>
    </row>
    <row r="4" spans="1:21">
      <c r="A4" s="41" t="s">
        <v>100</v>
      </c>
      <c r="B4" s="45">
        <v>0.0427</v>
      </c>
      <c r="C4" s="43" t="s">
        <v>101</v>
      </c>
      <c r="D4" s="44"/>
      <c r="E4" s="73"/>
      <c r="F4" s="74"/>
      <c r="G4" s="73"/>
      <c r="H4" s="74"/>
      <c r="I4" s="74"/>
      <c r="J4" s="73"/>
      <c r="K4" s="74"/>
      <c r="L4" s="74"/>
      <c r="M4" s="88" t="s">
        <v>102</v>
      </c>
      <c r="N4" s="89">
        <f>U30</f>
        <v>5020.00162078774</v>
      </c>
      <c r="O4" s="89"/>
      <c r="P4" s="90"/>
      <c r="Q4" s="90"/>
      <c r="R4" s="90"/>
      <c r="S4" s="90"/>
      <c r="T4" s="90"/>
      <c r="U4" s="90"/>
    </row>
    <row r="5" spans="1:21">
      <c r="A5" s="46" t="s">
        <v>103</v>
      </c>
      <c r="B5" s="47">
        <v>1.25</v>
      </c>
      <c r="C5" s="43" t="s">
        <v>104</v>
      </c>
      <c r="D5" s="44"/>
      <c r="E5" s="73"/>
      <c r="F5" s="74"/>
      <c r="G5" s="73"/>
      <c r="H5" s="74"/>
      <c r="I5" s="74"/>
      <c r="J5" s="73"/>
      <c r="K5" s="74"/>
      <c r="L5" s="74"/>
      <c r="M5" s="88" t="s">
        <v>105</v>
      </c>
      <c r="N5" s="89">
        <f>SUM(N2+N4)</f>
        <v>4322.14107127396</v>
      </c>
      <c r="O5" s="89"/>
      <c r="P5" s="90"/>
      <c r="Q5" s="90"/>
      <c r="R5" s="90"/>
      <c r="S5" s="90"/>
      <c r="T5" s="90"/>
      <c r="U5" s="90"/>
    </row>
    <row r="6" spans="1:21">
      <c r="A6" s="48" t="s">
        <v>106</v>
      </c>
      <c r="B6" s="49">
        <f>B2+B5*B3+B4</f>
        <v>0.145425</v>
      </c>
      <c r="C6" s="50"/>
      <c r="D6" s="44"/>
      <c r="E6" s="73"/>
      <c r="F6" s="74"/>
      <c r="G6" s="73"/>
      <c r="H6" s="74"/>
      <c r="I6" s="74"/>
      <c r="J6" s="73"/>
      <c r="K6" s="74"/>
      <c r="L6" s="74"/>
      <c r="M6" s="88" t="s">
        <v>107</v>
      </c>
      <c r="N6" s="91">
        <v>100</v>
      </c>
      <c r="O6" s="91"/>
      <c r="P6" s="92"/>
      <c r="Q6" s="92"/>
      <c r="R6" s="92"/>
      <c r="S6" s="92"/>
      <c r="T6" s="92"/>
      <c r="U6" s="92"/>
    </row>
    <row r="7" spans="1:21">
      <c r="A7" s="51" t="s">
        <v>108</v>
      </c>
      <c r="B7" s="52">
        <v>0.0520623742454728</v>
      </c>
      <c r="C7" s="50" t="s">
        <v>109</v>
      </c>
      <c r="D7" s="44"/>
      <c r="E7" s="73"/>
      <c r="F7" s="74"/>
      <c r="G7" s="73"/>
      <c r="H7" s="74"/>
      <c r="I7" s="74"/>
      <c r="J7" s="73"/>
      <c r="K7" s="74"/>
      <c r="L7" s="74"/>
      <c r="M7" s="88" t="s">
        <v>110</v>
      </c>
      <c r="N7" s="93">
        <v>0</v>
      </c>
      <c r="O7" s="93"/>
      <c r="P7" s="94"/>
      <c r="Q7" s="94"/>
      <c r="R7" s="94"/>
      <c r="S7" s="94"/>
      <c r="T7" s="94"/>
      <c r="U7" s="94"/>
    </row>
    <row r="8" spans="1:21">
      <c r="A8" s="48" t="s">
        <v>111</v>
      </c>
      <c r="B8" s="53">
        <f>B6*(1-0.15)</f>
        <v>0.12361125</v>
      </c>
      <c r="C8" s="50"/>
      <c r="D8" s="44"/>
      <c r="E8" s="73"/>
      <c r="F8" s="74"/>
      <c r="G8" s="73"/>
      <c r="H8" s="74"/>
      <c r="I8" s="74"/>
      <c r="J8" s="73"/>
      <c r="K8" s="74"/>
      <c r="L8" s="74"/>
      <c r="M8" s="95" t="s">
        <v>112</v>
      </c>
      <c r="N8" s="93">
        <v>0</v>
      </c>
      <c r="O8" s="93"/>
      <c r="P8" s="94"/>
      <c r="Q8" s="94"/>
      <c r="R8" s="94"/>
      <c r="S8" s="94"/>
      <c r="T8" s="94"/>
      <c r="U8" s="94"/>
    </row>
    <row r="9" spans="1:21">
      <c r="A9" s="51" t="s">
        <v>113</v>
      </c>
      <c r="B9" s="54">
        <v>0</v>
      </c>
      <c r="C9" s="50"/>
      <c r="D9" s="44"/>
      <c r="E9" s="75"/>
      <c r="F9" s="74"/>
      <c r="G9" s="75"/>
      <c r="H9" s="74"/>
      <c r="I9" s="74"/>
      <c r="J9" s="75"/>
      <c r="K9" s="74"/>
      <c r="L9" s="74"/>
      <c r="M9" s="96" t="s">
        <v>114</v>
      </c>
      <c r="N9" s="97">
        <f>N5+N6-N7-N8</f>
        <v>4422.14107127396</v>
      </c>
      <c r="O9" s="97"/>
      <c r="P9" s="98"/>
      <c r="Q9" s="98"/>
      <c r="R9" s="98"/>
      <c r="S9" s="98"/>
      <c r="T9" s="98"/>
      <c r="U9" s="98"/>
    </row>
    <row r="10" spans="1:21">
      <c r="A10" s="55" t="s">
        <v>115</v>
      </c>
      <c r="B10" s="56">
        <f>B8*B9*(1-0.15)+(1-B9)*B6</f>
        <v>0.145425</v>
      </c>
      <c r="C10" s="50"/>
      <c r="D10" s="44"/>
      <c r="E10" s="73"/>
      <c r="F10" s="74"/>
      <c r="G10" s="73"/>
      <c r="H10" s="74"/>
      <c r="I10" s="74"/>
      <c r="J10" s="73"/>
      <c r="K10" s="74"/>
      <c r="L10" s="74"/>
      <c r="M10" s="95" t="s">
        <v>116</v>
      </c>
      <c r="N10" s="99" t="s">
        <v>117</v>
      </c>
      <c r="O10" s="99"/>
      <c r="P10" s="100"/>
      <c r="Q10" s="100"/>
      <c r="R10" s="100"/>
      <c r="S10" s="100"/>
      <c r="T10" s="100"/>
      <c r="U10" s="100"/>
    </row>
    <row r="11" spans="1:21">
      <c r="A11" s="55" t="s">
        <v>118</v>
      </c>
      <c r="B11" s="56">
        <v>0.1325</v>
      </c>
      <c r="C11" s="50"/>
      <c r="D11" s="44"/>
      <c r="E11" s="76"/>
      <c r="F11" s="74"/>
      <c r="G11" s="76"/>
      <c r="H11" s="74"/>
      <c r="I11" s="74"/>
      <c r="J11" s="76"/>
      <c r="K11" s="74"/>
      <c r="L11" s="74"/>
      <c r="M11" s="101" t="s">
        <v>119</v>
      </c>
      <c r="N11" s="102">
        <v>4000</v>
      </c>
      <c r="O11" s="102"/>
      <c r="P11" s="103"/>
      <c r="Q11" s="103"/>
      <c r="R11" s="103"/>
      <c r="S11" s="103"/>
      <c r="T11" s="103"/>
      <c r="U11" s="103"/>
    </row>
    <row r="12" spans="16:21">
      <c r="P12" s="104"/>
      <c r="Q12" s="104"/>
      <c r="R12" s="104"/>
      <c r="S12" s="104"/>
      <c r="T12" s="104"/>
      <c r="U12" s="104"/>
    </row>
    <row r="13" s="37" customFormat="1" ht="15.2" spans="1:21">
      <c r="A13" s="57" t="s">
        <v>120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105"/>
      <c r="N13" s="105"/>
      <c r="O13" s="105"/>
      <c r="P13" s="105"/>
      <c r="Q13" s="105"/>
      <c r="R13" s="105"/>
      <c r="S13" s="105"/>
      <c r="T13" s="105"/>
      <c r="U13" s="105"/>
    </row>
    <row r="14" s="37" customFormat="1" ht="15.2" spans="1:20">
      <c r="A14" s="59"/>
      <c r="B14" s="60"/>
      <c r="C14" s="61"/>
      <c r="D14" s="61"/>
      <c r="E14" s="59"/>
      <c r="F14" s="77"/>
      <c r="G14" s="77"/>
      <c r="H14" s="77"/>
      <c r="I14" s="77"/>
      <c r="J14" s="77"/>
      <c r="K14" s="77"/>
      <c r="L14" s="77"/>
      <c r="M14" s="106" t="s">
        <v>121</v>
      </c>
      <c r="N14" s="106"/>
      <c r="O14" s="106"/>
      <c r="P14" s="106"/>
      <c r="Q14" s="106"/>
      <c r="R14" s="106"/>
      <c r="S14" s="106"/>
      <c r="T14" s="106"/>
    </row>
    <row r="15" s="37" customFormat="1" ht="15.95" spans="1:21">
      <c r="A15" s="62" t="s">
        <v>122</v>
      </c>
      <c r="B15" s="63"/>
      <c r="C15" s="63"/>
      <c r="D15" s="63"/>
      <c r="E15" s="78" t="s">
        <v>123</v>
      </c>
      <c r="F15" s="78" t="s">
        <v>124</v>
      </c>
      <c r="G15" s="78" t="s">
        <v>125</v>
      </c>
      <c r="H15" s="78" t="s">
        <v>126</v>
      </c>
      <c r="I15" s="78" t="s">
        <v>127</v>
      </c>
      <c r="J15" s="78" t="s">
        <v>128</v>
      </c>
      <c r="K15" s="78" t="s">
        <v>129</v>
      </c>
      <c r="L15" s="78" t="s">
        <v>130</v>
      </c>
      <c r="M15" s="78" t="s">
        <v>131</v>
      </c>
      <c r="N15" s="78" t="s">
        <v>132</v>
      </c>
      <c r="O15" s="78" t="s">
        <v>133</v>
      </c>
      <c r="P15" s="78" t="s">
        <v>134</v>
      </c>
      <c r="Q15" s="78" t="s">
        <v>135</v>
      </c>
      <c r="R15" s="78" t="s">
        <v>136</v>
      </c>
      <c r="S15" s="78" t="s">
        <v>137</v>
      </c>
      <c r="T15" s="78" t="s">
        <v>138</v>
      </c>
      <c r="U15" s="78" t="s">
        <v>139</v>
      </c>
    </row>
    <row r="16" s="37" customFormat="1" ht="15.2" spans="1:21">
      <c r="A16" s="64" t="s">
        <v>140</v>
      </c>
      <c r="B16" s="59"/>
      <c r="C16" s="59"/>
      <c r="D16" s="59"/>
      <c r="E16" s="79">
        <f>ZADNA!E12</f>
        <v>18.045</v>
      </c>
      <c r="F16" s="79">
        <f>ZADNA!F12</f>
        <v>53.70994</v>
      </c>
      <c r="G16" s="79">
        <f>ZADNA!G12</f>
        <v>85.740617</v>
      </c>
      <c r="H16" s="79">
        <f>ZADNA!H12</f>
        <v>111.893436</v>
      </c>
      <c r="I16" s="79">
        <f>ZADNA!I12</f>
        <v>141.358515</v>
      </c>
      <c r="J16" s="79">
        <f>ZADNA!J12</f>
        <v>178.258535</v>
      </c>
      <c r="K16" s="79">
        <f>ZADNA!K12</f>
        <v>221.158317</v>
      </c>
      <c r="L16" s="79">
        <f>ZADNA!L12</f>
        <v>271.221162</v>
      </c>
      <c r="M16" s="79">
        <f>ZADNA!M12</f>
        <v>536.56125</v>
      </c>
      <c r="N16" s="79">
        <f>ZADNA!N12</f>
        <v>689.90828125</v>
      </c>
      <c r="O16" s="79">
        <f>ZADNA!O12</f>
        <v>869.33994140625</v>
      </c>
      <c r="P16" s="79">
        <f>ZADNA!P12</f>
        <v>1096.22263408203</v>
      </c>
      <c r="Q16" s="79">
        <f>ZADNA!Q12</f>
        <v>1371.71628334229</v>
      </c>
      <c r="R16" s="79">
        <f>ZADNA!R12</f>
        <v>1662.20286426007</v>
      </c>
      <c r="S16" s="79">
        <f>ZADNA!S12</f>
        <v>1994.30671629258</v>
      </c>
      <c r="T16" s="79">
        <f>ZADNA!T12</f>
        <v>2310.35413020415</v>
      </c>
      <c r="U16" s="113">
        <f>T16*(1+B11/4)</f>
        <v>2386.88461076716</v>
      </c>
    </row>
    <row r="17" s="37" customFormat="1" ht="15.2" spans="1:21">
      <c r="A17" s="59" t="s">
        <v>141</v>
      </c>
      <c r="B17" s="59"/>
      <c r="C17" s="59"/>
      <c r="D17" s="59"/>
      <c r="E17" s="80">
        <f>'P&amp;L and Margins'!D15</f>
        <v>14.4</v>
      </c>
      <c r="F17" s="80">
        <f>'P&amp;L and Margins'!E15</f>
        <v>42.8608</v>
      </c>
      <c r="G17" s="80">
        <f>'P&amp;L and Margins'!F15</f>
        <v>68.42144</v>
      </c>
      <c r="H17" s="80">
        <f>'P&amp;L and Margins'!G15</f>
        <v>89.29152</v>
      </c>
      <c r="I17" s="80">
        <f>'P&amp;L and Margins'!H15</f>
        <v>112.8048</v>
      </c>
      <c r="J17" s="80">
        <f>'P&amp;L and Margins'!I15</f>
        <v>142.2512</v>
      </c>
      <c r="K17" s="80">
        <f>'P&amp;L and Margins'!J15</f>
        <v>176.48544</v>
      </c>
      <c r="L17" s="80">
        <f>'P&amp;L and Margins'!K15</f>
        <v>216.43584</v>
      </c>
      <c r="M17" s="80">
        <f>'P&amp;L and Margins'!L15</f>
        <v>423.36495</v>
      </c>
      <c r="N17" s="80">
        <f>'P&amp;L and Margins'!M15</f>
        <v>537.6501</v>
      </c>
      <c r="O17" s="80">
        <f>'P&amp;L and Margins'!N15</f>
        <v>668.976</v>
      </c>
      <c r="P17" s="80">
        <f>'P&amp;L and Margins'!O15</f>
        <v>832.743552</v>
      </c>
      <c r="Q17" s="80">
        <f>'P&amp;L and Margins'!P15</f>
        <v>1028.452815</v>
      </c>
      <c r="R17" s="80">
        <f>'P&amp;L and Margins'!Q15</f>
        <v>1229.70518832</v>
      </c>
      <c r="S17" s="80">
        <f>'P&amp;L and Margins'!R15</f>
        <v>1455.51979509</v>
      </c>
      <c r="T17" s="80">
        <f>'P&amp;L and Margins'!S15</f>
        <v>1663.11334728</v>
      </c>
      <c r="U17" s="80"/>
    </row>
    <row r="18" s="37" customFormat="1" ht="15.2" spans="1:21">
      <c r="A18" s="59" t="s">
        <v>142</v>
      </c>
      <c r="B18" s="59"/>
      <c r="C18" s="59"/>
      <c r="D18" s="59"/>
      <c r="E18" s="80">
        <f>SUM('P&amp;L and Margins'!D16:D19)</f>
        <v>4.044</v>
      </c>
      <c r="F18" s="80">
        <f>SUM('P&amp;L and Margins'!E16:E19)</f>
        <v>12.127</v>
      </c>
      <c r="G18" s="80">
        <f>SUM('P&amp;L and Margins'!F16:F19)</f>
        <v>19.50714</v>
      </c>
      <c r="H18" s="80">
        <f>SUM('P&amp;L and Margins'!G16:G19)</f>
        <v>25.65581</v>
      </c>
      <c r="I18" s="80">
        <f>SUM('P&amp;L and Margins'!H16:H19)</f>
        <v>32.6697</v>
      </c>
      <c r="J18" s="80">
        <f>SUM('P&amp;L and Margins'!I16:I19)</f>
        <v>41.53227</v>
      </c>
      <c r="K18" s="80">
        <f>SUM('P&amp;L and Margins'!J16:J19)</f>
        <v>51.9545</v>
      </c>
      <c r="L18" s="80">
        <f>SUM('P&amp;L and Margins'!K16:K19)</f>
        <v>64.25439</v>
      </c>
      <c r="M18" s="80">
        <f>SUM('P&amp;L and Margins'!L16:L19)</f>
        <v>111.82551</v>
      </c>
      <c r="N18" s="80">
        <f>SUM('P&amp;L and Margins'!M16:M19)</f>
        <v>139.23759</v>
      </c>
      <c r="O18" s="80">
        <f>SUM('P&amp;L and Margins'!N16:N19)</f>
        <v>169.7056</v>
      </c>
      <c r="P18" s="80">
        <f>SUM('P&amp;L and Margins'!O16:O19)</f>
        <v>206.7249344</v>
      </c>
      <c r="Q18" s="80">
        <f>SUM('P&amp;L and Margins'!P16:P19)</f>
        <v>251.399577</v>
      </c>
      <c r="R18" s="80">
        <f>SUM('P&amp;L and Margins'!Q16:Q19)</f>
        <v>299.11747824</v>
      </c>
      <c r="S18" s="80">
        <f>SUM('P&amp;L and Margins'!R16:R19)</f>
        <v>288.445475374</v>
      </c>
      <c r="T18" s="80">
        <f>SUM('P&amp;L and Margins'!S16:S19)</f>
        <v>334.162589222</v>
      </c>
      <c r="U18" s="80"/>
    </row>
    <row r="19" s="37" customFormat="1" ht="15.2" spans="1:21">
      <c r="A19" s="65" t="s">
        <v>143</v>
      </c>
      <c r="B19" s="66"/>
      <c r="C19" s="66"/>
      <c r="D19" s="66"/>
      <c r="E19" s="81"/>
      <c r="F19" s="81"/>
      <c r="G19" s="81"/>
      <c r="H19" s="81"/>
      <c r="I19" s="81"/>
      <c r="J19" s="81"/>
      <c r="K19" s="81"/>
      <c r="L19" s="81"/>
      <c r="M19" s="107">
        <f>'P&amp;L and Margins'!L20</f>
        <v>1.37078999999994</v>
      </c>
      <c r="N19" s="107">
        <f>'P&amp;L and Margins'!M20</f>
        <v>13.0205912499999</v>
      </c>
      <c r="O19" s="107">
        <f>'P&amp;L and Margins'!N20</f>
        <v>30.6583414062501</v>
      </c>
      <c r="P19" s="107">
        <f>'P&amp;L and Margins'!O20</f>
        <v>56.7541476820313</v>
      </c>
      <c r="Q19" s="107">
        <f>'P&amp;L and Margins'!P20</f>
        <v>91.8638913422852</v>
      </c>
      <c r="R19" s="107">
        <f>'P&amp;L and Margins'!Q20</f>
        <v>133.380197700071</v>
      </c>
      <c r="S19" s="107">
        <f>'P&amp;L and Margins'!R20</f>
        <v>250.34144582858</v>
      </c>
      <c r="T19" s="107">
        <f>'P&amp;L and Margins'!S20</f>
        <v>313.078193702152</v>
      </c>
      <c r="U19" s="114">
        <f>U16*T19/T16</f>
        <v>323.448908868536</v>
      </c>
    </row>
    <row r="20" s="37" customFormat="1" ht="15.2" spans="1:16384">
      <c r="A20" s="59" t="s">
        <v>144</v>
      </c>
      <c r="B20" s="59"/>
      <c r="C20" s="59"/>
      <c r="D20" s="59"/>
      <c r="E20" s="82"/>
      <c r="F20" s="82"/>
      <c r="G20" s="82"/>
      <c r="H20" s="82"/>
      <c r="I20" s="82"/>
      <c r="J20" s="82"/>
      <c r="K20" s="82"/>
      <c r="L20" s="82"/>
      <c r="M20" s="108">
        <f>SUM(ZADNA!M20:M21)</f>
        <v>116.462212721016</v>
      </c>
      <c r="N20" s="108">
        <f>SUM(ZADNA!N20:N21)</f>
        <v>127.254567611487</v>
      </c>
      <c r="O20" s="108">
        <f>SUM(ZADNA!O20:O21)</f>
        <v>139.066387344291</v>
      </c>
      <c r="P20" s="108">
        <f>SUM(ZADNA!P20:P21)</f>
        <v>151.995434458391</v>
      </c>
      <c r="Q20" s="108">
        <f>SUM(ZADNA!Q20:Q21)</f>
        <v>166.148954870479</v>
      </c>
      <c r="R20" s="108">
        <f>SUM(ZADNA!R20:R21)</f>
        <v>181.644605711412</v>
      </c>
      <c r="S20" s="108">
        <f>SUM(ZADNA!S20:S21)</f>
        <v>198.611474511211</v>
      </c>
      <c r="T20" s="108">
        <f>SUM(ZADNA!T20:T21)</f>
        <v>217.191198766996</v>
      </c>
      <c r="U20" s="108"/>
      <c r="XFD20" s="108"/>
    </row>
    <row r="21" s="37" customFormat="1" ht="15.2" spans="1:21">
      <c r="A21" s="65" t="s">
        <v>145</v>
      </c>
      <c r="B21" s="66"/>
      <c r="C21" s="66"/>
      <c r="D21" s="66"/>
      <c r="E21" s="81"/>
      <c r="F21" s="81"/>
      <c r="G21" s="81"/>
      <c r="H21" s="81"/>
      <c r="I21" s="81"/>
      <c r="J21" s="81"/>
      <c r="K21" s="81"/>
      <c r="L21" s="81"/>
      <c r="M21" s="107">
        <f>'P&amp;L and Margins'!L26</f>
        <v>-115.091422721016</v>
      </c>
      <c r="N21" s="107">
        <f>'P&amp;L and Margins'!M26</f>
        <v>-114.233976361487</v>
      </c>
      <c r="O21" s="107">
        <f>'P&amp;L and Margins'!N26</f>
        <v>-108.408045938041</v>
      </c>
      <c r="P21" s="107">
        <f>'P&amp;L and Margins'!O26</f>
        <v>-95.2412867763599</v>
      </c>
      <c r="Q21" s="107">
        <f>'P&amp;L and Margins'!P26</f>
        <v>-74.2850635281933</v>
      </c>
      <c r="R21" s="107">
        <f>'P&amp;L and Margins'!Q26</f>
        <v>-48.2644080113412</v>
      </c>
      <c r="S21" s="107">
        <f>'P&amp;L and Margins'!R26</f>
        <v>51.7299713173686</v>
      </c>
      <c r="T21" s="107">
        <f>'P&amp;L and Margins'!S26</f>
        <v>95.8869949351564</v>
      </c>
      <c r="U21" s="114">
        <f>U19*T21/T19</f>
        <v>99.0632516423835</v>
      </c>
    </row>
    <row r="22" s="37" customFormat="1" ht="15.2" spans="1:21">
      <c r="A22" s="59" t="s">
        <v>146</v>
      </c>
      <c r="B22" s="67"/>
      <c r="C22" s="67"/>
      <c r="D22" s="67"/>
      <c r="E22" s="82"/>
      <c r="F22" s="82"/>
      <c r="G22" s="82"/>
      <c r="H22" s="82"/>
      <c r="I22" s="82"/>
      <c r="J22" s="82"/>
      <c r="K22" s="82"/>
      <c r="L22" s="82"/>
      <c r="M22" s="108">
        <f>'P&amp;L and Margins'!L27</f>
        <v>0</v>
      </c>
      <c r="N22" s="108">
        <f>'P&amp;L and Margins'!M27</f>
        <v>0</v>
      </c>
      <c r="O22" s="108">
        <f>'P&amp;L and Margins'!N27</f>
        <v>0</v>
      </c>
      <c r="P22" s="108">
        <f>'P&amp;L and Margins'!O27</f>
        <v>0</v>
      </c>
      <c r="Q22" s="108">
        <f>'P&amp;L and Margins'!P27</f>
        <v>0</v>
      </c>
      <c r="R22" s="108">
        <f>'P&amp;L and Margins'!Q27</f>
        <v>0</v>
      </c>
      <c r="S22" s="108">
        <f>'P&amp;L and Margins'!R27</f>
        <v>7.7594956976053</v>
      </c>
      <c r="T22" s="108">
        <f>'P&amp;L and Margins'!S27</f>
        <v>14.3830492402735</v>
      </c>
      <c r="U22" s="115">
        <f>U21*0.15</f>
        <v>14.8594877463575</v>
      </c>
    </row>
    <row r="23" s="37" customFormat="1" ht="15.2" spans="1:21">
      <c r="A23" s="59" t="s">
        <v>147</v>
      </c>
      <c r="B23" s="67"/>
      <c r="C23" s="67"/>
      <c r="D23" s="67"/>
      <c r="E23" s="82"/>
      <c r="F23" s="82"/>
      <c r="G23" s="82"/>
      <c r="H23" s="82"/>
      <c r="I23" s="82"/>
      <c r="J23" s="82"/>
      <c r="K23" s="82"/>
      <c r="L23" s="82"/>
      <c r="M23" s="80">
        <f>'Cash Flow Forecast Model'!L32</f>
        <v>24.64</v>
      </c>
      <c r="N23" s="80">
        <f>'Cash Flow Forecast Model'!M32</f>
        <v>30.976</v>
      </c>
      <c r="O23" s="80">
        <f>'Cash Flow Forecast Model'!N32</f>
        <v>38.3328</v>
      </c>
      <c r="P23" s="80">
        <f>'Cash Flow Forecast Model'!O32</f>
        <v>47.788224</v>
      </c>
      <c r="Q23" s="80">
        <f>'Cash Flow Forecast Model'!P32</f>
        <v>59.266768</v>
      </c>
      <c r="R23" s="80">
        <f>'Cash Flow Forecast Model'!Q32</f>
        <v>70.86244</v>
      </c>
      <c r="S23" s="80">
        <f>'Cash Flow Forecast Model'!R32</f>
        <v>84.18457872</v>
      </c>
      <c r="T23" s="80">
        <f>'Cash Flow Forecast Model'!S32</f>
        <v>96.0327786880001</v>
      </c>
      <c r="U23" s="80"/>
    </row>
    <row r="24" s="37" customFormat="1" ht="15.2" spans="1:21">
      <c r="A24" s="59" t="s">
        <v>148</v>
      </c>
      <c r="B24" s="59"/>
      <c r="C24" s="59"/>
      <c r="D24" s="59"/>
      <c r="E24" s="82"/>
      <c r="F24" s="82"/>
      <c r="G24" s="82"/>
      <c r="H24" s="82"/>
      <c r="I24" s="82"/>
      <c r="J24" s="82"/>
      <c r="K24" s="82"/>
      <c r="L24" s="82"/>
      <c r="M24" s="80">
        <f>'Cash Flow Forecast Model'!L33</f>
        <v>7.7</v>
      </c>
      <c r="N24" s="80">
        <f>'Cash Flow Forecast Model'!M33</f>
        <v>9.68</v>
      </c>
      <c r="O24" s="80">
        <f>'Cash Flow Forecast Model'!N33</f>
        <v>11.979</v>
      </c>
      <c r="P24" s="80">
        <f>'Cash Flow Forecast Model'!O33</f>
        <v>14.93382</v>
      </c>
      <c r="Q24" s="80">
        <f>'Cash Flow Forecast Model'!P33</f>
        <v>18.520865</v>
      </c>
      <c r="R24" s="80">
        <f>'Cash Flow Forecast Model'!Q33</f>
        <v>22.1445125</v>
      </c>
      <c r="S24" s="80">
        <f>'Cash Flow Forecast Model'!R33</f>
        <v>26.30768085</v>
      </c>
      <c r="T24" s="80">
        <f>'Cash Flow Forecast Model'!S33</f>
        <v>30.01024334</v>
      </c>
      <c r="U24" s="80"/>
    </row>
    <row r="25" s="37" customFormat="1" ht="15.2" spans="1:21">
      <c r="A25" s="59" t="s">
        <v>149</v>
      </c>
      <c r="B25" s="67"/>
      <c r="C25" s="67"/>
      <c r="D25" s="67"/>
      <c r="E25" s="82"/>
      <c r="F25" s="82"/>
      <c r="G25" s="82"/>
      <c r="H25" s="82"/>
      <c r="I25" s="82"/>
      <c r="J25" s="82"/>
      <c r="K25" s="82"/>
      <c r="L25" s="82"/>
      <c r="M25" s="80">
        <f>'Cash Flow Forecast Model'!L29</f>
        <v>6.19853831145205</v>
      </c>
      <c r="N25" s="80">
        <f>'Cash Flow Forecast Model'!M29</f>
        <v>3.23499216609589</v>
      </c>
      <c r="O25" s="80">
        <f>'Cash Flow Forecast Model'!N29</f>
        <v>3.38871847674087</v>
      </c>
      <c r="P25" s="80">
        <f>'Cash Flow Forecast Model'!O29</f>
        <v>3.79588212768978</v>
      </c>
      <c r="Q25" s="80">
        <f>'Cash Flow Forecast Model'!P29</f>
        <v>4.03050982753358</v>
      </c>
      <c r="R25" s="80">
        <f>'Cash Flow Forecast Model'!Q29</f>
        <v>3.65562108223479</v>
      </c>
      <c r="S25" s="80">
        <f>'Cash Flow Forecast Model'!R29</f>
        <v>4.30127564340186</v>
      </c>
      <c r="T25" s="80">
        <f>'Cash Flow Forecast Model'!S29</f>
        <v>4.07600144224588</v>
      </c>
      <c r="U25" s="80">
        <f>(U16-T16)*'Working Capital Forecast Model'!S17</f>
        <v>0.986998581288457</v>
      </c>
    </row>
    <row r="26" s="37" customFormat="1" ht="15.2" spans="1:21">
      <c r="A26" s="65" t="s">
        <v>150</v>
      </c>
      <c r="B26" s="68"/>
      <c r="C26" s="68"/>
      <c r="D26" s="68"/>
      <c r="E26" s="83"/>
      <c r="F26" s="83"/>
      <c r="G26" s="83"/>
      <c r="H26" s="83"/>
      <c r="I26" s="83"/>
      <c r="J26" s="83"/>
      <c r="K26" s="83"/>
      <c r="L26" s="83"/>
      <c r="M26" s="107">
        <f>'Cash Flow Forecast Model'!L34</f>
        <v>-138.229961032468</v>
      </c>
      <c r="N26" s="107">
        <f>'Cash Flow Forecast Model'!M34</f>
        <v>-138.764968527583</v>
      </c>
      <c r="O26" s="107">
        <f>'Cash Flow Forecast Model'!N34</f>
        <v>-138.150564414782</v>
      </c>
      <c r="P26" s="107">
        <f>'Cash Flow Forecast Model'!O34</f>
        <v>-131.89157290405</v>
      </c>
      <c r="Q26" s="107">
        <f>'Cash Flow Forecast Model'!P34</f>
        <v>-119.061476355727</v>
      </c>
      <c r="R26" s="107">
        <f>'Cash Flow Forecast Model'!Q34</f>
        <v>-100.637956593576</v>
      </c>
      <c r="S26" s="107">
        <f>'Cash Flow Forecast Model'!R34</f>
        <v>-18.2076978936385</v>
      </c>
      <c r="T26" s="107">
        <f>'Cash Flow Forecast Model'!S34</f>
        <v>11.405408904637</v>
      </c>
      <c r="U26" s="116">
        <f>(U21-U22-U25)/(B10-B11)</f>
        <v>6438.43445375145</v>
      </c>
    </row>
    <row r="27" s="37" customFormat="1" ht="15.2" spans="1:21">
      <c r="A27" s="69" t="s">
        <v>151</v>
      </c>
      <c r="B27" s="67"/>
      <c r="C27" s="67"/>
      <c r="D27" s="67"/>
      <c r="E27" s="84"/>
      <c r="F27" s="84"/>
      <c r="G27" s="84"/>
      <c r="H27" s="84"/>
      <c r="I27" s="84"/>
      <c r="J27" s="84"/>
      <c r="K27" s="84"/>
      <c r="L27" s="84"/>
      <c r="M27" s="80">
        <v>0.25</v>
      </c>
      <c r="N27" s="80">
        <f t="shared" ref="N27:U27" si="0">0.25+M27</f>
        <v>0.5</v>
      </c>
      <c r="O27" s="80">
        <f t="shared" si="0"/>
        <v>0.75</v>
      </c>
      <c r="P27" s="80">
        <f t="shared" si="0"/>
        <v>1</v>
      </c>
      <c r="Q27" s="80">
        <f t="shared" si="0"/>
        <v>1.25</v>
      </c>
      <c r="R27" s="80">
        <f t="shared" si="0"/>
        <v>1.5</v>
      </c>
      <c r="S27" s="80">
        <f t="shared" si="0"/>
        <v>1.75</v>
      </c>
      <c r="T27" s="80">
        <f t="shared" si="0"/>
        <v>2</v>
      </c>
      <c r="U27" s="80"/>
    </row>
    <row r="28" s="37" customFormat="1" ht="15.2" spans="1:21">
      <c r="A28" s="69" t="s">
        <v>152</v>
      </c>
      <c r="B28" s="67"/>
      <c r="C28" s="67"/>
      <c r="D28" s="67"/>
      <c r="E28" s="84"/>
      <c r="F28" s="84"/>
      <c r="G28" s="84"/>
      <c r="H28" s="84"/>
      <c r="I28" s="84"/>
      <c r="J28" s="84"/>
      <c r="K28" s="84"/>
      <c r="L28" s="84"/>
      <c r="M28" s="109">
        <f>$B$11</f>
        <v>0.1325</v>
      </c>
      <c r="N28" s="109">
        <f>$B$11</f>
        <v>0.1325</v>
      </c>
      <c r="O28" s="109">
        <f>$B$11</f>
        <v>0.1325</v>
      </c>
      <c r="P28" s="109">
        <f>$B$11</f>
        <v>0.1325</v>
      </c>
      <c r="Q28" s="109">
        <f>$B$11</f>
        <v>0.1325</v>
      </c>
      <c r="R28" s="109">
        <f>$B$11</f>
        <v>0.1325</v>
      </c>
      <c r="S28" s="109">
        <f>$B$11</f>
        <v>0.1325</v>
      </c>
      <c r="T28" s="109">
        <f>$B$11</f>
        <v>0.1325</v>
      </c>
      <c r="U28" s="109"/>
    </row>
    <row r="29" s="37" customFormat="1" ht="15.2" spans="1:21">
      <c r="A29" s="69" t="s">
        <v>153</v>
      </c>
      <c r="B29" s="67"/>
      <c r="C29" s="67"/>
      <c r="D29" s="67"/>
      <c r="E29" s="84"/>
      <c r="F29" s="84"/>
      <c r="G29" s="84"/>
      <c r="H29" s="84"/>
      <c r="I29" s="84"/>
      <c r="J29" s="84"/>
      <c r="K29" s="84"/>
      <c r="L29" s="84"/>
      <c r="M29" s="110">
        <f t="shared" ref="M29:U29" si="1">1/(1+M28)^(M27)</f>
        <v>0.969371946917116</v>
      </c>
      <c r="N29" s="110">
        <f t="shared" si="1"/>
        <v>0.939681971469879</v>
      </c>
      <c r="O29" s="110">
        <f t="shared" si="1"/>
        <v>0.91090134216667</v>
      </c>
      <c r="P29" s="110">
        <f t="shared" si="1"/>
        <v>0.883002207505519</v>
      </c>
      <c r="Q29" s="110">
        <f t="shared" si="1"/>
        <v>0.855957569021735</v>
      </c>
      <c r="R29" s="110">
        <f t="shared" si="1"/>
        <v>0.829741255161041</v>
      </c>
      <c r="S29" s="110">
        <f t="shared" si="1"/>
        <v>0.80432789595291</v>
      </c>
      <c r="T29" s="110">
        <f t="shared" si="1"/>
        <v>0.779692898459619</v>
      </c>
      <c r="U29" s="110"/>
    </row>
    <row r="30" s="37" customFormat="1" ht="15.2" spans="1:21">
      <c r="A30" s="65" t="s">
        <v>154</v>
      </c>
      <c r="B30" s="70"/>
      <c r="C30" s="70"/>
      <c r="D30" s="70"/>
      <c r="E30" s="85"/>
      <c r="F30" s="85"/>
      <c r="G30" s="85"/>
      <c r="H30" s="85"/>
      <c r="I30" s="85"/>
      <c r="J30" s="85"/>
      <c r="K30" s="85"/>
      <c r="L30" s="85"/>
      <c r="M30" s="111">
        <f t="shared" ref="M30:U30" si="2">M26*M29</f>
        <v>-133.996246448321</v>
      </c>
      <c r="N30" s="111">
        <f t="shared" si="2"/>
        <v>-130.394939196955</v>
      </c>
      <c r="O30" s="111">
        <f t="shared" si="2"/>
        <v>-125.841534546508</v>
      </c>
      <c r="P30" s="111">
        <f t="shared" si="2"/>
        <v>-116.460550025651</v>
      </c>
      <c r="Q30" s="111">
        <f t="shared" si="2"/>
        <v>-101.911571865587</v>
      </c>
      <c r="R30" s="111">
        <f t="shared" si="2"/>
        <v>-83.5034644207961</v>
      </c>
      <c r="S30" s="111">
        <f t="shared" si="2"/>
        <v>-14.6449593369365</v>
      </c>
      <c r="T30" s="111">
        <f t="shared" si="2"/>
        <v>8.89271632697357</v>
      </c>
      <c r="U30" s="117">
        <f>U26*T29</f>
        <v>5020.00162078774</v>
      </c>
    </row>
  </sheetData>
  <mergeCells count="1">
    <mergeCell ref="M14:T14"/>
  </mergeCells>
  <conditionalFormatting sqref="E7">
    <cfRule type="cellIs" dxfId="0" priority="16" stopIfTrue="1" operator="equal">
      <formula>"ERROR"</formula>
    </cfRule>
  </conditionalFormatting>
  <conditionalFormatting sqref="G7">
    <cfRule type="cellIs" dxfId="0" priority="8" stopIfTrue="1" operator="equal">
      <formula>"ERROR"</formula>
    </cfRule>
  </conditionalFormatting>
  <conditionalFormatting sqref="J7">
    <cfRule type="cellIs" dxfId="0" priority="7" stopIfTrue="1" operator="equal">
      <formula>"ERROR"</formula>
    </cfRule>
  </conditionalFormatting>
  <conditionalFormatting sqref="M7">
    <cfRule type="cellIs" dxfId="0" priority="3" stopIfTrue="1" operator="equal">
      <formula>"ERROR"</formula>
    </cfRule>
  </conditionalFormatting>
  <conditionalFormatting sqref="M14">
    <cfRule type="cellIs" dxfId="1" priority="1" stopIfTrue="1" operator="equal">
      <formula>#REF!</formula>
    </cfRule>
  </conditionalFormatting>
  <conditionalFormatting sqref="B20:D20">
    <cfRule type="cellIs" dxfId="2" priority="10" stopIfTrue="1" operator="equal">
      <formula>$E$2</formula>
    </cfRule>
  </conditionalFormatting>
  <conditionalFormatting sqref="B22:D30">
    <cfRule type="cellIs" dxfId="2" priority="14" stopIfTrue="1" operator="equal">
      <formula>$E$2</formula>
    </cfRule>
  </conditionalFormatting>
  <pageMargins left="0.75" right="0.75" top="1" bottom="1" header="0.5" footer="0.5"/>
  <headerFooter/>
  <ignoredErrors>
    <ignoredError sqref="M20:T2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13" sqref="F13"/>
    </sheetView>
  </sheetViews>
  <sheetFormatPr defaultColWidth="9.23076923076923" defaultRowHeight="16.8" outlineLevelCol="5"/>
  <cols>
    <col min="1" max="1" width="20.3461538461538" customWidth="1"/>
    <col min="2" max="2" width="26.2788461538462" customWidth="1"/>
    <col min="3" max="3" width="19.7115384615385" customWidth="1"/>
    <col min="4" max="4" width="18.9038461538462" customWidth="1"/>
    <col min="5" max="5" width="18.4326923076923" customWidth="1"/>
    <col min="6" max="6" width="20.1826923076923" customWidth="1"/>
  </cols>
  <sheetData>
    <row r="1" spans="1:6">
      <c r="A1" s="1" t="s">
        <v>155</v>
      </c>
      <c r="B1" s="2"/>
      <c r="C1" s="2"/>
      <c r="D1" s="2"/>
      <c r="E1" s="2"/>
      <c r="F1" s="24"/>
    </row>
    <row r="2" spans="1:6">
      <c r="A2" s="3" t="s">
        <v>156</v>
      </c>
      <c r="B2" s="4"/>
      <c r="C2" s="5"/>
      <c r="D2" s="5"/>
      <c r="E2" s="25"/>
      <c r="F2" s="26"/>
    </row>
    <row r="3" spans="1:6">
      <c r="A3" s="6"/>
      <c r="B3" s="7"/>
      <c r="C3" s="8"/>
      <c r="D3" s="8"/>
      <c r="E3" s="27"/>
      <c r="F3" s="28"/>
    </row>
    <row r="4" spans="1:6">
      <c r="A4" s="9"/>
      <c r="B4" s="10" t="s">
        <v>157</v>
      </c>
      <c r="C4" s="11"/>
      <c r="D4" s="11"/>
      <c r="E4" s="29"/>
      <c r="F4" s="30"/>
    </row>
    <row r="5" spans="1:6">
      <c r="A5" s="12" t="s">
        <v>158</v>
      </c>
      <c r="B5" s="13" t="s">
        <v>159</v>
      </c>
      <c r="C5" s="14" t="s">
        <v>160</v>
      </c>
      <c r="D5" s="14" t="s">
        <v>156</v>
      </c>
      <c r="E5" s="31" t="s">
        <v>161</v>
      </c>
      <c r="F5" s="32" t="s">
        <v>162</v>
      </c>
    </row>
    <row r="6" spans="1:6">
      <c r="A6" s="15" t="s">
        <v>163</v>
      </c>
      <c r="B6" s="16">
        <v>125</v>
      </c>
      <c r="C6" s="17">
        <f t="shared" ref="C6:C11" si="0">B6/$B$13</f>
        <v>0.05</v>
      </c>
      <c r="D6" s="16"/>
      <c r="E6" s="8">
        <f t="shared" ref="E6:E14" si="1">SUM(B6:D6)</f>
        <v>125.05</v>
      </c>
      <c r="F6" s="33">
        <f t="shared" ref="F6:F12" si="2">E6/$E$13</f>
        <v>0.0357285714285714</v>
      </c>
    </row>
    <row r="7" spans="1:6">
      <c r="A7" s="15" t="s">
        <v>164</v>
      </c>
      <c r="B7" s="16">
        <v>200</v>
      </c>
      <c r="C7" s="17">
        <f t="shared" si="0"/>
        <v>0.08</v>
      </c>
      <c r="D7" s="16"/>
      <c r="E7" s="8">
        <f t="shared" si="1"/>
        <v>200.08</v>
      </c>
      <c r="F7" s="33">
        <f t="shared" si="2"/>
        <v>0.0571657142857143</v>
      </c>
    </row>
    <row r="8" spans="1:6">
      <c r="A8" s="15" t="s">
        <v>165</v>
      </c>
      <c r="B8" s="16">
        <v>300</v>
      </c>
      <c r="C8" s="17">
        <f t="shared" si="0"/>
        <v>0.12</v>
      </c>
      <c r="D8" s="16"/>
      <c r="E8" s="8">
        <f t="shared" si="1"/>
        <v>300.12</v>
      </c>
      <c r="F8" s="33">
        <f t="shared" si="2"/>
        <v>0.0857485714285714</v>
      </c>
    </row>
    <row r="9" spans="1:6">
      <c r="A9" s="15" t="s">
        <v>166</v>
      </c>
      <c r="B9" s="16">
        <v>250</v>
      </c>
      <c r="C9" s="17">
        <f t="shared" si="0"/>
        <v>0.1</v>
      </c>
      <c r="D9" s="16"/>
      <c r="E9" s="8">
        <f t="shared" si="1"/>
        <v>250.1</v>
      </c>
      <c r="F9" s="33">
        <f t="shared" si="2"/>
        <v>0.0714571428571429</v>
      </c>
    </row>
    <row r="10" spans="1:6">
      <c r="A10" s="15" t="s">
        <v>167</v>
      </c>
      <c r="B10" s="16">
        <v>625</v>
      </c>
      <c r="C10" s="17">
        <f t="shared" si="0"/>
        <v>0.25</v>
      </c>
      <c r="D10" s="16">
        <v>100</v>
      </c>
      <c r="E10" s="8">
        <f t="shared" si="1"/>
        <v>725.25</v>
      </c>
      <c r="F10" s="33">
        <f t="shared" si="2"/>
        <v>0.207214285714286</v>
      </c>
    </row>
    <row r="11" spans="1:6">
      <c r="A11" s="15" t="s">
        <v>168</v>
      </c>
      <c r="B11" s="18">
        <v>1000</v>
      </c>
      <c r="C11" s="17">
        <f t="shared" si="0"/>
        <v>0.4</v>
      </c>
      <c r="D11" s="18">
        <v>100</v>
      </c>
      <c r="E11" s="34">
        <f t="shared" si="1"/>
        <v>1100.4</v>
      </c>
      <c r="F11" s="33">
        <f t="shared" si="2"/>
        <v>0.3144</v>
      </c>
    </row>
    <row r="12" spans="1:6">
      <c r="A12" s="15" t="s">
        <v>169</v>
      </c>
      <c r="B12" s="16"/>
      <c r="C12" s="18"/>
      <c r="D12" s="18">
        <v>800</v>
      </c>
      <c r="E12" s="34">
        <f t="shared" si="1"/>
        <v>800</v>
      </c>
      <c r="F12" s="33">
        <f t="shared" si="2"/>
        <v>0.228571428571429</v>
      </c>
    </row>
    <row r="13" spans="1:6">
      <c r="A13" s="19" t="s">
        <v>170</v>
      </c>
      <c r="B13" s="20">
        <f>SUM(B6:B12)</f>
        <v>2500</v>
      </c>
      <c r="C13" s="21">
        <v>1</v>
      </c>
      <c r="D13" s="20">
        <f>SUM(D6:D12)</f>
        <v>1000</v>
      </c>
      <c r="E13" s="20">
        <f>B13+D13</f>
        <v>3500</v>
      </c>
      <c r="F13" s="35">
        <f>SUM(F6:F12)</f>
        <v>1.00028571428571</v>
      </c>
    </row>
    <row r="14" spans="1:6">
      <c r="A14" s="22" t="s">
        <v>171</v>
      </c>
      <c r="B14" s="23">
        <f>B13/E13</f>
        <v>0.714285714285714</v>
      </c>
      <c r="C14" s="23"/>
      <c r="D14" s="23">
        <f>D13/E13</f>
        <v>0.285714285714286</v>
      </c>
      <c r="E14" s="23"/>
      <c r="F14" s="36"/>
    </row>
  </sheetData>
  <mergeCells count="1">
    <mergeCell ref="B4:E4"/>
  </mergeCells>
  <pageMargins left="0.75" right="0.75" top="1" bottom="1" header="0.5" footer="0.5"/>
  <headerFooter/>
  <ignoredErrors>
    <ignoredError sqref="E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ZADNA</vt:lpstr>
      <vt:lpstr>P&amp;L and Margins</vt:lpstr>
      <vt:lpstr>Working Capital Forecast Model</vt:lpstr>
      <vt:lpstr>CAPX &amp; Depreciation Forecast</vt:lpstr>
      <vt:lpstr>Cash Flow Forecast Model</vt:lpstr>
      <vt:lpstr>DCF Valuation Output</vt:lpstr>
      <vt:lpstr>Cap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狄青.</cp:lastModifiedBy>
  <dcterms:created xsi:type="dcterms:W3CDTF">2019-05-29T03:38:00Z</dcterms:created>
  <cp:lastPrinted>2019-05-29T08:43:00Z</cp:lastPrinted>
  <dcterms:modified xsi:type="dcterms:W3CDTF">2024-05-10T01:02:26Z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54903C6FE82480E3157D3C6651A02AB4_42</vt:lpwstr>
  </property>
</Properties>
</file>